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ml.chartshapes+xml"/>
  <Override PartName="/xl/charts/chart20.xml" ContentType="application/vnd.openxmlformats-officedocument.drawingml.chart+xml"/>
  <Override PartName="/xl/drawings/drawing13.xml" ContentType="application/vnd.openxmlformats-officedocument.drawingml.chartshapes+xml"/>
  <Override PartName="/xl/charts/chart21.xml" ContentType="application/vnd.openxmlformats-officedocument.drawingml.chart+xml"/>
  <Override PartName="/xl/drawings/drawing14.xml" ContentType="application/vnd.openxmlformats-officedocument.drawingml.chartshapes+xml"/>
  <Override PartName="/xl/charts/chart22.xml" ContentType="application/vnd.openxmlformats-officedocument.drawingml.chart+xml"/>
  <Override PartName="/xl/drawings/drawing15.xml" ContentType="application/vnd.openxmlformats-officedocument.drawingml.chartshapes+xml"/>
  <Override PartName="/xl/charts/chart23.xml" ContentType="application/vnd.openxmlformats-officedocument.drawingml.chart+xml"/>
  <Override PartName="/xl/drawings/drawing16.xml" ContentType="application/vnd.openxmlformats-officedocument.drawingml.chartshapes+xml"/>
  <Override PartName="/xl/charts/chart24.xml" ContentType="application/vnd.openxmlformats-officedocument.drawingml.chart+xml"/>
  <Override PartName="/xl/drawings/drawing17.xml" ContentType="application/vnd.openxmlformats-officedocument.drawingml.chartshapes+xml"/>
  <Override PartName="/xl/charts/chart25.xml" ContentType="application/vnd.openxmlformats-officedocument.drawingml.chart+xml"/>
  <Override PartName="/xl/drawings/drawing18.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style5.xml" ContentType="application/vnd.ms-office.chartstyle+xml"/>
  <Override PartName="/xl/charts/colors5.xml" ContentType="application/vnd.ms-office.chartcolorstyle+xml"/>
  <Override PartName="/xl/charts/chart2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20.xml" ContentType="application/vnd.openxmlformats-officedocument.drawingml.chartshapes+xml"/>
  <Override PartName="/xl/charts/chart32.xml" ContentType="application/vnd.openxmlformats-officedocument.drawingml.chart+xml"/>
  <Override PartName="/xl/drawings/drawing21.xml" ContentType="application/vnd.openxmlformats-officedocument.drawingml.chartshapes+xml"/>
  <Override PartName="/xl/charts/chart33.xml" ContentType="application/vnd.openxmlformats-officedocument.drawingml.chart+xml"/>
  <Override PartName="/xl/charts/chart34.xml" ContentType="application/vnd.openxmlformats-officedocument.drawingml.chart+xml"/>
  <Override PartName="/xl/drawings/drawing22.xml" ContentType="application/vnd.openxmlformats-officedocument.drawingml.chartshapes+xml"/>
  <Override PartName="/xl/charts/chart35.xml" ContentType="application/vnd.openxmlformats-officedocument.drawingml.chart+xml"/>
  <Override PartName="/xl/drawings/drawing23.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IBECSV2\jsbc研究開発部\05_CASBEE\3_★委員会資料\15_CASBEE街区\☆評価マニュアル・評価ソフト\評価ソフト\☆2023年版\"/>
    </mc:Choice>
  </mc:AlternateContent>
  <xr:revisionPtr revIDLastSave="0" documentId="13_ncr:1_{FF77CBF3-A161-4D0E-8AAC-439870AE26B8}" xr6:coauthVersionLast="47" xr6:coauthVersionMax="47" xr10:uidLastSave="{00000000-0000-0000-0000-000000000000}"/>
  <bookViews>
    <workbookView xWindow="3525" yWindow="1335" windowWidth="21480" windowHeight="14730" tabRatio="870" firstSheet="1" activeTab="1" xr2:uid="{00000000-000D-0000-FFFF-FFFF00000000}"/>
  </bookViews>
  <sheets>
    <sheet name="結果 (2)" sheetId="64" state="hidden" r:id="rId1"/>
    <sheet name="メイン" sheetId="7" r:id="rId2"/>
    <sheet name="結果" sheetId="69" r:id="rId3"/>
    <sheet name="旧結果" sheetId="24" state="hidden" r:id="rId4"/>
    <sheet name="スコア" sheetId="8" r:id="rId5"/>
    <sheet name="配慮" sheetId="14" r:id="rId6"/>
    <sheet name="採点Q1" sheetId="16" r:id="rId7"/>
    <sheet name="採点Q2" sheetId="29" r:id="rId8"/>
    <sheet name="採点Q3" sheetId="30" r:id="rId9"/>
    <sheet name="採点LR1" sheetId="58" r:id="rId10"/>
    <sheet name="採点LR2" sheetId="59" r:id="rId11"/>
    <sheet name="採点LR3" sheetId="70" r:id="rId12"/>
    <sheet name="オフィス水計算シート" sheetId="71" r:id="rId13"/>
    <sheet name="店舗水計算シート" sheetId="72" r:id="rId14"/>
    <sheet name="クレジット" sheetId="57" r:id="rId15"/>
  </sheets>
  <externalReferences>
    <externalReference r:id="rId16"/>
  </externalReferences>
  <definedNames>
    <definedName name="_xlnm._FilterDatabase" localSheetId="4" hidden="1">スコア!$I$12:$I$14</definedName>
    <definedName name="①実績値を入力">#REF!</definedName>
    <definedName name="②目標値を入力">#REF!</definedName>
    <definedName name="③算定結果を入力">#REF!</definedName>
    <definedName name="④対策効果を選択">#REF!</definedName>
    <definedName name="M23W">#REF!</definedName>
    <definedName name="MorO">#REF!</definedName>
    <definedName name="_xlnm.Print_Area" localSheetId="12">オフィス水計算シート!$B$2:$S$63</definedName>
    <definedName name="_xlnm.Print_Area" localSheetId="4">スコア!$A$1:$S$206</definedName>
    <definedName name="_xlnm.Print_Area" localSheetId="1">メイン!$A$1:$F$54</definedName>
    <definedName name="_xlnm.Print_Area" localSheetId="3">旧結果!$A$1:$P$80</definedName>
    <definedName name="_xlnm.Print_Area" localSheetId="2">結果!$A$1:$P$80</definedName>
    <definedName name="_xlnm.Print_Area" localSheetId="0">'結果 (2)'!$A$1:$P$78</definedName>
    <definedName name="_xlnm.Print_Area" localSheetId="9">採点LR1!$A$1:$M$78</definedName>
    <definedName name="_xlnm.Print_Area" localSheetId="10">採点LR2!$A$1:$M$162</definedName>
    <definedName name="_xlnm.Print_Area" localSheetId="11">採点LR3!$A$1:$M$253</definedName>
    <definedName name="_xlnm.Print_Area" localSheetId="6">採点Q1!$A$1:$M$231</definedName>
    <definedName name="_xlnm.Print_Area" localSheetId="7">採点Q2!$A$1:$M$270</definedName>
    <definedName name="_xlnm.Print_Area" localSheetId="8">採点Q3!$A$1:$M$212</definedName>
    <definedName name="_xlnm.Print_Area" localSheetId="13">店舗水計算シート!$A$1:$X$80</definedName>
    <definedName name="SDGsグラフ">INDIRECT(#REF!)</definedName>
    <definedName name="Z_047384A4_E844_4BB4_B522_1CE13C4699E4_.wvu.PrintArea" localSheetId="2" hidden="1">結果!$A$1:$P$100</definedName>
    <definedName name="Z_047384A4_E844_4BB4_B522_1CE13C4699E4_.wvu.PrintArea" localSheetId="0" hidden="1">'結果 (2)'!$A$1:$P$98</definedName>
    <definedName name="Z_047384A4_E844_4BB4_B522_1CE13C4699E4_.wvu.Rows" localSheetId="2" hidden="1">結果!$218:$65539,結果!$18:$21,結果!$74:$95,結果!$101:$217</definedName>
    <definedName name="Z_047384A4_E844_4BB4_B522_1CE13C4699E4_.wvu.Rows" localSheetId="0" hidden="1">'結果 (2)'!$216:$65537,'結果 (2)'!$18:$21,'結果 (2)'!$72:$93,'結果 (2)'!$99:$215</definedName>
    <definedName name="案1">#REF!</definedName>
    <definedName name="案2">#REF!</definedName>
    <definedName name="案3">#REF!</definedName>
    <definedName name="図形" localSheetId="12">INDIRECT([1]SDGs結果表示!$A$1)</definedName>
    <definedName name="図形" localSheetId="13">INDIRECT([1]SDGs結果表示!$A$1)</definedName>
    <definedName name="図形">INDIRECT(#REF!)</definedName>
    <definedName name="非表示">#REF!</definedName>
    <definedName name="表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59" l="1"/>
  <c r="C13" i="7" l="1"/>
  <c r="K5" i="69" l="1"/>
  <c r="L157" i="8"/>
  <c r="D53" i="59" l="1"/>
  <c r="L99" i="59"/>
  <c r="D13" i="70"/>
  <c r="H13" i="72"/>
  <c r="H14" i="72" s="1"/>
  <c r="E14" i="72"/>
  <c r="K23" i="72" s="1"/>
  <c r="H15" i="72"/>
  <c r="H16" i="72" s="1"/>
  <c r="E16" i="72"/>
  <c r="K35" i="72" s="1"/>
  <c r="G23" i="72"/>
  <c r="G25" i="72"/>
  <c r="K26" i="72"/>
  <c r="M26" i="72" s="1"/>
  <c r="O28" i="72"/>
  <c r="K33" i="72"/>
  <c r="M33" i="72" s="1"/>
  <c r="G35" i="72"/>
  <c r="G37" i="72"/>
  <c r="O39" i="72"/>
  <c r="E44" i="72"/>
  <c r="I44" i="72" s="1"/>
  <c r="E49" i="72" s="1"/>
  <c r="E45" i="72"/>
  <c r="I45" i="72" s="1"/>
  <c r="E50" i="72" s="1"/>
  <c r="E46" i="72"/>
  <c r="I46" i="72" s="1"/>
  <c r="E51" i="72" s="1"/>
  <c r="G49" i="72"/>
  <c r="G50" i="72"/>
  <c r="G51" i="72"/>
  <c r="M52" i="72"/>
  <c r="K55" i="72"/>
  <c r="M55" i="72"/>
  <c r="K56" i="72"/>
  <c r="M56" i="72"/>
  <c r="K57" i="72"/>
  <c r="M57" i="72"/>
  <c r="K58" i="72"/>
  <c r="M58" i="72"/>
  <c r="I59" i="72"/>
  <c r="H11" i="71"/>
  <c r="E12" i="71"/>
  <c r="I17" i="71" s="1"/>
  <c r="K17" i="71" s="1"/>
  <c r="H12" i="71"/>
  <c r="I20" i="71" s="1"/>
  <c r="K20" i="71" s="1"/>
  <c r="R20" i="71" s="1"/>
  <c r="I18" i="71"/>
  <c r="K18" i="71" s="1"/>
  <c r="R18" i="71" s="1"/>
  <c r="G19" i="71"/>
  <c r="I22" i="71"/>
  <c r="K22" i="71" s="1"/>
  <c r="R22" i="71" s="1"/>
  <c r="E28" i="71"/>
  <c r="I28" i="71"/>
  <c r="E33" i="71" s="1"/>
  <c r="E29" i="71"/>
  <c r="I29" i="71" s="1"/>
  <c r="E34" i="71" s="1"/>
  <c r="E30" i="71"/>
  <c r="I30" i="71" s="1"/>
  <c r="E35" i="71" s="1"/>
  <c r="G33" i="71"/>
  <c r="G34" i="71"/>
  <c r="G35" i="71"/>
  <c r="K39" i="71"/>
  <c r="O39" i="71" s="1"/>
  <c r="K34" i="71" l="1"/>
  <c r="R34" i="71" s="1"/>
  <c r="R39" i="71"/>
  <c r="K22" i="72"/>
  <c r="M22" i="72" s="1"/>
  <c r="T22" i="72" s="1"/>
  <c r="T58" i="72"/>
  <c r="T57" i="72"/>
  <c r="K51" i="72"/>
  <c r="T51" i="72" s="1"/>
  <c r="T26" i="72"/>
  <c r="M23" i="72"/>
  <c r="T23" i="72" s="1"/>
  <c r="T56" i="72"/>
  <c r="K50" i="72"/>
  <c r="T50" i="72" s="1"/>
  <c r="I19" i="71"/>
  <c r="K19" i="71" s="1"/>
  <c r="R19" i="71" s="1"/>
  <c r="O58" i="72"/>
  <c r="K49" i="72"/>
  <c r="M35" i="72"/>
  <c r="T35" i="72" s="1"/>
  <c r="O55" i="72"/>
  <c r="K34" i="72"/>
  <c r="M34" i="72" s="1"/>
  <c r="T34" i="72" s="1"/>
  <c r="K21" i="72"/>
  <c r="M21" i="72" s="1"/>
  <c r="T21" i="72" s="1"/>
  <c r="K33" i="71"/>
  <c r="R33" i="71" s="1"/>
  <c r="O57" i="72"/>
  <c r="O56" i="72"/>
  <c r="K35" i="71"/>
  <c r="R35" i="71" s="1"/>
  <c r="T55" i="72"/>
  <c r="T49" i="72"/>
  <c r="T33" i="72"/>
  <c r="R17" i="71"/>
  <c r="K36" i="72"/>
  <c r="M36" i="72" s="1"/>
  <c r="T36" i="72" s="1"/>
  <c r="K37" i="72"/>
  <c r="M37" i="72" s="1"/>
  <c r="T37" i="72" s="1"/>
  <c r="K25" i="72"/>
  <c r="M25" i="72" s="1"/>
  <c r="T25" i="72" s="1"/>
  <c r="K24" i="72"/>
  <c r="M24" i="72" s="1"/>
  <c r="T24" i="72" s="1"/>
  <c r="I21" i="71"/>
  <c r="K21" i="71" s="1"/>
  <c r="R21" i="71" s="1"/>
  <c r="R36" i="71" l="1"/>
  <c r="T59" i="72"/>
  <c r="V59" i="72" s="1"/>
  <c r="K52" i="72"/>
  <c r="O52" i="72" s="1"/>
  <c r="O45" i="71"/>
  <c r="O53" i="71" s="1"/>
  <c r="T52" i="72"/>
  <c r="K36" i="71"/>
  <c r="O36" i="71" s="1"/>
  <c r="O63" i="72"/>
  <c r="O64" i="72"/>
  <c r="T28" i="72"/>
  <c r="K24" i="71"/>
  <c r="M28" i="72"/>
  <c r="T39" i="72"/>
  <c r="V39" i="72" s="1"/>
  <c r="O46" i="71"/>
  <c r="R24" i="71"/>
  <c r="M39" i="72"/>
  <c r="Q28" i="72" l="1"/>
  <c r="Q29" i="72" s="1"/>
  <c r="M29" i="72"/>
  <c r="K25" i="71"/>
  <c r="O24" i="71"/>
  <c r="Q39" i="72"/>
  <c r="Q40" i="72" s="1"/>
  <c r="M40" i="72"/>
  <c r="T65" i="72"/>
  <c r="V65" i="72" s="1"/>
  <c r="V28" i="72"/>
  <c r="V52" i="72"/>
  <c r="O71" i="72"/>
  <c r="O65" i="72"/>
  <c r="O68" i="72" l="1"/>
  <c r="O69" i="72" s="1"/>
  <c r="O72" i="72" s="1"/>
  <c r="O66" i="72"/>
  <c r="O47" i="71"/>
  <c r="T36" i="71"/>
  <c r="O25" i="71"/>
  <c r="O73" i="72"/>
  <c r="O74" i="72" s="1"/>
  <c r="O48" i="71" l="1"/>
  <c r="O50" i="71"/>
  <c r="O51" i="71" s="1"/>
  <c r="O54" i="71" s="1"/>
  <c r="O55" i="71" s="1"/>
  <c r="O56" i="71" s="1"/>
  <c r="T47" i="71"/>
  <c r="R205" i="8" l="1"/>
  <c r="Q205" i="8"/>
  <c r="P205" i="8"/>
  <c r="O205" i="8"/>
  <c r="N205" i="8"/>
  <c r="M205" i="8"/>
  <c r="L205" i="8"/>
  <c r="K205" i="8"/>
  <c r="J205" i="8"/>
  <c r="I205" i="8"/>
  <c r="H205" i="8"/>
  <c r="G205" i="8"/>
  <c r="H204" i="8"/>
  <c r="G204" i="8"/>
  <c r="H203" i="8"/>
  <c r="G203" i="8"/>
  <c r="T150" i="8"/>
  <c r="I150" i="8"/>
  <c r="D150" i="8"/>
  <c r="K149" i="8"/>
  <c r="I149" i="8"/>
  <c r="D149" i="8"/>
  <c r="C148" i="8"/>
  <c r="T147" i="8"/>
  <c r="I147" i="8"/>
  <c r="C147" i="8"/>
  <c r="T146" i="8"/>
  <c r="I146" i="8"/>
  <c r="C146" i="8"/>
  <c r="K145" i="8"/>
  <c r="I145" i="8"/>
  <c r="D145" i="8"/>
  <c r="T144" i="8"/>
  <c r="I144" i="8"/>
  <c r="D144" i="8"/>
  <c r="T143" i="8"/>
  <c r="I143" i="8"/>
  <c r="D143" i="8"/>
  <c r="C142" i="8"/>
  <c r="K141" i="8"/>
  <c r="I134" i="8"/>
  <c r="D134" i="8"/>
  <c r="C133" i="8"/>
  <c r="I132" i="8"/>
  <c r="D132" i="8"/>
  <c r="I131" i="8"/>
  <c r="D131" i="8"/>
  <c r="C130" i="8"/>
  <c r="B129" i="8"/>
  <c r="I128" i="8"/>
  <c r="B128" i="8"/>
  <c r="B127" i="8"/>
  <c r="I141" i="8"/>
  <c r="D141" i="8"/>
  <c r="T140" i="8"/>
  <c r="I140" i="8"/>
  <c r="D140" i="8"/>
  <c r="T139" i="8"/>
  <c r="I139" i="8"/>
  <c r="D139" i="8"/>
  <c r="C138" i="8"/>
  <c r="C137" i="8"/>
  <c r="B136" i="8"/>
  <c r="T135" i="8"/>
  <c r="I135" i="8"/>
  <c r="D135" i="8"/>
  <c r="T134" i="8"/>
  <c r="T132" i="8"/>
  <c r="T131" i="8"/>
  <c r="T128" i="8"/>
  <c r="D250" i="70"/>
  <c r="D249" i="70"/>
  <c r="D248" i="70"/>
  <c r="D247" i="70"/>
  <c r="D246" i="70"/>
  <c r="E230" i="70"/>
  <c r="D222" i="70" s="1"/>
  <c r="T149" i="8" s="1"/>
  <c r="D217" i="70"/>
  <c r="D216" i="70"/>
  <c r="D215" i="70"/>
  <c r="D214" i="70"/>
  <c r="D213" i="70"/>
  <c r="D208" i="70"/>
  <c r="D207" i="70"/>
  <c r="D206" i="70"/>
  <c r="D205" i="70"/>
  <c r="D204" i="70"/>
  <c r="E198" i="70"/>
  <c r="D190" i="70" s="1"/>
  <c r="T145" i="8" s="1"/>
  <c r="D186" i="70"/>
  <c r="D185" i="70"/>
  <c r="D184" i="70"/>
  <c r="D183" i="70"/>
  <c r="D182" i="70"/>
  <c r="D177" i="70"/>
  <c r="D176" i="70"/>
  <c r="D175" i="70"/>
  <c r="D174" i="70"/>
  <c r="D173" i="70"/>
  <c r="E166" i="70"/>
  <c r="D158" i="70" s="1"/>
  <c r="T141" i="8" s="1"/>
  <c r="D154" i="70"/>
  <c r="D153" i="70"/>
  <c r="D152" i="70"/>
  <c r="D151" i="70"/>
  <c r="D150" i="70"/>
  <c r="D145" i="70"/>
  <c r="D144" i="70"/>
  <c r="D143" i="70"/>
  <c r="D142" i="70"/>
  <c r="D141" i="70"/>
  <c r="D129" i="70"/>
  <c r="D128" i="70"/>
  <c r="D127" i="70"/>
  <c r="D126" i="70"/>
  <c r="D125" i="70"/>
  <c r="D120" i="70"/>
  <c r="D119" i="70"/>
  <c r="D118" i="70"/>
  <c r="D117" i="70"/>
  <c r="D116" i="70"/>
  <c r="D110" i="70"/>
  <c r="D109" i="70"/>
  <c r="D108" i="70"/>
  <c r="D107" i="70"/>
  <c r="D106" i="70"/>
  <c r="D101" i="70"/>
  <c r="D100" i="70"/>
  <c r="D99" i="70"/>
  <c r="D98" i="70"/>
  <c r="D97" i="70"/>
  <c r="B77" i="69"/>
  <c r="B76" i="69"/>
  <c r="L72" i="69"/>
  <c r="H72" i="69"/>
  <c r="B72" i="69"/>
  <c r="L70" i="69"/>
  <c r="H70" i="69"/>
  <c r="B70" i="69"/>
  <c r="L68" i="69"/>
  <c r="B68" i="69"/>
  <c r="L67" i="69"/>
  <c r="B67" i="69"/>
  <c r="AF62" i="69"/>
  <c r="AF61" i="69"/>
  <c r="AF60" i="69"/>
  <c r="AF57" i="69"/>
  <c r="AF52" i="69"/>
  <c r="AF51" i="69"/>
  <c r="AF50" i="69"/>
  <c r="AF49" i="69"/>
  <c r="AF46" i="69"/>
  <c r="J21" i="69"/>
  <c r="J20" i="69"/>
  <c r="D20" i="69"/>
  <c r="J19" i="69"/>
  <c r="D19" i="69"/>
  <c r="J18" i="69"/>
  <c r="E18" i="69"/>
  <c r="J17" i="69"/>
  <c r="D17" i="69"/>
  <c r="J16" i="69"/>
  <c r="E16" i="69"/>
  <c r="J15" i="69"/>
  <c r="D15" i="69"/>
  <c r="J14" i="69"/>
  <c r="E14" i="69"/>
  <c r="J13" i="69"/>
  <c r="D13" i="69"/>
  <c r="E12" i="69"/>
  <c r="F11" i="69"/>
  <c r="D11" i="69"/>
  <c r="J10" i="69"/>
  <c r="D10" i="69"/>
  <c r="J9" i="69"/>
  <c r="D9" i="69"/>
  <c r="J8" i="69"/>
  <c r="D8" i="69"/>
  <c r="O5" i="69"/>
  <c r="J1" i="70"/>
  <c r="H82" i="70"/>
  <c r="G82" i="70"/>
  <c r="F82" i="70"/>
  <c r="H81" i="70"/>
  <c r="G81" i="70"/>
  <c r="F81" i="70"/>
  <c r="E53" i="70"/>
  <c r="J52" i="70"/>
  <c r="J51" i="70"/>
  <c r="H48" i="70"/>
  <c r="AP44" i="69" s="1"/>
  <c r="G48" i="70"/>
  <c r="AP43" i="69" s="1"/>
  <c r="F48" i="70"/>
  <c r="AP42" i="69" s="1"/>
  <c r="E48" i="70"/>
  <c r="J47" i="70"/>
  <c r="J46" i="70"/>
  <c r="F43" i="70"/>
  <c r="AP40" i="69" s="1"/>
  <c r="E43" i="70"/>
  <c r="AP39" i="69" s="1"/>
  <c r="J42" i="70"/>
  <c r="J41" i="70"/>
  <c r="I38" i="70"/>
  <c r="AP38" i="69" s="1"/>
  <c r="H38" i="70"/>
  <c r="AP37" i="69" s="1"/>
  <c r="G38" i="70"/>
  <c r="AP36" i="69" s="1"/>
  <c r="F38" i="70"/>
  <c r="AP35" i="69" s="1"/>
  <c r="E38" i="70"/>
  <c r="J37" i="70"/>
  <c r="J36" i="70"/>
  <c r="I33" i="70"/>
  <c r="AP33" i="69" s="1"/>
  <c r="H33" i="70"/>
  <c r="AP32" i="69" s="1"/>
  <c r="G33" i="70"/>
  <c r="AP31" i="69" s="1"/>
  <c r="F33" i="70"/>
  <c r="AP30" i="69" s="1"/>
  <c r="E33" i="70"/>
  <c r="J32" i="70"/>
  <c r="J31" i="70"/>
  <c r="E20" i="70"/>
  <c r="D18" i="70"/>
  <c r="D17" i="70"/>
  <c r="D16" i="70"/>
  <c r="D15" i="70"/>
  <c r="D14" i="70"/>
  <c r="X57" i="69"/>
  <c r="AR53" i="69"/>
  <c r="AR52" i="69"/>
  <c r="AR51" i="69"/>
  <c r="AR50" i="69"/>
  <c r="AR49" i="69"/>
  <c r="AR48" i="69"/>
  <c r="X46" i="69"/>
  <c r="AR45" i="69"/>
  <c r="I40" i="69" s="1"/>
  <c r="AP45" i="69"/>
  <c r="AO45" i="69"/>
  <c r="AN45" i="69"/>
  <c r="AR44" i="69"/>
  <c r="AO44" i="69"/>
  <c r="AN44" i="69"/>
  <c r="AR43" i="69"/>
  <c r="K41" i="69" s="1"/>
  <c r="AO43" i="69"/>
  <c r="AN43" i="69"/>
  <c r="W43" i="69"/>
  <c r="V43" i="69"/>
  <c r="U43" i="69"/>
  <c r="T43" i="69"/>
  <c r="S43" i="69"/>
  <c r="AR42" i="69"/>
  <c r="J41" i="69" s="1"/>
  <c r="AO42" i="69"/>
  <c r="AN42" i="69"/>
  <c r="Y42" i="69"/>
  <c r="X42" i="69"/>
  <c r="T36" i="69" s="1"/>
  <c r="AR41" i="69"/>
  <c r="I41" i="69" s="1"/>
  <c r="AP41" i="69"/>
  <c r="AO41" i="69"/>
  <c r="AN41" i="69"/>
  <c r="AC41" i="69"/>
  <c r="AB41" i="69"/>
  <c r="AA41" i="69"/>
  <c r="Z41" i="69"/>
  <c r="AR40" i="69"/>
  <c r="H41" i="69" s="1"/>
  <c r="AO40" i="69"/>
  <c r="AN40" i="69"/>
  <c r="AD40" i="69"/>
  <c r="H40" i="69"/>
  <c r="AR39" i="69"/>
  <c r="AO39" i="69"/>
  <c r="AN39" i="69"/>
  <c r="K39" i="69"/>
  <c r="J39" i="69"/>
  <c r="AR38" i="69"/>
  <c r="AO38" i="69"/>
  <c r="AN38" i="69"/>
  <c r="AR37" i="69"/>
  <c r="I39" i="69" s="1"/>
  <c r="AO37" i="69"/>
  <c r="AN37" i="69"/>
  <c r="V37" i="69"/>
  <c r="AR36" i="69"/>
  <c r="H39" i="69" s="1"/>
  <c r="AO36" i="69"/>
  <c r="AN36" i="69"/>
  <c r="AO35" i="69"/>
  <c r="AN35" i="69"/>
  <c r="AP34" i="69"/>
  <c r="AO34" i="69"/>
  <c r="AN34" i="69"/>
  <c r="Z34" i="69"/>
  <c r="AO33" i="69"/>
  <c r="AN33" i="69"/>
  <c r="Z33" i="69"/>
  <c r="AO32" i="69"/>
  <c r="AN32" i="69"/>
  <c r="AO31" i="69"/>
  <c r="AN31" i="69"/>
  <c r="AO30" i="69"/>
  <c r="AN30" i="69"/>
  <c r="AP29" i="69"/>
  <c r="AO29" i="69"/>
  <c r="AN29" i="69"/>
  <c r="U29" i="69"/>
  <c r="U31" i="69" s="1"/>
  <c r="AI25" i="69"/>
  <c r="AI26" i="69" s="1"/>
  <c r="AL29" i="69" l="1"/>
  <c r="AL32" i="69"/>
  <c r="J48" i="70"/>
  <c r="AL35" i="69"/>
  <c r="AL30" i="69"/>
  <c r="AL38" i="69"/>
  <c r="J38" i="70"/>
  <c r="U32" i="69"/>
  <c r="AL41" i="69"/>
  <c r="J53" i="70"/>
  <c r="AL40" i="69"/>
  <c r="AL42" i="69"/>
  <c r="AL43" i="69"/>
  <c r="U34" i="69"/>
  <c r="AL33" i="69"/>
  <c r="AL36" i="69"/>
  <c r="AL39" i="69"/>
  <c r="AL44" i="69"/>
  <c r="J43" i="70"/>
  <c r="AL34" i="69"/>
  <c r="X29" i="69"/>
  <c r="X34" i="69" s="1"/>
  <c r="I82" i="70"/>
  <c r="I81" i="70"/>
  <c r="J56" i="70"/>
  <c r="Y29" i="69"/>
  <c r="J57" i="70"/>
  <c r="F204" i="8"/>
  <c r="F205" i="8"/>
  <c r="F203" i="8"/>
  <c r="D225" i="70"/>
  <c r="D223" i="70"/>
  <c r="D224" i="70"/>
  <c r="D227" i="70"/>
  <c r="D226" i="70"/>
  <c r="D194" i="70"/>
  <c r="D192" i="70"/>
  <c r="D193" i="70"/>
  <c r="D191" i="70"/>
  <c r="D195" i="70"/>
  <c r="D163" i="70"/>
  <c r="D161" i="70"/>
  <c r="D162" i="70"/>
  <c r="D160" i="70"/>
  <c r="D159" i="70"/>
  <c r="K37" i="69"/>
  <c r="H37" i="69"/>
  <c r="AU33" i="69"/>
  <c r="AS33" i="69"/>
  <c r="AV33" i="69"/>
  <c r="AT33" i="69"/>
  <c r="J37" i="69"/>
  <c r="J82" i="70"/>
  <c r="L81" i="70" s="1"/>
  <c r="D72" i="70" s="1"/>
  <c r="U33" i="69"/>
  <c r="AL45" i="69"/>
  <c r="J33" i="70"/>
  <c r="AL37" i="69"/>
  <c r="V29" i="69"/>
  <c r="X33" i="69"/>
  <c r="AL31" i="69"/>
  <c r="K33" i="69" s="1"/>
  <c r="W29" i="69"/>
  <c r="X32" i="69"/>
  <c r="Y33" i="69" l="1"/>
  <c r="Y34" i="69"/>
  <c r="AV30" i="69"/>
  <c r="J58" i="70"/>
  <c r="K34" i="69"/>
  <c r="AU30" i="69"/>
  <c r="J34" i="69"/>
  <c r="H36" i="69"/>
  <c r="AS29" i="69"/>
  <c r="D74" i="70"/>
  <c r="D73" i="70"/>
  <c r="D77" i="70"/>
  <c r="D76" i="70"/>
  <c r="D75" i="70"/>
  <c r="W34" i="69"/>
  <c r="W32" i="69"/>
  <c r="W33" i="69"/>
  <c r="AS30" i="69"/>
  <c r="AT29" i="69"/>
  <c r="AV29" i="69"/>
  <c r="H33" i="69"/>
  <c r="AU32" i="69"/>
  <c r="AT30" i="69"/>
  <c r="AT31" i="69"/>
  <c r="AS32" i="69"/>
  <c r="AV32" i="69"/>
  <c r="J33" i="69"/>
  <c r="AS31" i="69"/>
  <c r="H35" i="69"/>
  <c r="H34" i="69"/>
  <c r="K35" i="69"/>
  <c r="J36" i="69"/>
  <c r="J35" i="69"/>
  <c r="AU31" i="69"/>
  <c r="V32" i="69"/>
  <c r="V34" i="69"/>
  <c r="V33" i="69"/>
  <c r="V31" i="69"/>
  <c r="AV31" i="69"/>
  <c r="AT32" i="69"/>
  <c r="AU29" i="69"/>
  <c r="K36" i="69"/>
  <c r="K72" i="8" l="1"/>
  <c r="I72" i="8"/>
  <c r="E176" i="30"/>
  <c r="D168" i="30" s="1"/>
  <c r="D32" i="8"/>
  <c r="D12" i="8"/>
  <c r="D13" i="8"/>
  <c r="D14" i="8"/>
  <c r="D99" i="59" l="1"/>
  <c r="D104" i="59" l="1"/>
  <c r="D103" i="59"/>
  <c r="D102" i="59"/>
  <c r="D101" i="59"/>
  <c r="D100" i="59"/>
  <c r="E157" i="59"/>
  <c r="D149" i="59" s="1"/>
  <c r="I104" i="59"/>
  <c r="I103" i="59"/>
  <c r="I102" i="59"/>
  <c r="I101" i="59"/>
  <c r="I100" i="59"/>
  <c r="K126" i="8"/>
  <c r="K113" i="8"/>
  <c r="K106" i="8"/>
  <c r="K105" i="8"/>
  <c r="K98" i="8"/>
  <c r="K96" i="8"/>
  <c r="K95" i="8"/>
  <c r="K92" i="8"/>
  <c r="K89" i="8"/>
  <c r="K82" i="8"/>
  <c r="K69" i="8"/>
  <c r="K67" i="8"/>
  <c r="K64" i="8"/>
  <c r="K63" i="8"/>
  <c r="K46" i="8"/>
  <c r="K40" i="8"/>
  <c r="K38" i="8"/>
  <c r="K37" i="8"/>
  <c r="K34" i="8"/>
  <c r="K33" i="8"/>
  <c r="K32" i="8"/>
  <c r="B75" i="64"/>
  <c r="B74" i="64"/>
  <c r="L70" i="64"/>
  <c r="H70" i="64"/>
  <c r="B70" i="64"/>
  <c r="L68" i="64"/>
  <c r="H68" i="64"/>
  <c r="B68" i="64"/>
  <c r="L66" i="64"/>
  <c r="B66" i="64"/>
  <c r="L65" i="64"/>
  <c r="B65" i="64"/>
  <c r="AC62" i="64"/>
  <c r="AC61" i="64"/>
  <c r="AC60" i="64"/>
  <c r="X57" i="64"/>
  <c r="M53" i="64"/>
  <c r="AC57" i="64" s="1"/>
  <c r="AC52" i="64"/>
  <c r="AC51" i="64"/>
  <c r="AC50" i="64"/>
  <c r="AC49" i="64"/>
  <c r="M42" i="64"/>
  <c r="AC46" i="64" s="1"/>
  <c r="V37" i="64"/>
  <c r="H37" i="64"/>
  <c r="Z34" i="64"/>
  <c r="Z33" i="64"/>
  <c r="U29" i="64"/>
  <c r="W29" i="64" s="1"/>
  <c r="W32" i="64" s="1"/>
  <c r="H28" i="64"/>
  <c r="AF25" i="64"/>
  <c r="AF26" i="64" s="1"/>
  <c r="J21" i="64"/>
  <c r="D21" i="64"/>
  <c r="J20" i="64"/>
  <c r="D20" i="64"/>
  <c r="J19" i="64"/>
  <c r="D19" i="64"/>
  <c r="J18" i="64"/>
  <c r="E18" i="64"/>
  <c r="J17" i="64"/>
  <c r="D17" i="64"/>
  <c r="J16" i="64"/>
  <c r="E16" i="64"/>
  <c r="J15" i="64"/>
  <c r="D15" i="64"/>
  <c r="J14" i="64"/>
  <c r="E14" i="64"/>
  <c r="J13" i="64"/>
  <c r="D13" i="64"/>
  <c r="E12" i="64"/>
  <c r="F11" i="64"/>
  <c r="D11" i="64"/>
  <c r="J10" i="64"/>
  <c r="D10" i="64"/>
  <c r="J9" i="64"/>
  <c r="D9" i="64"/>
  <c r="J8" i="64"/>
  <c r="D8" i="64"/>
  <c r="O5" i="64"/>
  <c r="K5" i="64"/>
  <c r="V29" i="64" l="1"/>
  <c r="V32" i="64" s="1"/>
  <c r="U31" i="64"/>
  <c r="U32" i="64"/>
  <c r="Y29" i="64"/>
  <c r="U33" i="64"/>
  <c r="U34" i="64"/>
  <c r="X29" i="64"/>
  <c r="X33" i="64" s="1"/>
  <c r="V34" i="64"/>
  <c r="F201" i="8"/>
  <c r="W34" i="64"/>
  <c r="V33" i="64"/>
  <c r="W33" i="64"/>
  <c r="V31" i="64"/>
  <c r="X32" i="64" l="1"/>
  <c r="Y33" i="64"/>
  <c r="Y34" i="64"/>
  <c r="X34" i="64"/>
  <c r="J1" i="16"/>
  <c r="J201" i="8"/>
  <c r="I201" i="8"/>
  <c r="H201" i="8"/>
  <c r="G201" i="8"/>
  <c r="L200" i="8"/>
  <c r="K200" i="8"/>
  <c r="J200" i="8"/>
  <c r="I200" i="8"/>
  <c r="H200" i="8"/>
  <c r="G200" i="8"/>
  <c r="L198" i="8"/>
  <c r="K198" i="8"/>
  <c r="J198" i="8"/>
  <c r="I198" i="8"/>
  <c r="H198" i="8"/>
  <c r="G198" i="8"/>
  <c r="L197" i="8"/>
  <c r="K197" i="8"/>
  <c r="J197" i="8"/>
  <c r="I197" i="8"/>
  <c r="H197" i="8"/>
  <c r="G197" i="8"/>
  <c r="J195" i="8"/>
  <c r="I195" i="8"/>
  <c r="H195" i="8"/>
  <c r="G195" i="8"/>
  <c r="P194" i="8"/>
  <c r="O194" i="8"/>
  <c r="N194" i="8"/>
  <c r="M194" i="8"/>
  <c r="L194" i="8"/>
  <c r="K194" i="8"/>
  <c r="J194" i="8"/>
  <c r="I194" i="8"/>
  <c r="H194" i="8"/>
  <c r="G194" i="8"/>
  <c r="L193" i="8"/>
  <c r="K193" i="8"/>
  <c r="J193" i="8"/>
  <c r="I193" i="8"/>
  <c r="H193" i="8"/>
  <c r="G193" i="8"/>
  <c r="L192" i="8"/>
  <c r="K192" i="8"/>
  <c r="J192" i="8"/>
  <c r="I192" i="8"/>
  <c r="H192" i="8"/>
  <c r="G192" i="8"/>
  <c r="J191" i="8"/>
  <c r="I191" i="8"/>
  <c r="H191" i="8"/>
  <c r="G191" i="8"/>
  <c r="K190" i="8"/>
  <c r="J190" i="8"/>
  <c r="I190" i="8"/>
  <c r="H190" i="8"/>
  <c r="G190" i="8"/>
  <c r="T41" i="64"/>
  <c r="U41" i="64"/>
  <c r="S41" i="64"/>
  <c r="L188" i="8"/>
  <c r="K188" i="8"/>
  <c r="J188" i="8"/>
  <c r="I188" i="8"/>
  <c r="H188" i="8"/>
  <c r="G188" i="8"/>
  <c r="I187" i="8"/>
  <c r="H187" i="8"/>
  <c r="G187" i="8"/>
  <c r="K186" i="8"/>
  <c r="J186" i="8"/>
  <c r="I186" i="8"/>
  <c r="H186" i="8"/>
  <c r="G186" i="8"/>
  <c r="K185" i="8"/>
  <c r="J185" i="8"/>
  <c r="I185" i="8"/>
  <c r="H185" i="8"/>
  <c r="G185" i="8"/>
  <c r="N184" i="8"/>
  <c r="M184" i="8"/>
  <c r="L184" i="8"/>
  <c r="K184" i="8"/>
  <c r="J184" i="8"/>
  <c r="I184" i="8"/>
  <c r="H184" i="8"/>
  <c r="G184" i="8"/>
  <c r="K183" i="8"/>
  <c r="J183" i="8"/>
  <c r="I183" i="8"/>
  <c r="H183" i="8"/>
  <c r="G183" i="8"/>
  <c r="J181" i="8"/>
  <c r="I181" i="8"/>
  <c r="H181" i="8"/>
  <c r="G181" i="8"/>
  <c r="I180" i="8"/>
  <c r="H180" i="8"/>
  <c r="G180" i="8"/>
  <c r="N179" i="8"/>
  <c r="M179" i="8"/>
  <c r="L179" i="8"/>
  <c r="K179" i="8"/>
  <c r="J179" i="8"/>
  <c r="I179" i="8"/>
  <c r="H179" i="8"/>
  <c r="G179" i="8"/>
  <c r="I178" i="8"/>
  <c r="H178" i="8"/>
  <c r="G178" i="8"/>
  <c r="H177" i="8"/>
  <c r="G177" i="8"/>
  <c r="H176" i="8"/>
  <c r="G176" i="8"/>
  <c r="I39" i="8"/>
  <c r="I118" i="8"/>
  <c r="T118" i="8"/>
  <c r="AH118" i="8" s="1"/>
  <c r="AH99" i="8"/>
  <c r="AH123" i="8"/>
  <c r="AH120" i="8"/>
  <c r="AH116" i="8"/>
  <c r="AH112" i="8"/>
  <c r="AH108" i="8"/>
  <c r="AH90" i="8"/>
  <c r="AH85" i="8"/>
  <c r="AH75" i="8"/>
  <c r="AH68" i="8"/>
  <c r="AH55" i="8"/>
  <c r="AH41" i="8"/>
  <c r="AH42" i="8"/>
  <c r="T24" i="8"/>
  <c r="AT15" i="8"/>
  <c r="AT35" i="8"/>
  <c r="AT31" i="8"/>
  <c r="AT26" i="8"/>
  <c r="AT25" i="8"/>
  <c r="AS25" i="8" s="1"/>
  <c r="AT10" i="8"/>
  <c r="AT9" i="8"/>
  <c r="AS9" i="8" s="1"/>
  <c r="AT8" i="8"/>
  <c r="AS8" i="8" s="1"/>
  <c r="AR8" i="8" s="1"/>
  <c r="AT7" i="8"/>
  <c r="AS7" i="8" s="1"/>
  <c r="AR7" i="8" s="1"/>
  <c r="AQ7" i="8" s="1"/>
  <c r="D38" i="8"/>
  <c r="B180" i="8" s="1"/>
  <c r="AH8" i="8"/>
  <c r="AH9" i="8"/>
  <c r="AH25" i="8"/>
  <c r="AH50" i="8"/>
  <c r="AH60" i="8"/>
  <c r="AH74" i="8"/>
  <c r="AH100" i="8"/>
  <c r="AH104" i="8"/>
  <c r="AH107" i="8"/>
  <c r="AH111" i="8"/>
  <c r="AH119" i="8"/>
  <c r="AH127" i="8"/>
  <c r="AH129" i="8"/>
  <c r="AH130" i="8"/>
  <c r="AH133" i="8"/>
  <c r="AH136" i="8"/>
  <c r="AH138" i="8"/>
  <c r="AH142" i="8"/>
  <c r="AH148" i="8"/>
  <c r="AH7" i="8"/>
  <c r="AF147" i="8"/>
  <c r="AF146" i="8"/>
  <c r="B205" i="8"/>
  <c r="AG144" i="8"/>
  <c r="AG143" i="8"/>
  <c r="B204" i="8"/>
  <c r="B203" i="8"/>
  <c r="AG140" i="8"/>
  <c r="AH139" i="8"/>
  <c r="AG135" i="8"/>
  <c r="AG134" i="8"/>
  <c r="AH131" i="8"/>
  <c r="T126" i="8"/>
  <c r="V126" i="8" s="1"/>
  <c r="P126" i="8" s="1"/>
  <c r="T125" i="8"/>
  <c r="AG125" i="8" s="1"/>
  <c r="T124" i="8"/>
  <c r="AG124" i="8" s="1"/>
  <c r="I126" i="8"/>
  <c r="D126" i="8"/>
  <c r="B201" i="8" s="1"/>
  <c r="D125" i="8"/>
  <c r="T122" i="8"/>
  <c r="T121" i="8"/>
  <c r="D124" i="8"/>
  <c r="C123" i="8"/>
  <c r="D122" i="8"/>
  <c r="D121" i="8"/>
  <c r="C120" i="8"/>
  <c r="B119" i="8"/>
  <c r="T117" i="8"/>
  <c r="D118" i="8"/>
  <c r="D117" i="8"/>
  <c r="C116" i="8"/>
  <c r="D115" i="8"/>
  <c r="D114" i="8"/>
  <c r="I113" i="8"/>
  <c r="D113" i="8"/>
  <c r="B200" i="8" s="1"/>
  <c r="C112" i="8"/>
  <c r="B111" i="8"/>
  <c r="T110" i="8"/>
  <c r="AG110" i="8" s="1"/>
  <c r="T109" i="8"/>
  <c r="AG109" i="8" s="1"/>
  <c r="C110" i="8"/>
  <c r="C109" i="8"/>
  <c r="B108" i="8"/>
  <c r="I106" i="8"/>
  <c r="C106" i="8"/>
  <c r="I105" i="8"/>
  <c r="T103" i="8"/>
  <c r="AF103" i="8" s="1"/>
  <c r="I103" i="8"/>
  <c r="T102" i="8"/>
  <c r="AG102" i="8" s="1"/>
  <c r="I102" i="8"/>
  <c r="T101" i="8"/>
  <c r="I101" i="8"/>
  <c r="C105" i="8"/>
  <c r="B104" i="8"/>
  <c r="B103" i="8"/>
  <c r="B102" i="8"/>
  <c r="B101" i="8"/>
  <c r="G136" i="70" s="1"/>
  <c r="I98" i="8"/>
  <c r="B98" i="8"/>
  <c r="B195" i="8" s="1"/>
  <c r="T97" i="8"/>
  <c r="AG97" i="8" s="1"/>
  <c r="I97" i="8"/>
  <c r="C97" i="8"/>
  <c r="I96" i="8"/>
  <c r="D96" i="8"/>
  <c r="B194" i="8" s="1"/>
  <c r="I95" i="8"/>
  <c r="D95" i="8"/>
  <c r="B193" i="8" s="1"/>
  <c r="C94" i="8"/>
  <c r="I93" i="8"/>
  <c r="T93" i="8"/>
  <c r="AH93" i="8" s="1"/>
  <c r="I92" i="8"/>
  <c r="D93" i="8"/>
  <c r="D92" i="8"/>
  <c r="B192" i="8" s="1"/>
  <c r="C91" i="8"/>
  <c r="B90" i="8"/>
  <c r="I89" i="8"/>
  <c r="C89" i="8"/>
  <c r="B191" i="8" s="1"/>
  <c r="T88" i="8"/>
  <c r="AH88" i="8" s="1"/>
  <c r="I88" i="8"/>
  <c r="D88" i="8"/>
  <c r="T87" i="8"/>
  <c r="AG87" i="8" s="1"/>
  <c r="I87" i="8"/>
  <c r="D87" i="8"/>
  <c r="C86" i="8"/>
  <c r="B85" i="8"/>
  <c r="T84" i="8"/>
  <c r="AH84" i="8" s="1"/>
  <c r="I84" i="8"/>
  <c r="D84" i="8"/>
  <c r="T83" i="8"/>
  <c r="AH83" i="8" s="1"/>
  <c r="I83" i="8"/>
  <c r="D83" i="8"/>
  <c r="I82" i="8"/>
  <c r="D82" i="8"/>
  <c r="B190" i="8" s="1"/>
  <c r="T81" i="8"/>
  <c r="I81" i="8"/>
  <c r="D81" i="8"/>
  <c r="C80" i="8"/>
  <c r="T79" i="8"/>
  <c r="AG79" i="8" s="1"/>
  <c r="T78" i="8"/>
  <c r="AH78" i="8" s="1"/>
  <c r="I79" i="8"/>
  <c r="D79" i="8"/>
  <c r="I125" i="8"/>
  <c r="I124" i="8"/>
  <c r="I122" i="8"/>
  <c r="I121" i="8"/>
  <c r="I117" i="8"/>
  <c r="I115" i="8"/>
  <c r="I114" i="8"/>
  <c r="I110" i="8"/>
  <c r="I109" i="8"/>
  <c r="I78" i="8"/>
  <c r="I77" i="8"/>
  <c r="I66" i="8"/>
  <c r="I65" i="8"/>
  <c r="I58" i="8"/>
  <c r="I54" i="8"/>
  <c r="I51" i="8"/>
  <c r="I43" i="8"/>
  <c r="I57" i="8"/>
  <c r="I56" i="8"/>
  <c r="I53" i="8"/>
  <c r="I52" i="8"/>
  <c r="I49" i="8"/>
  <c r="I48" i="8"/>
  <c r="I45" i="8"/>
  <c r="I24" i="8"/>
  <c r="I22" i="8"/>
  <c r="I16" i="8"/>
  <c r="I14" i="8"/>
  <c r="I13" i="8"/>
  <c r="I12" i="8"/>
  <c r="T77" i="8"/>
  <c r="AH77" i="8" s="1"/>
  <c r="D78" i="8"/>
  <c r="D77" i="8"/>
  <c r="C76" i="8"/>
  <c r="B75" i="8"/>
  <c r="B72" i="8"/>
  <c r="B188" i="8" s="1"/>
  <c r="T71" i="8"/>
  <c r="V71" i="8" s="1"/>
  <c r="P71" i="8" s="1"/>
  <c r="I71" i="8"/>
  <c r="T70" i="8"/>
  <c r="V70" i="8" s="1"/>
  <c r="P70" i="8" s="1"/>
  <c r="I70" i="8"/>
  <c r="I69" i="8"/>
  <c r="C71" i="8"/>
  <c r="C70" i="8"/>
  <c r="C69" i="8"/>
  <c r="B187" i="8" s="1"/>
  <c r="B68" i="8"/>
  <c r="I67" i="8"/>
  <c r="C67" i="8"/>
  <c r="B186" i="8" s="1"/>
  <c r="T66" i="8"/>
  <c r="T65" i="8"/>
  <c r="C66" i="8"/>
  <c r="C65" i="8"/>
  <c r="I64" i="8"/>
  <c r="D64" i="8"/>
  <c r="B185" i="8" s="1"/>
  <c r="I63" i="8"/>
  <c r="D63" i="8"/>
  <c r="B184" i="8" s="1"/>
  <c r="T62" i="8"/>
  <c r="AG62" i="8" s="1"/>
  <c r="I62" i="8"/>
  <c r="D62" i="8"/>
  <c r="C61" i="8"/>
  <c r="B60" i="8"/>
  <c r="T59" i="8"/>
  <c r="AH59" i="8" s="1"/>
  <c r="I59" i="8"/>
  <c r="C59" i="8"/>
  <c r="T58" i="8"/>
  <c r="T57" i="8"/>
  <c r="T56" i="8"/>
  <c r="AG56" i="8" s="1"/>
  <c r="C58" i="8"/>
  <c r="C57" i="8"/>
  <c r="C56" i="8"/>
  <c r="B55" i="8"/>
  <c r="T54" i="8"/>
  <c r="V54" i="8" s="1"/>
  <c r="P54" i="8" s="1"/>
  <c r="C54" i="8"/>
  <c r="T53" i="8"/>
  <c r="V53" i="8" s="1"/>
  <c r="P53" i="8" s="1"/>
  <c r="T52" i="8"/>
  <c r="V52" i="8" s="1"/>
  <c r="P52" i="8" s="1"/>
  <c r="T51" i="8"/>
  <c r="V51" i="8" s="1"/>
  <c r="P51" i="8" s="1"/>
  <c r="C53" i="8"/>
  <c r="C52" i="8"/>
  <c r="C51" i="8"/>
  <c r="B50" i="8"/>
  <c r="T49" i="8"/>
  <c r="V49" i="8" s="1"/>
  <c r="P49" i="8" s="1"/>
  <c r="E49" i="8"/>
  <c r="T48" i="8"/>
  <c r="V48" i="8" s="1"/>
  <c r="P48" i="8" s="1"/>
  <c r="I46" i="8"/>
  <c r="T45" i="8"/>
  <c r="AH45" i="8" s="1"/>
  <c r="T43" i="8"/>
  <c r="AG43" i="8" s="1"/>
  <c r="E48" i="8"/>
  <c r="D47" i="8"/>
  <c r="D157" i="8" s="1"/>
  <c r="D46" i="8"/>
  <c r="D45" i="8"/>
  <c r="D155" i="8" s="1"/>
  <c r="C44" i="8"/>
  <c r="C43" i="8"/>
  <c r="B42" i="8"/>
  <c r="I40" i="8"/>
  <c r="T39" i="8"/>
  <c r="I38" i="8"/>
  <c r="I37" i="8"/>
  <c r="I34" i="8"/>
  <c r="I33" i="8"/>
  <c r="I32" i="8"/>
  <c r="T30" i="8"/>
  <c r="AH30" i="8" s="1"/>
  <c r="I30" i="8"/>
  <c r="T29" i="8"/>
  <c r="AH29" i="8" s="1"/>
  <c r="I29" i="8"/>
  <c r="T27" i="8"/>
  <c r="I27" i="8"/>
  <c r="T23" i="8"/>
  <c r="AH23" i="8" s="1"/>
  <c r="I23" i="8"/>
  <c r="T22" i="8"/>
  <c r="AH22" i="8" s="1"/>
  <c r="T20" i="8"/>
  <c r="AH20" i="8" s="1"/>
  <c r="I20" i="8"/>
  <c r="T19" i="8"/>
  <c r="AH19" i="8" s="1"/>
  <c r="I19" i="8"/>
  <c r="I18" i="8"/>
  <c r="T18" i="8"/>
  <c r="AH18" i="8" s="1"/>
  <c r="T16" i="8"/>
  <c r="AH16" i="8" s="1"/>
  <c r="T14" i="8"/>
  <c r="AH14" i="8" s="1"/>
  <c r="T13" i="8"/>
  <c r="AH13" i="8" s="1"/>
  <c r="T12" i="8"/>
  <c r="B173" i="8"/>
  <c r="B41" i="8"/>
  <c r="V8" i="69" s="1"/>
  <c r="V10" i="69"/>
  <c r="B107" i="8"/>
  <c r="V11" i="69" s="1"/>
  <c r="B100" i="8"/>
  <c r="V12" i="69" s="1"/>
  <c r="B74" i="8"/>
  <c r="V9" i="69" s="1"/>
  <c r="B8" i="8"/>
  <c r="V13" i="69" s="1"/>
  <c r="B183" i="8" l="1"/>
  <c r="D156" i="8"/>
  <c r="B197" i="8"/>
  <c r="L155" i="8"/>
  <c r="B198" i="8"/>
  <c r="L156" i="8"/>
  <c r="Y41" i="64"/>
  <c r="V42" i="64" s="1"/>
  <c r="Y42" i="64" s="1"/>
  <c r="AH17" i="8"/>
  <c r="AG17" i="8" s="1"/>
  <c r="AT12" i="8"/>
  <c r="AH12" i="8"/>
  <c r="AG13" i="8"/>
  <c r="AT13" i="8"/>
  <c r="AG14" i="8"/>
  <c r="AT14" i="8"/>
  <c r="V11" i="64"/>
  <c r="B10" i="14"/>
  <c r="V12" i="64"/>
  <c r="V9" i="64"/>
  <c r="B8" i="14"/>
  <c r="V8" i="64"/>
  <c r="B7" i="14"/>
  <c r="V13" i="64"/>
  <c r="V10" i="64"/>
  <c r="B202" i="8"/>
  <c r="B199" i="8"/>
  <c r="B196" i="8"/>
  <c r="B189" i="8"/>
  <c r="B182" i="8"/>
  <c r="B175" i="8"/>
  <c r="V30" i="8"/>
  <c r="P30" i="8" s="1"/>
  <c r="V124" i="8"/>
  <c r="P124" i="8" s="1"/>
  <c r="V78" i="8"/>
  <c r="P78" i="8" s="1"/>
  <c r="V118" i="8"/>
  <c r="P118" i="8" s="1"/>
  <c r="V77" i="8"/>
  <c r="P77" i="8" s="1"/>
  <c r="V22" i="8"/>
  <c r="P22" i="8" s="1"/>
  <c r="V110" i="8"/>
  <c r="P110" i="8" s="1"/>
  <c r="V19" i="8"/>
  <c r="P19" i="8" s="1"/>
  <c r="V147" i="8"/>
  <c r="P147" i="8" s="1"/>
  <c r="V103" i="8"/>
  <c r="V59" i="8"/>
  <c r="P59" i="8" s="1"/>
  <c r="V14" i="8"/>
  <c r="P14" i="8" s="1"/>
  <c r="V146" i="8"/>
  <c r="P146" i="8" s="1"/>
  <c r="V102" i="8"/>
  <c r="V13" i="8"/>
  <c r="P13" i="8" s="1"/>
  <c r="V93" i="8"/>
  <c r="P93" i="8" s="1"/>
  <c r="V139" i="8"/>
  <c r="P139" i="8" s="1"/>
  <c r="V83" i="8"/>
  <c r="J161" i="8" s="1"/>
  <c r="V45" i="8"/>
  <c r="V79" i="8"/>
  <c r="P79" i="8" s="1"/>
  <c r="V43" i="8"/>
  <c r="V62" i="8"/>
  <c r="P62" i="8" s="1"/>
  <c r="AG12" i="8"/>
  <c r="V12" i="8"/>
  <c r="P12" i="8" s="1"/>
  <c r="AE39" i="8"/>
  <c r="V39" i="8"/>
  <c r="R39" i="8" s="1"/>
  <c r="S51" i="69" s="1"/>
  <c r="T51" i="69" s="1"/>
  <c r="AF57" i="8"/>
  <c r="V57" i="8"/>
  <c r="P57" i="8" s="1"/>
  <c r="AF65" i="8"/>
  <c r="V65" i="8"/>
  <c r="AG121" i="8"/>
  <c r="V121" i="8"/>
  <c r="P121" i="8" s="1"/>
  <c r="AG150" i="8"/>
  <c r="V150" i="8"/>
  <c r="P150" i="8" s="1"/>
  <c r="V135" i="8"/>
  <c r="V29" i="8"/>
  <c r="P29" i="8" s="1"/>
  <c r="AG27" i="8"/>
  <c r="V27" i="8"/>
  <c r="AH58" i="8"/>
  <c r="V58" i="8"/>
  <c r="P58" i="8" s="1"/>
  <c r="AG66" i="8"/>
  <c r="V66" i="8"/>
  <c r="P66" i="8" s="1"/>
  <c r="AH81" i="8"/>
  <c r="V81" i="8"/>
  <c r="P81" i="8" s="1"/>
  <c r="AH101" i="8"/>
  <c r="V101" i="8"/>
  <c r="J136" i="70" s="1"/>
  <c r="AH117" i="8"/>
  <c r="V117" i="8"/>
  <c r="P117" i="8" s="1"/>
  <c r="AG122" i="8"/>
  <c r="V122" i="8"/>
  <c r="P122" i="8" s="1"/>
  <c r="AG132" i="8"/>
  <c r="V132" i="8"/>
  <c r="P132" i="8" s="1"/>
  <c r="AG24" i="8"/>
  <c r="V24" i="8"/>
  <c r="P24" i="8" s="1"/>
  <c r="V144" i="8"/>
  <c r="P144" i="8" s="1"/>
  <c r="V134" i="8"/>
  <c r="V125" i="8"/>
  <c r="P125" i="8" s="1"/>
  <c r="V109" i="8"/>
  <c r="V84" i="8"/>
  <c r="V20" i="8"/>
  <c r="P20" i="8" s="1"/>
  <c r="V18" i="8"/>
  <c r="P18" i="8" s="1"/>
  <c r="V143" i="8"/>
  <c r="P143" i="8" s="1"/>
  <c r="V131" i="8"/>
  <c r="P131" i="8" s="1"/>
  <c r="V97" i="8"/>
  <c r="V140" i="8"/>
  <c r="P140" i="8" s="1"/>
  <c r="V88" i="8"/>
  <c r="P88" i="8" s="1"/>
  <c r="V56" i="8"/>
  <c r="P56" i="8" s="1"/>
  <c r="V16" i="8"/>
  <c r="P16" i="8" s="1"/>
  <c r="V87" i="8"/>
  <c r="P87" i="8" s="1"/>
  <c r="V23" i="8"/>
  <c r="P23" i="8" s="1"/>
  <c r="AH79" i="8"/>
  <c r="AG118" i="8"/>
  <c r="AG78" i="8"/>
  <c r="AG53" i="8"/>
  <c r="AE103" i="8"/>
  <c r="AH56" i="8"/>
  <c r="AG81" i="8"/>
  <c r="AH57" i="8"/>
  <c r="AG59" i="8"/>
  <c r="AG126" i="8"/>
  <c r="AG103" i="8"/>
  <c r="AF97" i="8"/>
  <c r="AG93" i="8"/>
  <c r="AG84" i="8"/>
  <c r="AF52" i="8"/>
  <c r="AG133" i="8"/>
  <c r="AF133" i="8" s="1"/>
  <c r="AH43" i="8"/>
  <c r="AF53" i="8"/>
  <c r="AG57" i="8"/>
  <c r="AF66" i="8"/>
  <c r="AG70" i="8"/>
  <c r="AG83" i="8"/>
  <c r="AG88" i="8"/>
  <c r="AE102" i="8"/>
  <c r="AG131" i="8"/>
  <c r="AG146" i="8"/>
  <c r="AF54" i="8"/>
  <c r="AF58" i="8"/>
  <c r="AF71" i="8"/>
  <c r="AG147" i="8"/>
  <c r="AH70" i="8"/>
  <c r="AH147" i="8"/>
  <c r="AF43" i="8"/>
  <c r="AG54" i="8"/>
  <c r="AG58" i="8"/>
  <c r="AG65" i="8"/>
  <c r="AG71" i="8"/>
  <c r="AG117" i="8"/>
  <c r="AG139" i="8"/>
  <c r="AF51" i="8"/>
  <c r="AF56" i="8"/>
  <c r="AH71" i="8"/>
  <c r="AG77" i="8"/>
  <c r="AF101" i="8"/>
  <c r="AF109" i="8"/>
  <c r="AH109" i="8"/>
  <c r="AT16" i="8"/>
  <c r="AG51" i="8"/>
  <c r="AF59" i="8"/>
  <c r="AH87" i="8"/>
  <c r="AG101" i="8"/>
  <c r="AF110" i="8"/>
  <c r="AG45" i="8"/>
  <c r="AF102" i="8"/>
  <c r="AG52" i="8"/>
  <c r="AF70" i="8"/>
  <c r="AE101" i="8"/>
  <c r="AT24" i="8"/>
  <c r="AT27" i="8"/>
  <c r="AT39" i="8"/>
  <c r="AS39" i="8" s="1"/>
  <c r="AR39" i="8" s="1"/>
  <c r="AH126" i="8"/>
  <c r="AH134" i="8"/>
  <c r="AH24" i="8"/>
  <c r="AG16" i="8"/>
  <c r="AH62" i="8"/>
  <c r="AH21" i="8"/>
  <c r="AG21" i="8" s="1"/>
  <c r="AH28" i="8"/>
  <c r="AG28" i="8" s="1"/>
  <c r="AH121" i="8"/>
  <c r="AH65" i="8"/>
  <c r="AH53" i="8"/>
  <c r="AH140" i="8"/>
  <c r="AH132" i="8"/>
  <c r="AH124" i="8"/>
  <c r="AH110" i="8"/>
  <c r="AH102" i="8"/>
  <c r="AH97" i="8"/>
  <c r="AH143" i="8"/>
  <c r="AH135" i="8"/>
  <c r="AH39" i="8"/>
  <c r="AH27" i="8"/>
  <c r="AH150" i="8"/>
  <c r="AH146" i="8"/>
  <c r="AH122" i="8"/>
  <c r="AH52" i="8"/>
  <c r="AG39" i="8"/>
  <c r="AH125" i="8"/>
  <c r="AH103" i="8"/>
  <c r="AH49" i="8"/>
  <c r="AF39" i="8"/>
  <c r="AH144" i="8"/>
  <c r="AH66" i="8"/>
  <c r="AH54" i="8"/>
  <c r="AH48" i="8"/>
  <c r="AH51" i="8"/>
  <c r="B9" i="14"/>
  <c r="B11" i="14"/>
  <c r="B12" i="14"/>
  <c r="W43" i="64" l="1"/>
  <c r="Y43" i="64" s="1"/>
  <c r="P45" i="8"/>
  <c r="J155" i="8"/>
  <c r="G55" i="69"/>
  <c r="U57" i="69" s="1"/>
  <c r="H71" i="69"/>
  <c r="B71" i="69"/>
  <c r="C55" i="69"/>
  <c r="R57" i="69" s="1"/>
  <c r="K44" i="69"/>
  <c r="L69" i="69"/>
  <c r="G44" i="69"/>
  <c r="U46" i="69" s="1"/>
  <c r="H69" i="69"/>
  <c r="C44" i="69"/>
  <c r="R46" i="69" s="1"/>
  <c r="B69" i="69"/>
  <c r="K55" i="69"/>
  <c r="L71" i="69"/>
  <c r="AG26" i="8"/>
  <c r="AF26" i="8" s="1"/>
  <c r="AG15" i="8"/>
  <c r="AM16" i="8" s="1"/>
  <c r="R103" i="8"/>
  <c r="S62" i="69" s="1"/>
  <c r="T62" i="69" s="1"/>
  <c r="P109" i="8"/>
  <c r="P27" i="8"/>
  <c r="R102" i="8"/>
  <c r="S61" i="69" s="1"/>
  <c r="T61" i="69" s="1"/>
  <c r="R160" i="8"/>
  <c r="AG10" i="8"/>
  <c r="AM14" i="8" s="1"/>
  <c r="H69" i="64"/>
  <c r="G53" i="64"/>
  <c r="U57" i="64" s="1"/>
  <c r="S62" i="64"/>
  <c r="T62" i="64" s="1"/>
  <c r="C53" i="64"/>
  <c r="R57" i="64" s="1"/>
  <c r="B69" i="64"/>
  <c r="L67" i="64"/>
  <c r="K42" i="64"/>
  <c r="X46" i="64" s="1"/>
  <c r="H67" i="64"/>
  <c r="G42" i="64"/>
  <c r="U46" i="64" s="1"/>
  <c r="S51" i="64"/>
  <c r="T51" i="64" s="1"/>
  <c r="B67" i="64"/>
  <c r="C42" i="64"/>
  <c r="R46" i="64" s="1"/>
  <c r="K53" i="64"/>
  <c r="L69" i="64"/>
  <c r="R101" i="8"/>
  <c r="S60" i="69" s="1"/>
  <c r="T60" i="69" s="1"/>
  <c r="AG120" i="8"/>
  <c r="AM121" i="8" s="1"/>
  <c r="AY121" i="8" s="1"/>
  <c r="P43" i="8"/>
  <c r="P83" i="8"/>
  <c r="J164" i="8"/>
  <c r="P135" i="8"/>
  <c r="J163" i="8"/>
  <c r="P134" i="8"/>
  <c r="P97" i="8"/>
  <c r="R166" i="8"/>
  <c r="P84" i="8"/>
  <c r="J162" i="8"/>
  <c r="J159" i="8"/>
  <c r="R161" i="8"/>
  <c r="P65" i="8"/>
  <c r="AG76" i="8"/>
  <c r="AM79" i="8" s="1"/>
  <c r="AY79" i="8" s="1"/>
  <c r="AH47" i="8"/>
  <c r="AG47" i="8" s="1"/>
  <c r="AM134" i="8"/>
  <c r="AY134" i="8" s="1"/>
  <c r="AM135" i="8"/>
  <c r="AY135" i="8" s="1"/>
  <c r="AG123" i="8"/>
  <c r="AM126" i="8" s="1"/>
  <c r="AY126" i="8" s="1"/>
  <c r="AG86" i="8"/>
  <c r="AM88" i="8" s="1"/>
  <c r="AY88" i="8" s="1"/>
  <c r="AF55" i="8"/>
  <c r="AL59" i="8" s="1"/>
  <c r="AX59" i="8" s="1"/>
  <c r="AG130" i="8"/>
  <c r="AM131" i="8" s="1"/>
  <c r="AY131" i="8" s="1"/>
  <c r="AF108" i="8"/>
  <c r="AF50" i="8"/>
  <c r="AL52" i="8" s="1"/>
  <c r="AX52" i="8" s="1"/>
  <c r="AN18" i="8"/>
  <c r="AN22" i="8"/>
  <c r="AZ22" i="8" s="1"/>
  <c r="AN19" i="8"/>
  <c r="AZ19" i="8" s="1"/>
  <c r="AN23" i="8"/>
  <c r="AZ23" i="8" s="1"/>
  <c r="AN30" i="8"/>
  <c r="AZ30" i="8" s="1"/>
  <c r="AN29" i="8"/>
  <c r="AZ29" i="8" s="1"/>
  <c r="AN20" i="8"/>
  <c r="AZ20" i="8" s="1"/>
  <c r="AF10" i="8" l="1"/>
  <c r="S61" i="64"/>
  <c r="T61" i="64" s="1"/>
  <c r="AM17" i="8"/>
  <c r="AY17" i="8" s="1"/>
  <c r="AM12" i="8"/>
  <c r="AY12" i="8" s="1"/>
  <c r="AM13" i="8"/>
  <c r="AY13" i="8" s="1"/>
  <c r="Q14" i="8"/>
  <c r="AY14" i="8"/>
  <c r="AZ18" i="8"/>
  <c r="Q18" i="8"/>
  <c r="S60" i="64"/>
  <c r="T60" i="64" s="1"/>
  <c r="AF120" i="8"/>
  <c r="AM122" i="8"/>
  <c r="AY122" i="8" s="1"/>
  <c r="AM27" i="8"/>
  <c r="AY27" i="8" s="1"/>
  <c r="AM28" i="8"/>
  <c r="AY28" i="8" s="1"/>
  <c r="AM77" i="8"/>
  <c r="AF76" i="8"/>
  <c r="AL56" i="8"/>
  <c r="AM78" i="8"/>
  <c r="Q131" i="8"/>
  <c r="AS131" i="8"/>
  <c r="Q135" i="8"/>
  <c r="AS135" i="8"/>
  <c r="AE55" i="8"/>
  <c r="AL57" i="8"/>
  <c r="AX57" i="8" s="1"/>
  <c r="Q88" i="8"/>
  <c r="AS88" i="8"/>
  <c r="Q134" i="8"/>
  <c r="AS134" i="8"/>
  <c r="AN49" i="8"/>
  <c r="AZ49" i="8" s="1"/>
  <c r="AF130" i="8"/>
  <c r="AM132" i="8"/>
  <c r="AY132" i="8" s="1"/>
  <c r="AF86" i="8"/>
  <c r="AM87" i="8"/>
  <c r="AY87" i="8" s="1"/>
  <c r="Q126" i="8"/>
  <c r="AS126" i="8"/>
  <c r="Q59" i="8"/>
  <c r="AR59" i="8"/>
  <c r="AF123" i="8"/>
  <c r="AM125" i="8"/>
  <c r="AY125" i="8" s="1"/>
  <c r="AM124" i="8"/>
  <c r="AY124" i="8" s="1"/>
  <c r="AL58" i="8"/>
  <c r="AX58" i="8" s="1"/>
  <c r="Q121" i="8"/>
  <c r="AS121" i="8"/>
  <c r="AN48" i="8"/>
  <c r="AZ48" i="8" s="1"/>
  <c r="AG116" i="8"/>
  <c r="AM117" i="8" s="1"/>
  <c r="AE108" i="8"/>
  <c r="AL110" i="8"/>
  <c r="AX110" i="8" s="1"/>
  <c r="AL109" i="8"/>
  <c r="AX109" i="8" s="1"/>
  <c r="Q79" i="8"/>
  <c r="AS79" i="8"/>
  <c r="Q52" i="8"/>
  <c r="AR52" i="8"/>
  <c r="AE50" i="8"/>
  <c r="AL51" i="8"/>
  <c r="AX51" i="8" s="1"/>
  <c r="AL54" i="8"/>
  <c r="AX54" i="8" s="1"/>
  <c r="AL53" i="8"/>
  <c r="AX53" i="8" s="1"/>
  <c r="Q29" i="8"/>
  <c r="AT29" i="8"/>
  <c r="AS14" i="8"/>
  <c r="Q30" i="8"/>
  <c r="AT30" i="8"/>
  <c r="Q19" i="8"/>
  <c r="AT19" i="8"/>
  <c r="Q23" i="8"/>
  <c r="AT23" i="8"/>
  <c r="Q22" i="8"/>
  <c r="AT22" i="8"/>
  <c r="AT18" i="8"/>
  <c r="Q20" i="8"/>
  <c r="AT20" i="8"/>
  <c r="AM21" i="8"/>
  <c r="AY21" i="8" s="1"/>
  <c r="AF15" i="8"/>
  <c r="AM24" i="8"/>
  <c r="AY16" i="8"/>
  <c r="S40" i="64"/>
  <c r="T40" i="64"/>
  <c r="U40" i="64"/>
  <c r="AF9" i="8" l="1"/>
  <c r="AL15" i="8" s="1"/>
  <c r="AX15" i="8" s="1"/>
  <c r="AS13" i="8"/>
  <c r="Q13" i="8"/>
  <c r="Q17" i="8"/>
  <c r="Q12" i="8"/>
  <c r="AS12" i="8"/>
  <c r="AS10" i="8" s="1"/>
  <c r="AY10" i="8"/>
  <c r="AS122" i="8"/>
  <c r="AS120" i="8" s="1"/>
  <c r="Q27" i="8"/>
  <c r="Y40" i="64"/>
  <c r="AY123" i="8"/>
  <c r="Q117" i="8"/>
  <c r="AY117" i="8"/>
  <c r="Q122" i="8"/>
  <c r="Q78" i="8"/>
  <c r="AY78" i="8"/>
  <c r="Q77" i="8"/>
  <c r="AY77" i="8"/>
  <c r="AR56" i="8"/>
  <c r="AX56" i="8"/>
  <c r="Q28" i="8"/>
  <c r="Q24" i="8"/>
  <c r="AY24" i="8"/>
  <c r="AY15" i="8" s="1"/>
  <c r="V149" i="8"/>
  <c r="P149" i="8" s="1"/>
  <c r="V145" i="8"/>
  <c r="P145" i="8" s="1"/>
  <c r="V141" i="8"/>
  <c r="P141" i="8" s="1"/>
  <c r="Q56" i="8"/>
  <c r="AT21" i="8"/>
  <c r="U21" i="8" s="1"/>
  <c r="V21" i="8" s="1"/>
  <c r="P21" i="8" s="1"/>
  <c r="Q21" i="8"/>
  <c r="AS77" i="8"/>
  <c r="AS78" i="8"/>
  <c r="AS133" i="8"/>
  <c r="U133" i="8" s="1"/>
  <c r="V133" i="8" s="1"/>
  <c r="P133" i="8" s="1"/>
  <c r="AS87" i="8"/>
  <c r="Q87" i="8"/>
  <c r="AM118" i="8"/>
  <c r="AY118" i="8" s="1"/>
  <c r="AS117" i="8"/>
  <c r="Q132" i="8"/>
  <c r="AS132" i="8"/>
  <c r="AF119" i="8"/>
  <c r="AL123" i="8" s="1"/>
  <c r="AX123" i="8" s="1"/>
  <c r="Q125" i="8"/>
  <c r="AS125" i="8"/>
  <c r="AF129" i="8"/>
  <c r="AL130" i="8" s="1"/>
  <c r="AX130" i="8" s="1"/>
  <c r="Q48" i="8"/>
  <c r="AT48" i="8"/>
  <c r="Q49" i="8"/>
  <c r="AT49" i="8"/>
  <c r="Q124" i="8"/>
  <c r="AS124" i="8"/>
  <c r="Q58" i="8"/>
  <c r="AR58" i="8"/>
  <c r="Q57" i="8"/>
  <c r="AR57" i="8"/>
  <c r="AF116" i="8"/>
  <c r="Q109" i="8"/>
  <c r="AR109" i="8"/>
  <c r="Q110" i="8"/>
  <c r="AR110" i="8"/>
  <c r="Q51" i="8"/>
  <c r="AR51" i="8"/>
  <c r="Q53" i="8"/>
  <c r="AR53" i="8"/>
  <c r="AR54" i="8"/>
  <c r="Q54" i="8"/>
  <c r="AT17" i="8"/>
  <c r="U17" i="8" s="1"/>
  <c r="V17" i="8" s="1"/>
  <c r="P17" i="8" s="1"/>
  <c r="AT28" i="8"/>
  <c r="U28" i="8" s="1"/>
  <c r="V28" i="8" s="1"/>
  <c r="P28" i="8" s="1"/>
  <c r="Q16" i="8"/>
  <c r="AS16" i="8"/>
  <c r="X41" i="64" l="1"/>
  <c r="X42" i="64"/>
  <c r="T36" i="64" s="1"/>
  <c r="S36" i="64" s="1"/>
  <c r="S37" i="64" s="1"/>
  <c r="X43" i="64"/>
  <c r="AG149" i="8"/>
  <c r="AG148" i="8" s="1"/>
  <c r="AM149" i="8" s="1"/>
  <c r="AY149" i="8" s="1"/>
  <c r="AH149" i="8"/>
  <c r="AH145" i="8"/>
  <c r="AG145" i="8"/>
  <c r="AG142" i="8" s="1"/>
  <c r="AM145" i="8" s="1"/>
  <c r="AY145" i="8" s="1"/>
  <c r="AH141" i="8"/>
  <c r="AG141" i="8"/>
  <c r="AG138" i="8" s="1"/>
  <c r="AY133" i="8"/>
  <c r="AY120" i="8"/>
  <c r="AS86" i="8"/>
  <c r="AS130" i="8"/>
  <c r="AS76" i="8"/>
  <c r="AR55" i="8"/>
  <c r="AT47" i="8"/>
  <c r="U47" i="8" s="1"/>
  <c r="V47" i="8" s="1"/>
  <c r="Q130" i="8"/>
  <c r="Q118" i="8"/>
  <c r="AS118" i="8"/>
  <c r="AS123" i="8"/>
  <c r="AE129" i="8"/>
  <c r="AL133" i="8"/>
  <c r="AX133" i="8" s="1"/>
  <c r="AR50" i="8"/>
  <c r="U120" i="8"/>
  <c r="V120" i="8" s="1"/>
  <c r="P120" i="8" s="1"/>
  <c r="Q123" i="8"/>
  <c r="AS28" i="8"/>
  <c r="AE119" i="8"/>
  <c r="AL120" i="8"/>
  <c r="AR108" i="8"/>
  <c r="Q15" i="8"/>
  <c r="AS27" i="8"/>
  <c r="AE9" i="8"/>
  <c r="AL10" i="8"/>
  <c r="AX10" i="8" s="1"/>
  <c r="P47" i="8" l="1"/>
  <c r="J157" i="8"/>
  <c r="AR120" i="8"/>
  <c r="AX120" i="8"/>
  <c r="AR130" i="8"/>
  <c r="Q145" i="8"/>
  <c r="AS145" i="8"/>
  <c r="AF142" i="8"/>
  <c r="AM143" i="8"/>
  <c r="AY143" i="8" s="1"/>
  <c r="AM144" i="8"/>
  <c r="AY144" i="8" s="1"/>
  <c r="U130" i="8"/>
  <c r="V130" i="8" s="1"/>
  <c r="P130" i="8" s="1"/>
  <c r="U76" i="8"/>
  <c r="V76" i="8" s="1"/>
  <c r="U86" i="8"/>
  <c r="V86" i="8" s="1"/>
  <c r="P86" i="8" s="1"/>
  <c r="AZ21" i="8"/>
  <c r="AS116" i="8"/>
  <c r="AY130" i="8"/>
  <c r="AY86" i="8"/>
  <c r="U50" i="8"/>
  <c r="V50" i="8" s="1"/>
  <c r="R50" i="8" s="1"/>
  <c r="V50" i="69" s="1"/>
  <c r="W50" i="69" s="1"/>
  <c r="AX108" i="8"/>
  <c r="AZ28" i="8"/>
  <c r="AZ17" i="8"/>
  <c r="U55" i="8"/>
  <c r="V55" i="8" s="1"/>
  <c r="R55" i="8" s="1"/>
  <c r="V51" i="69" s="1"/>
  <c r="W51" i="69" s="1"/>
  <c r="Q133" i="8"/>
  <c r="AR133" i="8"/>
  <c r="Q149" i="8"/>
  <c r="AS149" i="8"/>
  <c r="AR123" i="8"/>
  <c r="U123" i="8"/>
  <c r="V123" i="8" s="1"/>
  <c r="P123" i="8" s="1"/>
  <c r="AF148" i="8"/>
  <c r="AM150" i="8"/>
  <c r="AY150" i="8" s="1"/>
  <c r="Q120" i="8"/>
  <c r="AS26" i="8"/>
  <c r="U26" i="8" s="1"/>
  <c r="AF138" i="8"/>
  <c r="AM140" i="8"/>
  <c r="AY140" i="8" s="1"/>
  <c r="AM139" i="8"/>
  <c r="AY139" i="8" s="1"/>
  <c r="AM141" i="8"/>
  <c r="AY141" i="8" s="1"/>
  <c r="U108" i="8"/>
  <c r="V108" i="8" s="1"/>
  <c r="R108" i="8" s="1"/>
  <c r="V60" i="69" s="1"/>
  <c r="W60" i="69" s="1"/>
  <c r="Q10" i="8"/>
  <c r="AS24" i="8"/>
  <c r="P76" i="8" l="1"/>
  <c r="V60" i="64"/>
  <c r="W60" i="64" s="1"/>
  <c r="V51" i="64"/>
  <c r="W51" i="64" s="1"/>
  <c r="V50" i="64"/>
  <c r="W50" i="64" s="1"/>
  <c r="V128" i="8"/>
  <c r="R128" i="8" s="1"/>
  <c r="Y60" i="69" s="1"/>
  <c r="Q143" i="8"/>
  <c r="AS143" i="8"/>
  <c r="Q144" i="8"/>
  <c r="AS144" i="8"/>
  <c r="AY76" i="8"/>
  <c r="AZ47" i="8"/>
  <c r="AX55" i="8"/>
  <c r="V26" i="8"/>
  <c r="J134" i="70" s="1"/>
  <c r="AR129" i="8"/>
  <c r="AX50" i="8"/>
  <c r="U116" i="8"/>
  <c r="V116" i="8" s="1"/>
  <c r="P116" i="8" s="1"/>
  <c r="AY116" i="8"/>
  <c r="AR119" i="8"/>
  <c r="Q140" i="8"/>
  <c r="AS140" i="8"/>
  <c r="Q150" i="8"/>
  <c r="AS150" i="8"/>
  <c r="Q141" i="8"/>
  <c r="AS141" i="8"/>
  <c r="Q139" i="8"/>
  <c r="AS139" i="8"/>
  <c r="AS21" i="8"/>
  <c r="I84" i="59"/>
  <c r="I83" i="59"/>
  <c r="I82" i="59"/>
  <c r="I81" i="59"/>
  <c r="I80" i="59"/>
  <c r="I70" i="59"/>
  <c r="G79" i="59"/>
  <c r="G69" i="59"/>
  <c r="K34" i="59"/>
  <c r="D19" i="59"/>
  <c r="D18" i="59"/>
  <c r="D17" i="59"/>
  <c r="D16" i="59"/>
  <c r="D15" i="59"/>
  <c r="D28" i="59"/>
  <c r="D27" i="59"/>
  <c r="D26" i="59"/>
  <c r="D25" i="59"/>
  <c r="D24" i="59"/>
  <c r="D154" i="59"/>
  <c r="D153" i="59"/>
  <c r="D152" i="59"/>
  <c r="D151" i="59"/>
  <c r="D150" i="59"/>
  <c r="D145" i="59"/>
  <c r="D144" i="59"/>
  <c r="D143" i="59"/>
  <c r="D142" i="59"/>
  <c r="D141" i="59"/>
  <c r="D136" i="59"/>
  <c r="D135" i="59"/>
  <c r="D134" i="59"/>
  <c r="D133" i="59"/>
  <c r="D132" i="59"/>
  <c r="D126" i="59"/>
  <c r="D125" i="59"/>
  <c r="D124" i="59"/>
  <c r="D123" i="59"/>
  <c r="D122" i="59"/>
  <c r="D117" i="59"/>
  <c r="D116" i="59"/>
  <c r="D115" i="59"/>
  <c r="D114" i="59"/>
  <c r="D113" i="59"/>
  <c r="E104" i="59"/>
  <c r="E103" i="59"/>
  <c r="E102" i="59"/>
  <c r="E101" i="59"/>
  <c r="E100" i="59"/>
  <c r="D94" i="59"/>
  <c r="D93" i="59"/>
  <c r="D92" i="59"/>
  <c r="D91" i="59"/>
  <c r="D90" i="59"/>
  <c r="E84" i="59"/>
  <c r="E83" i="59"/>
  <c r="E82" i="59"/>
  <c r="E81" i="59"/>
  <c r="E80" i="59"/>
  <c r="E74" i="59"/>
  <c r="E73" i="59"/>
  <c r="E72" i="59"/>
  <c r="E71" i="59"/>
  <c r="E70" i="59"/>
  <c r="I74" i="59"/>
  <c r="I73" i="59"/>
  <c r="I72" i="59"/>
  <c r="I71" i="59"/>
  <c r="E44" i="59"/>
  <c r="D56" i="59"/>
  <c r="E71" i="58"/>
  <c r="E54" i="58"/>
  <c r="D38" i="58"/>
  <c r="D37" i="58"/>
  <c r="D36" i="58"/>
  <c r="D35" i="58"/>
  <c r="D34" i="58"/>
  <c r="D27" i="58"/>
  <c r="D26" i="58"/>
  <c r="D25" i="58"/>
  <c r="D24" i="58"/>
  <c r="D23" i="58"/>
  <c r="D18" i="58"/>
  <c r="D17" i="58"/>
  <c r="D16" i="58"/>
  <c r="D15" i="58"/>
  <c r="D14" i="58"/>
  <c r="G199" i="30"/>
  <c r="E159" i="30"/>
  <c r="E151" i="30" s="1"/>
  <c r="G151" i="30"/>
  <c r="E131" i="30"/>
  <c r="E114" i="30"/>
  <c r="D106" i="30" s="1"/>
  <c r="E207" i="30"/>
  <c r="E60" i="30"/>
  <c r="D194" i="30"/>
  <c r="D193" i="30"/>
  <c r="D192" i="30"/>
  <c r="D191" i="30"/>
  <c r="D190" i="30"/>
  <c r="D145" i="30"/>
  <c r="D144" i="30"/>
  <c r="D143" i="30"/>
  <c r="D142" i="30"/>
  <c r="D141" i="30"/>
  <c r="D102" i="30"/>
  <c r="D101" i="30"/>
  <c r="D100" i="30"/>
  <c r="D99" i="30"/>
  <c r="D98" i="30"/>
  <c r="D93" i="30"/>
  <c r="D92" i="30"/>
  <c r="D91" i="30"/>
  <c r="D90" i="30"/>
  <c r="D89" i="30"/>
  <c r="D82" i="30"/>
  <c r="D81" i="30"/>
  <c r="D80" i="30"/>
  <c r="D79" i="30"/>
  <c r="D78" i="30"/>
  <c r="D73" i="30"/>
  <c r="D72" i="30"/>
  <c r="D71" i="30"/>
  <c r="D70" i="30"/>
  <c r="D69" i="30"/>
  <c r="D48" i="30"/>
  <c r="D47" i="30"/>
  <c r="D46" i="30"/>
  <c r="D45" i="30"/>
  <c r="D44" i="30"/>
  <c r="D38" i="30"/>
  <c r="D37" i="30"/>
  <c r="D36" i="30"/>
  <c r="D35" i="30"/>
  <c r="D34" i="30"/>
  <c r="D29" i="30"/>
  <c r="D28" i="30"/>
  <c r="D27" i="30"/>
  <c r="D26" i="30"/>
  <c r="D25" i="30"/>
  <c r="D20" i="30"/>
  <c r="D19" i="30"/>
  <c r="D18" i="30"/>
  <c r="D17" i="30"/>
  <c r="D16" i="30"/>
  <c r="E41" i="29"/>
  <c r="F183" i="8" s="1"/>
  <c r="D33" i="29"/>
  <c r="T46" i="8" s="1"/>
  <c r="V46" i="8" s="1"/>
  <c r="F162" i="29"/>
  <c r="E160" i="29"/>
  <c r="F166" i="29"/>
  <c r="F164" i="29"/>
  <c r="E179" i="29"/>
  <c r="E213" i="29"/>
  <c r="E263" i="29"/>
  <c r="D255" i="29" s="1"/>
  <c r="T72" i="8" s="1"/>
  <c r="E230" i="29"/>
  <c r="F187" i="8" s="1"/>
  <c r="D250" i="29"/>
  <c r="D249" i="29"/>
  <c r="D248" i="29"/>
  <c r="D247" i="29"/>
  <c r="D246" i="29"/>
  <c r="D241" i="29"/>
  <c r="D240" i="29"/>
  <c r="D239" i="29"/>
  <c r="D238" i="29"/>
  <c r="D237" i="29"/>
  <c r="D201" i="29"/>
  <c r="D200" i="29"/>
  <c r="D199" i="29"/>
  <c r="D198" i="29"/>
  <c r="D197" i="29"/>
  <c r="D192" i="29"/>
  <c r="D191" i="29"/>
  <c r="D190" i="29"/>
  <c r="D189" i="29"/>
  <c r="D188" i="29"/>
  <c r="D148" i="29"/>
  <c r="D147" i="29"/>
  <c r="D146" i="29"/>
  <c r="D145" i="29"/>
  <c r="D144" i="29"/>
  <c r="D137" i="29"/>
  <c r="D136" i="29"/>
  <c r="D135" i="29"/>
  <c r="D134" i="29"/>
  <c r="D133" i="29"/>
  <c r="D128" i="29"/>
  <c r="D127" i="29"/>
  <c r="D126" i="29"/>
  <c r="D125" i="29"/>
  <c r="D124" i="29"/>
  <c r="D119" i="29"/>
  <c r="D118" i="29"/>
  <c r="D117" i="29"/>
  <c r="D116" i="29"/>
  <c r="D115" i="29"/>
  <c r="D110" i="29"/>
  <c r="D109" i="29"/>
  <c r="D108" i="29"/>
  <c r="D107" i="29"/>
  <c r="D106" i="29"/>
  <c r="D100" i="29"/>
  <c r="D99" i="29"/>
  <c r="D98" i="29"/>
  <c r="D97" i="29"/>
  <c r="D96" i="29"/>
  <c r="D91" i="29"/>
  <c r="D90" i="29"/>
  <c r="D89" i="29"/>
  <c r="D88" i="29"/>
  <c r="D87" i="29"/>
  <c r="D82" i="29"/>
  <c r="D81" i="29"/>
  <c r="D80" i="29"/>
  <c r="D79" i="29"/>
  <c r="D78" i="29"/>
  <c r="D73" i="29"/>
  <c r="D72" i="29"/>
  <c r="D71" i="29"/>
  <c r="D70" i="29"/>
  <c r="D69" i="29"/>
  <c r="D63" i="29"/>
  <c r="D62" i="29"/>
  <c r="D61" i="29"/>
  <c r="D60" i="29"/>
  <c r="D59" i="29"/>
  <c r="D55" i="29"/>
  <c r="D54" i="29"/>
  <c r="D53" i="29"/>
  <c r="D52" i="29"/>
  <c r="D51" i="29"/>
  <c r="D29" i="29"/>
  <c r="D28" i="29"/>
  <c r="D27" i="29"/>
  <c r="D26" i="29"/>
  <c r="D25" i="29"/>
  <c r="D19" i="29"/>
  <c r="D18" i="29"/>
  <c r="D17" i="29"/>
  <c r="D16" i="29"/>
  <c r="D15" i="29"/>
  <c r="E143" i="16"/>
  <c r="E156" i="16"/>
  <c r="E169" i="16"/>
  <c r="E226" i="16"/>
  <c r="F181" i="8" s="1"/>
  <c r="E203" i="16"/>
  <c r="F180" i="8" s="1"/>
  <c r="F200" i="8" l="1"/>
  <c r="E35" i="59"/>
  <c r="E40" i="59" s="1"/>
  <c r="P46" i="8"/>
  <c r="J156" i="8"/>
  <c r="AE72" i="8"/>
  <c r="V72" i="8"/>
  <c r="R72" i="8" s="1"/>
  <c r="V54" i="69" s="1"/>
  <c r="W54" i="69" s="1"/>
  <c r="AH72" i="8"/>
  <c r="AG72" i="8"/>
  <c r="AT72" i="8"/>
  <c r="AS72" i="8" s="1"/>
  <c r="AR72" i="8" s="1"/>
  <c r="AF72" i="8"/>
  <c r="T37" i="69"/>
  <c r="S36" i="69" s="1"/>
  <c r="S37" i="69" s="1"/>
  <c r="Z60" i="69"/>
  <c r="F192" i="8"/>
  <c r="D123" i="30"/>
  <c r="Y60" i="64"/>
  <c r="Z60" i="64" s="1"/>
  <c r="P26" i="8"/>
  <c r="D46" i="58"/>
  <c r="T105" i="8" s="1"/>
  <c r="AG105" i="8" s="1"/>
  <c r="F197" i="8"/>
  <c r="T89" i="8"/>
  <c r="V89" i="8" s="1"/>
  <c r="P89" i="8" s="1"/>
  <c r="F191" i="8"/>
  <c r="D152" i="29"/>
  <c r="T63" i="8" s="1"/>
  <c r="V63" i="8" s="1"/>
  <c r="P63" i="8" s="1"/>
  <c r="F184" i="8"/>
  <c r="D161" i="16"/>
  <c r="T34" i="8" s="1"/>
  <c r="V34" i="8" s="1"/>
  <c r="J135" i="70" s="1"/>
  <c r="D134" i="70" s="1"/>
  <c r="T137" i="8" s="1"/>
  <c r="F178" i="8"/>
  <c r="D148" i="16"/>
  <c r="T33" i="8" s="1"/>
  <c r="F177" i="8"/>
  <c r="D135" i="16"/>
  <c r="T32" i="8" s="1"/>
  <c r="V32" i="8" s="1"/>
  <c r="P32" i="8" s="1"/>
  <c r="F176" i="8"/>
  <c r="AF128" i="8"/>
  <c r="AH128" i="8"/>
  <c r="AE128" i="8"/>
  <c r="AG128" i="8"/>
  <c r="D63" i="58"/>
  <c r="T106" i="8" s="1"/>
  <c r="AG106" i="8" s="1"/>
  <c r="F198" i="8"/>
  <c r="I199" i="30"/>
  <c r="I202" i="30" s="1"/>
  <c r="F195" i="8"/>
  <c r="T96" i="8"/>
  <c r="AG96" i="8" s="1"/>
  <c r="F194" i="8"/>
  <c r="E152" i="30"/>
  <c r="F193" i="8"/>
  <c r="D52" i="30"/>
  <c r="T82" i="8" s="1"/>
  <c r="AG82" i="8" s="1"/>
  <c r="F190" i="8"/>
  <c r="F188" i="8"/>
  <c r="D205" i="29"/>
  <c r="T67" i="8" s="1"/>
  <c r="V67" i="8" s="1"/>
  <c r="P67" i="8" s="1"/>
  <c r="F186" i="8"/>
  <c r="D171" i="29"/>
  <c r="D172" i="29" s="1"/>
  <c r="F185" i="8"/>
  <c r="AS142" i="8"/>
  <c r="U129" i="8"/>
  <c r="V129" i="8" s="1"/>
  <c r="AY26" i="8"/>
  <c r="AX129" i="8"/>
  <c r="AS148" i="8"/>
  <c r="U119" i="8"/>
  <c r="V119" i="8" s="1"/>
  <c r="R119" i="8" s="1"/>
  <c r="V62" i="69" s="1"/>
  <c r="W62" i="69" s="1"/>
  <c r="AX119" i="8"/>
  <c r="AS138" i="8"/>
  <c r="U138" i="8" s="1"/>
  <c r="V138" i="8" s="1"/>
  <c r="P138" i="8" s="1"/>
  <c r="AH46" i="8"/>
  <c r="AG46" i="8"/>
  <c r="AG44" i="8" s="1"/>
  <c r="AS17" i="8"/>
  <c r="AS15" i="8" s="1"/>
  <c r="D55" i="59"/>
  <c r="D58" i="59"/>
  <c r="D57" i="59"/>
  <c r="D59" i="59"/>
  <c r="I151" i="30"/>
  <c r="E199" i="30"/>
  <c r="D35" i="29"/>
  <c r="D38" i="29"/>
  <c r="D36" i="29"/>
  <c r="D37" i="29"/>
  <c r="D34" i="29"/>
  <c r="E184" i="16"/>
  <c r="D195" i="16"/>
  <c r="T38" i="8" s="1"/>
  <c r="D218" i="16"/>
  <c r="T40" i="8" s="1"/>
  <c r="V40" i="8" s="1"/>
  <c r="R129" i="8" l="1"/>
  <c r="Y61" i="69" s="1"/>
  <c r="Z61" i="69" s="1"/>
  <c r="V33" i="8"/>
  <c r="P33" i="8" s="1"/>
  <c r="AH33" i="8"/>
  <c r="V38" i="8"/>
  <c r="P38" i="8" s="1"/>
  <c r="AH38" i="8"/>
  <c r="AT38" i="8"/>
  <c r="V62" i="64"/>
  <c r="W62" i="64" s="1"/>
  <c r="P34" i="8"/>
  <c r="AH105" i="8"/>
  <c r="AF105" i="8"/>
  <c r="V105" i="8"/>
  <c r="I203" i="30"/>
  <c r="I201" i="30"/>
  <c r="I204" i="30"/>
  <c r="D171" i="30"/>
  <c r="D169" i="30"/>
  <c r="D173" i="30"/>
  <c r="D172" i="30"/>
  <c r="E155" i="30"/>
  <c r="E156" i="30"/>
  <c r="E154" i="30"/>
  <c r="AF89" i="8"/>
  <c r="AF85" i="8" s="1"/>
  <c r="AL89" i="8" s="1"/>
  <c r="AX89" i="8" s="1"/>
  <c r="D108" i="30"/>
  <c r="AG89" i="8"/>
  <c r="D107" i="30"/>
  <c r="D110" i="30"/>
  <c r="AH89" i="8"/>
  <c r="D111" i="30"/>
  <c r="D109" i="30"/>
  <c r="D55" i="30"/>
  <c r="D56" i="30"/>
  <c r="D176" i="29"/>
  <c r="D175" i="29"/>
  <c r="D174" i="29"/>
  <c r="D153" i="29"/>
  <c r="D154" i="29"/>
  <c r="AG63" i="8"/>
  <c r="D156" i="29"/>
  <c r="D157" i="29"/>
  <c r="D155" i="29"/>
  <c r="AH63" i="8"/>
  <c r="D176" i="16"/>
  <c r="T37" i="8" s="1"/>
  <c r="F179" i="8"/>
  <c r="AT34" i="8"/>
  <c r="AH34" i="8"/>
  <c r="AG34" i="8"/>
  <c r="AT33" i="8"/>
  <c r="AG33" i="8"/>
  <c r="AG32" i="8"/>
  <c r="AH32" i="8"/>
  <c r="AT32" i="8"/>
  <c r="V106" i="8"/>
  <c r="AF106" i="8"/>
  <c r="AH106" i="8"/>
  <c r="I200" i="30"/>
  <c r="D170" i="30"/>
  <c r="V96" i="8"/>
  <c r="R165" i="8" s="1"/>
  <c r="AH96" i="8"/>
  <c r="E153" i="30"/>
  <c r="AH82" i="8"/>
  <c r="D57" i="30"/>
  <c r="V82" i="8"/>
  <c r="J160" i="8" s="1"/>
  <c r="J158" i="8" s="1"/>
  <c r="D54" i="30"/>
  <c r="D53" i="30"/>
  <c r="D208" i="29"/>
  <c r="AG67" i="8"/>
  <c r="D207" i="29"/>
  <c r="D210" i="29"/>
  <c r="R162" i="8"/>
  <c r="AF67" i="8"/>
  <c r="D206" i="29"/>
  <c r="AH67" i="8"/>
  <c r="D209" i="29"/>
  <c r="D173" i="29"/>
  <c r="T64" i="8"/>
  <c r="V64" i="8" s="1"/>
  <c r="P64" i="8" s="1"/>
  <c r="AG80" i="8"/>
  <c r="AM82" i="8" s="1"/>
  <c r="AY82" i="8" s="1"/>
  <c r="U142" i="8"/>
  <c r="V142" i="8" s="1"/>
  <c r="P142" i="8" s="1"/>
  <c r="U148" i="8"/>
  <c r="V148" i="8" s="1"/>
  <c r="P148" i="8" s="1"/>
  <c r="J169" i="8"/>
  <c r="J168" i="8" s="1"/>
  <c r="AG60" i="69" s="1"/>
  <c r="R40" i="8"/>
  <c r="S52" i="69" s="1"/>
  <c r="T52" i="69" s="1"/>
  <c r="AY148" i="8"/>
  <c r="AF44" i="8"/>
  <c r="AF42" i="8" s="1"/>
  <c r="AL43" i="8" s="1"/>
  <c r="AX43" i="8" s="1"/>
  <c r="AM47" i="8"/>
  <c r="AY47" i="8" s="1"/>
  <c r="AM46" i="8"/>
  <c r="AY46" i="8" s="1"/>
  <c r="AM45" i="8"/>
  <c r="AY45" i="8" s="1"/>
  <c r="AH40" i="8"/>
  <c r="AG38" i="8"/>
  <c r="AT40" i="8"/>
  <c r="AS40" i="8" s="1"/>
  <c r="AR40" i="8" s="1"/>
  <c r="AG40" i="8"/>
  <c r="AE40" i="8"/>
  <c r="AF40" i="8"/>
  <c r="E36" i="59"/>
  <c r="E38" i="59"/>
  <c r="E39" i="59"/>
  <c r="E37" i="59"/>
  <c r="E202" i="30"/>
  <c r="E204" i="30"/>
  <c r="E203" i="30"/>
  <c r="E201" i="30"/>
  <c r="E200" i="30"/>
  <c r="I156" i="30"/>
  <c r="I155" i="30"/>
  <c r="I154" i="30"/>
  <c r="I153" i="30"/>
  <c r="I152" i="30"/>
  <c r="B40" i="8"/>
  <c r="B181" i="8" s="1"/>
  <c r="B39" i="8"/>
  <c r="D37" i="8"/>
  <c r="B179" i="8" s="1"/>
  <c r="C35" i="8"/>
  <c r="D34" i="8"/>
  <c r="G135" i="70" s="1"/>
  <c r="D33" i="8"/>
  <c r="B177" i="8" s="1"/>
  <c r="B176" i="8"/>
  <c r="C31" i="8"/>
  <c r="E30" i="8"/>
  <c r="E29" i="8"/>
  <c r="D28" i="8"/>
  <c r="D27" i="8"/>
  <c r="B25" i="8"/>
  <c r="C26" i="8"/>
  <c r="G134" i="70" s="1"/>
  <c r="D24" i="8"/>
  <c r="E23" i="8"/>
  <c r="E22" i="8"/>
  <c r="D21" i="8"/>
  <c r="D223" i="16"/>
  <c r="D222" i="16"/>
  <c r="D221" i="16"/>
  <c r="D220" i="16"/>
  <c r="D219" i="16"/>
  <c r="D214" i="16"/>
  <c r="D213" i="16"/>
  <c r="D212" i="16"/>
  <c r="D211" i="16"/>
  <c r="D210" i="16"/>
  <c r="D200" i="16"/>
  <c r="D199" i="16"/>
  <c r="D198" i="16"/>
  <c r="D197" i="16"/>
  <c r="D196" i="16"/>
  <c r="D166" i="16"/>
  <c r="D165" i="16"/>
  <c r="D164" i="16"/>
  <c r="D163" i="16"/>
  <c r="D162" i="16"/>
  <c r="D153" i="16"/>
  <c r="D152" i="16"/>
  <c r="D151" i="16"/>
  <c r="D150" i="16"/>
  <c r="D149" i="16"/>
  <c r="D140" i="16"/>
  <c r="D139" i="16"/>
  <c r="D138" i="16"/>
  <c r="D137" i="16"/>
  <c r="D136" i="16"/>
  <c r="D130" i="16"/>
  <c r="D129" i="16"/>
  <c r="D128" i="16"/>
  <c r="D127" i="16"/>
  <c r="D126" i="16"/>
  <c r="D122" i="16"/>
  <c r="D121" i="16"/>
  <c r="D120" i="16"/>
  <c r="D119" i="16"/>
  <c r="D118" i="16"/>
  <c r="D112" i="16"/>
  <c r="D111" i="16"/>
  <c r="D110" i="16"/>
  <c r="D109" i="16"/>
  <c r="D108" i="16"/>
  <c r="D101" i="16"/>
  <c r="D100" i="16"/>
  <c r="D99" i="16"/>
  <c r="D98" i="16"/>
  <c r="D97" i="16"/>
  <c r="D92" i="16"/>
  <c r="D91" i="16"/>
  <c r="D90" i="16"/>
  <c r="D89" i="16"/>
  <c r="D88" i="16"/>
  <c r="D84" i="16"/>
  <c r="D83" i="16"/>
  <c r="D82" i="16"/>
  <c r="D81" i="16"/>
  <c r="D80" i="16"/>
  <c r="D74" i="16"/>
  <c r="D73" i="16"/>
  <c r="D72" i="16"/>
  <c r="D71" i="16"/>
  <c r="D70" i="16"/>
  <c r="D66" i="16"/>
  <c r="D65" i="16"/>
  <c r="D64" i="16"/>
  <c r="D63" i="16"/>
  <c r="D62" i="16"/>
  <c r="D58" i="16"/>
  <c r="D57" i="16"/>
  <c r="D56" i="16"/>
  <c r="D55" i="16"/>
  <c r="D54" i="16"/>
  <c r="C10" i="8"/>
  <c r="D16" i="8"/>
  <c r="C15" i="8"/>
  <c r="E20" i="8"/>
  <c r="E19" i="8"/>
  <c r="E18" i="8"/>
  <c r="D17" i="8"/>
  <c r="B9" i="8"/>
  <c r="D48" i="16"/>
  <c r="D47" i="16"/>
  <c r="D46" i="16"/>
  <c r="D45" i="16"/>
  <c r="D44" i="16"/>
  <c r="D38" i="16"/>
  <c r="D37" i="16"/>
  <c r="D36" i="16"/>
  <c r="D35" i="16"/>
  <c r="D34" i="16"/>
  <c r="D29" i="16"/>
  <c r="D28" i="16"/>
  <c r="D27" i="16"/>
  <c r="D26" i="16"/>
  <c r="D25" i="16"/>
  <c r="D20" i="16"/>
  <c r="D19" i="16"/>
  <c r="D18" i="16"/>
  <c r="D17" i="16"/>
  <c r="D16" i="16"/>
  <c r="P106" i="8" l="1"/>
  <c r="R156" i="8"/>
  <c r="P105" i="8"/>
  <c r="R154" i="8"/>
  <c r="R155" i="8"/>
  <c r="Y61" i="64"/>
  <c r="Z61" i="64" s="1"/>
  <c r="AD60" i="64"/>
  <c r="AG51" i="69"/>
  <c r="D177" i="16"/>
  <c r="V37" i="8"/>
  <c r="P37" i="8" s="1"/>
  <c r="AH37" i="8"/>
  <c r="AT37" i="8"/>
  <c r="R153" i="8"/>
  <c r="AG50" i="69" s="1"/>
  <c r="AF104" i="8"/>
  <c r="AE104" i="8" s="1"/>
  <c r="AE100" i="8" s="1"/>
  <c r="AK104" i="8" s="1"/>
  <c r="D178" i="16"/>
  <c r="D179" i="16"/>
  <c r="D180" i="16"/>
  <c r="D181" i="16"/>
  <c r="S52" i="64"/>
  <c r="T52" i="64" s="1"/>
  <c r="P96" i="8"/>
  <c r="P82" i="8"/>
  <c r="AG37" i="8"/>
  <c r="AG31" i="8"/>
  <c r="AF31" i="8" s="1"/>
  <c r="AG64" i="8"/>
  <c r="AG61" i="8" s="1"/>
  <c r="AM62" i="8" s="1"/>
  <c r="AY62" i="8" s="1"/>
  <c r="AH64" i="8"/>
  <c r="B178" i="8"/>
  <c r="AY142" i="8"/>
  <c r="Q82" i="8"/>
  <c r="AS82" i="8"/>
  <c r="AL86" i="8"/>
  <c r="AX86" i="8" s="1"/>
  <c r="AE85" i="8"/>
  <c r="Q89" i="8"/>
  <c r="AR89" i="8"/>
  <c r="AM81" i="8"/>
  <c r="AY81" i="8" s="1"/>
  <c r="AM83" i="8"/>
  <c r="AY83" i="8" s="1"/>
  <c r="AF80" i="8"/>
  <c r="AF75" i="8" s="1"/>
  <c r="AM84" i="8"/>
  <c r="AY84" i="8" s="1"/>
  <c r="AY138" i="8"/>
  <c r="AL44" i="8"/>
  <c r="AX44" i="8" s="1"/>
  <c r="AE42" i="8"/>
  <c r="Q45" i="8"/>
  <c r="AS45" i="8"/>
  <c r="Q46" i="8"/>
  <c r="AS46" i="8"/>
  <c r="AS47" i="8"/>
  <c r="Q47" i="8"/>
  <c r="Q43" i="8"/>
  <c r="AR43" i="8"/>
  <c r="AR15" i="8"/>
  <c r="U15" i="8"/>
  <c r="V15" i="8" s="1"/>
  <c r="P15" i="8" s="1"/>
  <c r="J1" i="30"/>
  <c r="J1" i="58"/>
  <c r="J1" i="59"/>
  <c r="J1" i="29"/>
  <c r="AG35" i="8" l="1"/>
  <c r="AL106" i="8"/>
  <c r="AX106" i="8" s="1"/>
  <c r="AL105" i="8"/>
  <c r="Q105" i="8" s="1"/>
  <c r="AD50" i="64"/>
  <c r="AM33" i="8"/>
  <c r="AY33" i="8" s="1"/>
  <c r="AM32" i="8"/>
  <c r="AY32" i="8" s="1"/>
  <c r="AM34" i="8"/>
  <c r="AY34" i="8" s="1"/>
  <c r="AD51" i="64"/>
  <c r="Q104" i="8"/>
  <c r="AW104" i="8"/>
  <c r="AM63" i="8"/>
  <c r="AS63" i="8" s="1"/>
  <c r="AF61" i="8"/>
  <c r="AF60" i="8" s="1"/>
  <c r="AL61" i="8" s="1"/>
  <c r="AM64" i="8"/>
  <c r="AS64" i="8" s="1"/>
  <c r="AD100" i="8"/>
  <c r="AK103" i="8"/>
  <c r="AW103" i="8" s="1"/>
  <c r="AK101" i="8"/>
  <c r="AW101" i="8" s="1"/>
  <c r="AK102" i="8"/>
  <c r="AW102" i="8" s="1"/>
  <c r="Q84" i="8"/>
  <c r="AS84" i="8"/>
  <c r="AL80" i="8"/>
  <c r="AE75" i="8"/>
  <c r="AL76" i="8"/>
  <c r="AX76" i="8" s="1"/>
  <c r="Q106" i="8"/>
  <c r="AR106" i="8"/>
  <c r="Q83" i="8"/>
  <c r="AS83" i="8"/>
  <c r="AS81" i="8"/>
  <c r="Q81" i="8"/>
  <c r="Q86" i="8"/>
  <c r="AR86" i="8"/>
  <c r="Q44" i="8"/>
  <c r="AS44" i="8"/>
  <c r="U44" i="8" s="1"/>
  <c r="V44" i="8" s="1"/>
  <c r="Q62" i="8"/>
  <c r="AS62" i="8"/>
  <c r="D222" i="29"/>
  <c r="T69" i="8" s="1"/>
  <c r="V69" i="8" s="1"/>
  <c r="T92" i="8"/>
  <c r="J154" i="8" l="1"/>
  <c r="J153" i="8" s="1"/>
  <c r="AG49" i="69" s="1"/>
  <c r="AR105" i="8"/>
  <c r="AR104" i="8" s="1"/>
  <c r="U104" i="8" s="1"/>
  <c r="V104" i="8" s="1"/>
  <c r="R104" i="8" s="1"/>
  <c r="S63" i="69" s="1"/>
  <c r="T63" i="69" s="1"/>
  <c r="AM38" i="8"/>
  <c r="Q38" i="8" s="1"/>
  <c r="AF35" i="8"/>
  <c r="AF25" i="8" s="1"/>
  <c r="AL35" i="8" s="1"/>
  <c r="AX35" i="8" s="1"/>
  <c r="AM37" i="8"/>
  <c r="AY37" i="8" s="1"/>
  <c r="AS32" i="8"/>
  <c r="Q32" i="8"/>
  <c r="AS33" i="8"/>
  <c r="Q33" i="8"/>
  <c r="AX105" i="8"/>
  <c r="AX104" i="8" s="1"/>
  <c r="AS34" i="8"/>
  <c r="Q34" i="8"/>
  <c r="Q80" i="8"/>
  <c r="AX80" i="8"/>
  <c r="Q64" i="8"/>
  <c r="AY64" i="8"/>
  <c r="Q61" i="8"/>
  <c r="AX61" i="8"/>
  <c r="Q63" i="8"/>
  <c r="AY63" i="8"/>
  <c r="Q37" i="8"/>
  <c r="AE60" i="8"/>
  <c r="AL66" i="8"/>
  <c r="AR66" i="8" s="1"/>
  <c r="AL67" i="8"/>
  <c r="AX67" i="8" s="1"/>
  <c r="AL65" i="8"/>
  <c r="AH92" i="8"/>
  <c r="V92" i="8"/>
  <c r="P92" i="8" s="1"/>
  <c r="AG92" i="8"/>
  <c r="Q76" i="8"/>
  <c r="AR76" i="8"/>
  <c r="Q102" i="8"/>
  <c r="AQ102" i="8"/>
  <c r="AQ101" i="8"/>
  <c r="Q101" i="8"/>
  <c r="AQ103" i="8"/>
  <c r="Q103" i="8"/>
  <c r="AR85" i="8"/>
  <c r="AS80" i="8"/>
  <c r="P44" i="8"/>
  <c r="P69" i="8"/>
  <c r="R163" i="8"/>
  <c r="J171" i="8"/>
  <c r="J170" i="8" s="1"/>
  <c r="AG61" i="69" s="1"/>
  <c r="AS61" i="8"/>
  <c r="AR61" i="8" s="1"/>
  <c r="AR44" i="8"/>
  <c r="AH69" i="8"/>
  <c r="AG69" i="8"/>
  <c r="AF69" i="8"/>
  <c r="AF68" i="8" s="1"/>
  <c r="D125" i="30"/>
  <c r="D128" i="30"/>
  <c r="D127" i="30"/>
  <c r="D126" i="30"/>
  <c r="D124" i="30"/>
  <c r="D258" i="29"/>
  <c r="D257" i="29"/>
  <c r="D256" i="29"/>
  <c r="D260" i="29"/>
  <c r="D259" i="29"/>
  <c r="D226" i="29"/>
  <c r="D223" i="29"/>
  <c r="D225" i="29"/>
  <c r="D224" i="29"/>
  <c r="D227" i="29"/>
  <c r="AS37" i="8" l="1"/>
  <c r="AS38" i="8"/>
  <c r="AY38" i="8"/>
  <c r="AY35" i="8" s="1"/>
  <c r="AL26" i="8"/>
  <c r="AX26" i="8" s="1"/>
  <c r="Q35" i="8"/>
  <c r="AD61" i="64"/>
  <c r="AS31" i="8"/>
  <c r="U31" i="8" s="1"/>
  <c r="V31" i="8" s="1"/>
  <c r="P31" i="8" s="1"/>
  <c r="AL31" i="8"/>
  <c r="AX31" i="8" s="1"/>
  <c r="AE25" i="8"/>
  <c r="AE8" i="8" s="1"/>
  <c r="AK25" i="8" s="1"/>
  <c r="AW25" i="8" s="1"/>
  <c r="AS35" i="8"/>
  <c r="AQ104" i="8"/>
  <c r="AQ100" i="8" s="1"/>
  <c r="S63" i="64"/>
  <c r="T63" i="64" s="1"/>
  <c r="AD49" i="64"/>
  <c r="V54" i="64"/>
  <c r="W54" i="64" s="1"/>
  <c r="AR67" i="8"/>
  <c r="Q67" i="8"/>
  <c r="Q65" i="8"/>
  <c r="AX65" i="8"/>
  <c r="Q66" i="8"/>
  <c r="AX66" i="8"/>
  <c r="Q26" i="8"/>
  <c r="AR26" i="8"/>
  <c r="AR65" i="8"/>
  <c r="U85" i="8"/>
  <c r="V85" i="8" s="1"/>
  <c r="R85" i="8" s="1"/>
  <c r="Y50" i="69" s="1"/>
  <c r="Z50" i="69" s="1"/>
  <c r="AX85" i="8"/>
  <c r="AG91" i="8"/>
  <c r="AM92" i="8" s="1"/>
  <c r="AY92" i="8" s="1"/>
  <c r="AR80" i="8"/>
  <c r="U80" i="8"/>
  <c r="V80" i="8" s="1"/>
  <c r="P80" i="8" s="1"/>
  <c r="AY44" i="8"/>
  <c r="AR42" i="8"/>
  <c r="U61" i="8"/>
  <c r="V61" i="8" s="1"/>
  <c r="P61" i="8" s="1"/>
  <c r="AE68" i="8"/>
  <c r="AE41" i="8" s="1"/>
  <c r="AK72" i="8" s="1"/>
  <c r="AL70" i="8"/>
  <c r="AX70" i="8" s="1"/>
  <c r="AL69" i="8"/>
  <c r="AX69" i="8" s="1"/>
  <c r="AL71" i="8"/>
  <c r="AX71" i="8" s="1"/>
  <c r="D66" i="58"/>
  <c r="D67" i="58"/>
  <c r="D68" i="58"/>
  <c r="D64" i="58"/>
  <c r="D65" i="58"/>
  <c r="D49" i="58"/>
  <c r="D51" i="58"/>
  <c r="D50" i="58"/>
  <c r="D47" i="58"/>
  <c r="D48" i="58"/>
  <c r="AK55" i="8" l="1"/>
  <c r="AW55" i="8" s="1"/>
  <c r="AQ72" i="8"/>
  <c r="AK39" i="8"/>
  <c r="AQ39" i="8" s="1"/>
  <c r="AK40" i="8"/>
  <c r="AW40" i="8" s="1"/>
  <c r="Q31" i="8"/>
  <c r="AR31" i="8"/>
  <c r="AK9" i="8"/>
  <c r="AW9" i="8" s="1"/>
  <c r="AD8" i="8"/>
  <c r="Q25" i="8"/>
  <c r="AR60" i="8"/>
  <c r="U60" i="8" s="1"/>
  <c r="V60" i="8" s="1"/>
  <c r="R60" i="8" s="1"/>
  <c r="V52" i="69" s="1"/>
  <c r="W52" i="69" s="1"/>
  <c r="Y50" i="64"/>
  <c r="Z50" i="64" s="1"/>
  <c r="AW39" i="8"/>
  <c r="AY80" i="8"/>
  <c r="Q92" i="8"/>
  <c r="AS92" i="8"/>
  <c r="U100" i="8"/>
  <c r="AR75" i="8"/>
  <c r="AM93" i="8"/>
  <c r="AY93" i="8" s="1"/>
  <c r="AF91" i="8"/>
  <c r="AY31" i="8"/>
  <c r="AY61" i="8"/>
  <c r="AR35" i="8"/>
  <c r="U42" i="8"/>
  <c r="V42" i="8" s="1"/>
  <c r="R42" i="8" s="1"/>
  <c r="V49" i="69" s="1"/>
  <c r="W49" i="69" s="1"/>
  <c r="AX42" i="8"/>
  <c r="AK50" i="8"/>
  <c r="AD41" i="8"/>
  <c r="AK42" i="8"/>
  <c r="Q71" i="8"/>
  <c r="AR71" i="8"/>
  <c r="AK60" i="8"/>
  <c r="Q69" i="8"/>
  <c r="AR69" i="8"/>
  <c r="AK68" i="8"/>
  <c r="AW68" i="8" s="1"/>
  <c r="Q70" i="8"/>
  <c r="AR70" i="8"/>
  <c r="Q39" i="8"/>
  <c r="AQ40" i="8" l="1"/>
  <c r="Q40" i="8"/>
  <c r="AR25" i="8"/>
  <c r="AQ25" i="8" s="1"/>
  <c r="AW72" i="8"/>
  <c r="AQ55" i="8"/>
  <c r="Q55" i="8"/>
  <c r="Q9" i="8"/>
  <c r="V52" i="64"/>
  <c r="W52" i="64" s="1"/>
  <c r="V49" i="64"/>
  <c r="W49" i="64" s="1"/>
  <c r="Q50" i="8"/>
  <c r="AW50" i="8"/>
  <c r="Q72" i="8"/>
  <c r="Q60" i="8"/>
  <c r="AW60" i="8"/>
  <c r="AQ42" i="8"/>
  <c r="AW42" i="8"/>
  <c r="U75" i="8"/>
  <c r="V75" i="8" s="1"/>
  <c r="R75" i="8" s="1"/>
  <c r="Y49" i="69" s="1"/>
  <c r="Z49" i="69" s="1"/>
  <c r="AW100" i="8"/>
  <c r="V100" i="8"/>
  <c r="T57" i="69" s="1"/>
  <c r="R100" i="8"/>
  <c r="S57" i="69" s="1"/>
  <c r="AS93" i="8"/>
  <c r="AS91" i="8" s="1"/>
  <c r="Q93" i="8"/>
  <c r="U35" i="8"/>
  <c r="V35" i="8" s="1"/>
  <c r="AX60" i="8"/>
  <c r="AQ50" i="8"/>
  <c r="Q68" i="8"/>
  <c r="Q42" i="8"/>
  <c r="AR68" i="8"/>
  <c r="AQ60" i="8"/>
  <c r="D23" i="7"/>
  <c r="K69" i="59" s="1"/>
  <c r="D69" i="59" s="1"/>
  <c r="D20" i="24"/>
  <c r="D19" i="24"/>
  <c r="D17" i="24"/>
  <c r="D15" i="24"/>
  <c r="D13" i="24"/>
  <c r="J9" i="24"/>
  <c r="C33" i="7"/>
  <c r="P3" i="8"/>
  <c r="C35" i="7"/>
  <c r="J12" i="69" s="1"/>
  <c r="J12" i="24"/>
  <c r="X42" i="24"/>
  <c r="X41" i="24"/>
  <c r="X40" i="24"/>
  <c r="U42" i="24"/>
  <c r="U41" i="24"/>
  <c r="U40" i="24"/>
  <c r="R42" i="24"/>
  <c r="R41" i="24"/>
  <c r="R40" i="24"/>
  <c r="B75" i="24"/>
  <c r="B76" i="24"/>
  <c r="J8" i="24"/>
  <c r="D11" i="24"/>
  <c r="D10" i="24"/>
  <c r="D9" i="24"/>
  <c r="D8" i="24"/>
  <c r="J19" i="24"/>
  <c r="J18" i="24"/>
  <c r="J17" i="24"/>
  <c r="J16" i="24"/>
  <c r="J15" i="24"/>
  <c r="J14" i="24"/>
  <c r="O3" i="24"/>
  <c r="K3" i="24"/>
  <c r="B2" i="8"/>
  <c r="P2" i="8"/>
  <c r="B3" i="8"/>
  <c r="J10" i="24"/>
  <c r="F11" i="24"/>
  <c r="E12" i="24"/>
  <c r="J13" i="24"/>
  <c r="E14" i="24"/>
  <c r="E16" i="24"/>
  <c r="E18" i="24"/>
  <c r="J20" i="24"/>
  <c r="J21" i="24"/>
  <c r="U31" i="24"/>
  <c r="U36" i="24" s="1"/>
  <c r="U35" i="24"/>
  <c r="Z35" i="24"/>
  <c r="Z36" i="24"/>
  <c r="B66" i="24"/>
  <c r="L66" i="24"/>
  <c r="B67" i="24"/>
  <c r="L67" i="24"/>
  <c r="B69" i="24"/>
  <c r="H69" i="24"/>
  <c r="L69" i="24"/>
  <c r="B71" i="24"/>
  <c r="H71" i="24"/>
  <c r="L71" i="24"/>
  <c r="C2" i="14"/>
  <c r="E2" i="14"/>
  <c r="F2" i="14"/>
  <c r="G2" i="14"/>
  <c r="C3" i="14"/>
  <c r="E3" i="14"/>
  <c r="F3" i="14"/>
  <c r="G3" i="14"/>
  <c r="U33" i="24"/>
  <c r="V31" i="24"/>
  <c r="W31" i="24"/>
  <c r="W36" i="24" s="1"/>
  <c r="U34" i="24"/>
  <c r="U25" i="8" l="1"/>
  <c r="V25" i="8" s="1"/>
  <c r="R25" i="8" s="1"/>
  <c r="S50" i="69" s="1"/>
  <c r="T50" i="69" s="1"/>
  <c r="Y31" i="24"/>
  <c r="Y36" i="24" s="1"/>
  <c r="D73" i="59"/>
  <c r="D71" i="59"/>
  <c r="D70" i="59"/>
  <c r="D72" i="59"/>
  <c r="D74" i="59"/>
  <c r="X31" i="24"/>
  <c r="X35" i="24" s="1"/>
  <c r="J11" i="24"/>
  <c r="J11" i="69"/>
  <c r="Z12" i="69"/>
  <c r="F56" i="69"/>
  <c r="R159" i="8"/>
  <c r="P35" i="8"/>
  <c r="W35" i="24"/>
  <c r="J12" i="64"/>
  <c r="W34" i="24"/>
  <c r="Y35" i="24"/>
  <c r="J11" i="64"/>
  <c r="S57" i="64"/>
  <c r="T57" i="64"/>
  <c r="Y49" i="64"/>
  <c r="Z49" i="64" s="1"/>
  <c r="K79" i="59"/>
  <c r="T114" i="8"/>
  <c r="K53" i="59"/>
  <c r="K199" i="30"/>
  <c r="D199" i="30" s="1"/>
  <c r="K151" i="30"/>
  <c r="D151" i="30" s="1"/>
  <c r="AX75" i="8"/>
  <c r="U91" i="8"/>
  <c r="V91" i="8" s="1"/>
  <c r="P91" i="8" s="1"/>
  <c r="AY91" i="8"/>
  <c r="AX25" i="8"/>
  <c r="U68" i="8"/>
  <c r="V68" i="8" s="1"/>
  <c r="R68" i="8" s="1"/>
  <c r="V53" i="69" s="1"/>
  <c r="W53" i="69" s="1"/>
  <c r="AQ68" i="8"/>
  <c r="AQ41" i="8" s="1"/>
  <c r="U50" i="24"/>
  <c r="V36" i="24"/>
  <c r="V35" i="24"/>
  <c r="V33" i="24"/>
  <c r="V34" i="24"/>
  <c r="D21" i="24"/>
  <c r="U51" i="24"/>
  <c r="Y47" i="24"/>
  <c r="Z47" i="24" s="1"/>
  <c r="S50" i="64" l="1"/>
  <c r="T50" i="64" s="1"/>
  <c r="X36" i="24"/>
  <c r="T95" i="8"/>
  <c r="D152" i="30"/>
  <c r="D156" i="30"/>
  <c r="D155" i="30"/>
  <c r="D154" i="30"/>
  <c r="D153" i="30"/>
  <c r="T98" i="8"/>
  <c r="AE98" i="8" s="1"/>
  <c r="D204" i="30"/>
  <c r="D203" i="30"/>
  <c r="D202" i="30"/>
  <c r="D201" i="30"/>
  <c r="D200" i="30"/>
  <c r="X34" i="24"/>
  <c r="D35" i="59"/>
  <c r="D79" i="59"/>
  <c r="Z12" i="64"/>
  <c r="F54" i="64"/>
  <c r="V53" i="64"/>
  <c r="W53" i="64" s="1"/>
  <c r="AH95" i="8"/>
  <c r="AG95" i="8"/>
  <c r="V95" i="8"/>
  <c r="V114" i="8"/>
  <c r="P114" i="8" s="1"/>
  <c r="AG114" i="8"/>
  <c r="AH114" i="8"/>
  <c r="U41" i="8"/>
  <c r="V41" i="8" s="1"/>
  <c r="AX68" i="8"/>
  <c r="Y46" i="24"/>
  <c r="Z46" i="24" s="1"/>
  <c r="S42" i="24"/>
  <c r="T42" i="24" s="1"/>
  <c r="V98" i="8" l="1"/>
  <c r="AG98" i="8"/>
  <c r="AF98" i="8"/>
  <c r="W46" i="64"/>
  <c r="W46" i="69"/>
  <c r="AH98" i="8"/>
  <c r="T115" i="8"/>
  <c r="AH115" i="8" s="1"/>
  <c r="D80" i="59"/>
  <c r="D84" i="59"/>
  <c r="D83" i="59"/>
  <c r="D82" i="59"/>
  <c r="D81" i="59"/>
  <c r="T113" i="8"/>
  <c r="V113" i="8" s="1"/>
  <c r="P113" i="8" s="1"/>
  <c r="D40" i="59"/>
  <c r="D39" i="59"/>
  <c r="D38" i="59"/>
  <c r="D37" i="59"/>
  <c r="D36" i="59"/>
  <c r="R169" i="8"/>
  <c r="R98" i="8"/>
  <c r="Y52" i="69" s="1"/>
  <c r="Z52" i="69" s="1"/>
  <c r="P95" i="8"/>
  <c r="R164" i="8"/>
  <c r="AG94" i="8"/>
  <c r="AM95" i="8" s="1"/>
  <c r="R41" i="8"/>
  <c r="V46" i="69" s="1"/>
  <c r="AW41" i="8"/>
  <c r="V40" i="24"/>
  <c r="W40" i="24" s="1"/>
  <c r="R158" i="8" l="1"/>
  <c r="J152" i="8" s="1"/>
  <c r="V115" i="8"/>
  <c r="P115" i="8" s="1"/>
  <c r="AG115" i="8"/>
  <c r="J45" i="69"/>
  <c r="Z8" i="69"/>
  <c r="AG113" i="8"/>
  <c r="AG112" i="8" s="1"/>
  <c r="AF112" i="8" s="1"/>
  <c r="AF111" i="8" s="1"/>
  <c r="AH113" i="8"/>
  <c r="R168" i="8"/>
  <c r="AD52" i="64" s="1"/>
  <c r="Y52" i="64"/>
  <c r="Z52" i="64" s="1"/>
  <c r="V46" i="64"/>
  <c r="AY95" i="8"/>
  <c r="Q95" i="8"/>
  <c r="AS95" i="8"/>
  <c r="AF94" i="8"/>
  <c r="AM96" i="8"/>
  <c r="V39" i="24"/>
  <c r="K37" i="24" s="1"/>
  <c r="V47" i="24"/>
  <c r="W47" i="24" s="1"/>
  <c r="T51" i="24"/>
  <c r="AA9" i="24"/>
  <c r="V42" i="24"/>
  <c r="W42" i="24" s="1"/>
  <c r="AD62" i="64" l="1"/>
  <c r="AG52" i="69"/>
  <c r="AG62" i="69"/>
  <c r="J167" i="8"/>
  <c r="AG57" i="69" s="1"/>
  <c r="O55" i="69" s="1"/>
  <c r="AM114" i="8"/>
  <c r="AS114" i="8" s="1"/>
  <c r="AM115" i="8"/>
  <c r="Q115" i="8" s="1"/>
  <c r="AM113" i="8"/>
  <c r="AY113" i="8" s="1"/>
  <c r="AG46" i="69"/>
  <c r="O44" i="69" s="1"/>
  <c r="J43" i="64"/>
  <c r="Z8" i="64"/>
  <c r="AL112" i="8"/>
  <c r="AE111" i="8"/>
  <c r="AE107" i="8" s="1"/>
  <c r="AL116" i="8"/>
  <c r="AY96" i="8"/>
  <c r="AY94" i="8" s="1"/>
  <c r="Q96" i="8"/>
  <c r="AS96" i="8"/>
  <c r="AS94" i="8" s="1"/>
  <c r="AF90" i="8"/>
  <c r="AL94" i="8" s="1"/>
  <c r="W39" i="24"/>
  <c r="V41" i="24"/>
  <c r="W41" i="24" s="1"/>
  <c r="Y41" i="24"/>
  <c r="Z41" i="24" s="1"/>
  <c r="Y40" i="24"/>
  <c r="Z40" i="24" s="1"/>
  <c r="V137" i="8"/>
  <c r="P137" i="8" s="1"/>
  <c r="AD57" i="64" l="1"/>
  <c r="O54" i="64" s="1"/>
  <c r="Q114" i="8"/>
  <c r="AS113" i="8"/>
  <c r="Q113" i="8"/>
  <c r="AY115" i="8"/>
  <c r="AY114" i="8"/>
  <c r="AS115" i="8"/>
  <c r="AS112" i="8" s="1"/>
  <c r="AD46" i="64"/>
  <c r="O43" i="64" s="1"/>
  <c r="U94" i="8"/>
  <c r="V94" i="8" s="1"/>
  <c r="P94" i="8" s="1"/>
  <c r="AR94" i="8"/>
  <c r="AX94" i="8"/>
  <c r="Q94" i="8"/>
  <c r="AL91" i="8"/>
  <c r="AE90" i="8"/>
  <c r="AL97" i="8"/>
  <c r="AX116" i="8"/>
  <c r="AR116" i="8"/>
  <c r="Q116" i="8"/>
  <c r="AK111" i="8"/>
  <c r="AD107" i="8"/>
  <c r="AK108" i="8"/>
  <c r="AK119" i="8"/>
  <c r="AX112" i="8"/>
  <c r="Q112" i="8"/>
  <c r="AG137" i="8"/>
  <c r="AH137" i="8"/>
  <c r="AF137" i="8"/>
  <c r="AY112" i="8" l="1"/>
  <c r="U112" i="8"/>
  <c r="V112" i="8" s="1"/>
  <c r="P112" i="8" s="1"/>
  <c r="AR112" i="8"/>
  <c r="AR111" i="8" s="1"/>
  <c r="AX111" i="8"/>
  <c r="AW119" i="8"/>
  <c r="AQ119" i="8"/>
  <c r="Q119" i="8"/>
  <c r="AW108" i="8"/>
  <c r="AQ108" i="8"/>
  <c r="Q108" i="8"/>
  <c r="AW111" i="8"/>
  <c r="Q111" i="8"/>
  <c r="AX97" i="8"/>
  <c r="AR97" i="8"/>
  <c r="Q97" i="8"/>
  <c r="AE74" i="8"/>
  <c r="AK90" i="8" s="1"/>
  <c r="Q91" i="8"/>
  <c r="AX91" i="8"/>
  <c r="AR91" i="8"/>
  <c r="AF136" i="8"/>
  <c r="AL137" i="8" s="1"/>
  <c r="AX137" i="8" s="1"/>
  <c r="T50" i="24"/>
  <c r="V46" i="24"/>
  <c r="W46" i="24" s="1"/>
  <c r="AX90" i="8" l="1"/>
  <c r="AR90" i="8"/>
  <c r="U90" i="8" s="1"/>
  <c r="V90" i="8" s="1"/>
  <c r="R90" i="8" s="1"/>
  <c r="Q90" i="8"/>
  <c r="AW90" i="8"/>
  <c r="AK75" i="8"/>
  <c r="AD74" i="8"/>
  <c r="AD7" i="8" s="1"/>
  <c r="AK98" i="8"/>
  <c r="AK85" i="8"/>
  <c r="U111" i="8"/>
  <c r="V111" i="8" s="1"/>
  <c r="R111" i="8" s="1"/>
  <c r="V61" i="69" s="1"/>
  <c r="W61" i="69" s="1"/>
  <c r="AQ111" i="8"/>
  <c r="AQ107" i="8" s="1"/>
  <c r="U107" i="8" s="1"/>
  <c r="AW107" i="8"/>
  <c r="Q137" i="8"/>
  <c r="AR137" i="8"/>
  <c r="AE136" i="8"/>
  <c r="AL147" i="8"/>
  <c r="AX147" i="8" s="1"/>
  <c r="AL146" i="8"/>
  <c r="AX146" i="8" s="1"/>
  <c r="AL142" i="8"/>
  <c r="AX142" i="8" s="1"/>
  <c r="AL138" i="8"/>
  <c r="AX138" i="8" s="1"/>
  <c r="AL148" i="8"/>
  <c r="AX148" i="8" s="1"/>
  <c r="S41" i="24"/>
  <c r="T41" i="24" s="1"/>
  <c r="S50" i="24"/>
  <c r="V50" i="24" s="1"/>
  <c r="S46" i="24"/>
  <c r="T46" i="24" s="1"/>
  <c r="Y51" i="64" l="1"/>
  <c r="Z51" i="64" s="1"/>
  <c r="Y51" i="69"/>
  <c r="Z51" i="69" s="1"/>
  <c r="AQ90" i="8"/>
  <c r="V61" i="64"/>
  <c r="W61" i="64" s="1"/>
  <c r="R107" i="8"/>
  <c r="V57" i="69" s="1"/>
  <c r="V107" i="8"/>
  <c r="W57" i="69" s="1"/>
  <c r="AW85" i="8"/>
  <c r="Q85" i="8"/>
  <c r="AQ85" i="8"/>
  <c r="AW98" i="8"/>
  <c r="Q98" i="8"/>
  <c r="AQ98" i="8"/>
  <c r="AJ74" i="8"/>
  <c r="AJ8" i="8"/>
  <c r="AJ41" i="8"/>
  <c r="AW75" i="8"/>
  <c r="Q75" i="8"/>
  <c r="AQ75" i="8"/>
  <c r="Y42" i="24"/>
  <c r="Z42" i="24" s="1"/>
  <c r="Q142" i="8"/>
  <c r="AR142" i="8"/>
  <c r="Q146" i="8"/>
  <c r="AR146" i="8"/>
  <c r="Q147" i="8"/>
  <c r="AR147" i="8"/>
  <c r="Q138" i="8"/>
  <c r="AR138" i="8"/>
  <c r="AE127" i="8"/>
  <c r="Q148" i="8"/>
  <c r="AR148" i="8"/>
  <c r="S55" i="24"/>
  <c r="J24" i="24"/>
  <c r="W50" i="24"/>
  <c r="J56" i="69" l="1"/>
  <c r="Z11" i="69"/>
  <c r="AW74" i="8"/>
  <c r="W57" i="64"/>
  <c r="V57" i="64"/>
  <c r="AQ74" i="8"/>
  <c r="U74" i="8" s="1"/>
  <c r="AV41" i="8"/>
  <c r="Q41" i="8"/>
  <c r="AP41" i="8"/>
  <c r="AV8" i="8"/>
  <c r="Q8" i="8"/>
  <c r="Q74" i="8"/>
  <c r="AV74" i="8"/>
  <c r="AR136" i="8"/>
  <c r="AD127" i="8"/>
  <c r="AK129" i="8"/>
  <c r="AW129" i="8" s="1"/>
  <c r="AK128" i="8"/>
  <c r="AW128" i="8" s="1"/>
  <c r="AK136" i="8"/>
  <c r="AA11" i="24"/>
  <c r="S9" i="24"/>
  <c r="N46" i="24"/>
  <c r="AP74" i="8" l="1"/>
  <c r="Z11" i="64"/>
  <c r="J54" i="64"/>
  <c r="R74" i="8"/>
  <c r="Y46" i="69" s="1"/>
  <c r="V74" i="8"/>
  <c r="Z46" i="69" s="1"/>
  <c r="Q136" i="8"/>
  <c r="AW136" i="8"/>
  <c r="U136" i="8"/>
  <c r="V136" i="8" s="1"/>
  <c r="R136" i="8" s="1"/>
  <c r="Y62" i="69" s="1"/>
  <c r="Z62" i="69" s="1"/>
  <c r="AD99" i="8"/>
  <c r="AQ136" i="8"/>
  <c r="Q128" i="8"/>
  <c r="AQ128" i="8"/>
  <c r="Q129" i="8"/>
  <c r="AQ129" i="8"/>
  <c r="K33" i="24"/>
  <c r="S51" i="24"/>
  <c r="V51" i="24" s="1"/>
  <c r="S47" i="24"/>
  <c r="T47" i="24" s="1"/>
  <c r="L45" i="69" l="1"/>
  <c r="Z9" i="69"/>
  <c r="Y46" i="64"/>
  <c r="L43" i="64" s="1"/>
  <c r="Z46" i="64"/>
  <c r="Y62" i="64"/>
  <c r="Z62" i="64" s="1"/>
  <c r="AA10" i="24"/>
  <c r="Y39" i="24"/>
  <c r="AX136" i="8"/>
  <c r="AJ100" i="8"/>
  <c r="AV100" i="8" s="1"/>
  <c r="AJ107" i="8"/>
  <c r="AV107" i="8" s="1"/>
  <c r="AJ127" i="8"/>
  <c r="AQ127" i="8"/>
  <c r="J25" i="24"/>
  <c r="W51" i="24"/>
  <c r="S54" i="24"/>
  <c r="Z9" i="64" l="1"/>
  <c r="Z39" i="24"/>
  <c r="O37" i="24"/>
  <c r="Q127" i="8"/>
  <c r="AV127" i="8"/>
  <c r="U10" i="8"/>
  <c r="Q107" i="8"/>
  <c r="AP107" i="8"/>
  <c r="Q100" i="8"/>
  <c r="AP100" i="8"/>
  <c r="U127" i="8"/>
  <c r="AP127" i="8"/>
  <c r="V10" i="8" l="1"/>
  <c r="P10" i="8" s="1"/>
  <c r="AW127" i="8"/>
  <c r="AR10" i="8"/>
  <c r="AR9" i="8" s="1"/>
  <c r="R127" i="8"/>
  <c r="Y57" i="69" s="1"/>
  <c r="V127" i="8"/>
  <c r="Z57" i="69" s="1"/>
  <c r="AP99" i="8"/>
  <c r="U99" i="8" s="1"/>
  <c r="Z10" i="69" l="1"/>
  <c r="L56" i="69"/>
  <c r="Z57" i="64"/>
  <c r="Y57" i="64"/>
  <c r="U9" i="8"/>
  <c r="V9" i="8" s="1"/>
  <c r="R9" i="8" s="1"/>
  <c r="S49" i="69" s="1"/>
  <c r="T49" i="69" s="1"/>
  <c r="AX9" i="8"/>
  <c r="AQ9" i="8"/>
  <c r="AQ8" i="8" s="1"/>
  <c r="R99" i="8"/>
  <c r="V99" i="8"/>
  <c r="S8" i="69" s="1"/>
  <c r="S10" i="69" s="1"/>
  <c r="L52" i="64" l="1"/>
  <c r="L54" i="69"/>
  <c r="T24" i="69"/>
  <c r="S49" i="64"/>
  <c r="T49" i="64" s="1"/>
  <c r="S8" i="64"/>
  <c r="S10" i="64" s="1"/>
  <c r="L54" i="64"/>
  <c r="Z10" i="64"/>
  <c r="S40" i="24"/>
  <c r="T40" i="24" s="1"/>
  <c r="S11" i="24"/>
  <c r="T25" i="24" s="1"/>
  <c r="S28" i="24" s="1"/>
  <c r="U8" i="8"/>
  <c r="V8" i="8" s="1"/>
  <c r="T46" i="69" s="1"/>
  <c r="AV99" i="8"/>
  <c r="AP8" i="8"/>
  <c r="AP7" i="8" s="1"/>
  <c r="T26" i="69" l="1"/>
  <c r="S26" i="69"/>
  <c r="T46" i="64"/>
  <c r="T24" i="64"/>
  <c r="AW8" i="8"/>
  <c r="R8" i="8"/>
  <c r="S46" i="69" s="1"/>
  <c r="T28" i="24"/>
  <c r="U7" i="8"/>
  <c r="V7" i="8" s="1"/>
  <c r="S7" i="69" s="1"/>
  <c r="S9" i="69" s="1"/>
  <c r="E45" i="69" l="1"/>
  <c r="Z13" i="69"/>
  <c r="T25" i="69"/>
  <c r="S11" i="69"/>
  <c r="S12" i="69" s="1"/>
  <c r="C25" i="69" s="1"/>
  <c r="S7" i="64"/>
  <c r="S9" i="64" s="1"/>
  <c r="T25" i="64" s="1"/>
  <c r="U27" i="64" s="1"/>
  <c r="S39" i="24"/>
  <c r="T39" i="24" s="1"/>
  <c r="S46" i="64"/>
  <c r="S26" i="64"/>
  <c r="T26" i="64"/>
  <c r="R7" i="8"/>
  <c r="L43" i="69" s="1"/>
  <c r="AA12" i="24"/>
  <c r="AV7" i="8"/>
  <c r="U27" i="69" l="1"/>
  <c r="T27" i="69"/>
  <c r="T27" i="64"/>
  <c r="S11" i="64"/>
  <c r="S12" i="64" s="1"/>
  <c r="C25" i="64" s="1"/>
  <c r="S13" i="69"/>
  <c r="S14" i="69" s="1"/>
  <c r="G37" i="24"/>
  <c r="S8" i="24"/>
  <c r="S10" i="24" s="1"/>
  <c r="T26" i="24" s="1"/>
  <c r="T29" i="24" s="1"/>
  <c r="L41" i="64"/>
  <c r="Z13" i="64"/>
  <c r="E43" i="64"/>
  <c r="N35" i="24"/>
  <c r="S13" i="64" l="1"/>
  <c r="S14" i="64" s="1"/>
  <c r="U29" i="24"/>
  <c r="S12" i="24"/>
  <c r="S13" i="24" s="1"/>
  <c r="S15" i="24" s="1"/>
  <c r="S1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Junko ENDO</author>
  </authors>
  <commentList>
    <comment ref="C12" authorId="0" shapeId="0" xr:uid="{00000000-0006-0000-0000-000001000000}">
      <text>
        <r>
          <rPr>
            <sz val="9"/>
            <color indexed="81"/>
            <rFont val="ＭＳ Ｐゴシック"/>
            <family val="3"/>
            <charset val="128"/>
          </rPr>
          <t>2014/1等と入力して下さい。2014年1月と表示されます。</t>
        </r>
      </text>
    </comment>
    <comment ref="C40" authorId="0" shapeId="0" xr:uid="{00000000-0006-0000-0000-000002000000}">
      <text>
        <r>
          <rPr>
            <sz val="9"/>
            <color indexed="81"/>
            <rFont val="ＭＳ Ｐゴシック"/>
            <family val="3"/>
            <charset val="128"/>
          </rPr>
          <t>2014/1/1等と入力して下さい。2014年1月1日と表示されます。</t>
        </r>
      </text>
    </comment>
    <comment ref="B45" authorId="1" shapeId="0" xr:uid="{00000000-0006-0000-0000-000003000000}">
      <text>
        <r>
          <rPr>
            <sz val="9"/>
            <color indexed="81"/>
            <rFont val="ＭＳ Ｐゴシック"/>
            <family val="3"/>
            <charset val="128"/>
          </rPr>
          <t>第３者による評価結果の確認などを行っている場合は記述する。</t>
        </r>
      </text>
    </comment>
    <comment ref="C45" authorId="0" shapeId="0" xr:uid="{00000000-0006-0000-0000-000004000000}">
      <text>
        <r>
          <rPr>
            <sz val="9"/>
            <color indexed="81"/>
            <rFont val="ＭＳ Ｐゴシック"/>
            <family val="3"/>
            <charset val="128"/>
          </rPr>
          <t xml:space="preserve">2014/1/1等と入力して下さい。2014年1月1日と表示されます。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Junko ENDO</author>
    <author xml:space="preserve"> </author>
  </authors>
  <commentList>
    <comment ref="D5" authorId="0" shapeId="0" xr:uid="{00000000-0006-0000-0100-000001000000}">
      <text>
        <r>
          <rPr>
            <b/>
            <sz val="10"/>
            <color indexed="81"/>
            <rFont val="ＭＳ Ｐゴシック"/>
            <family val="3"/>
            <charset val="128"/>
          </rPr>
          <t>計画上の配慮事項:100字以内で記述してください。</t>
        </r>
        <r>
          <rPr>
            <sz val="10"/>
            <color indexed="81"/>
            <rFont val="ＭＳ Ｐゴシック"/>
            <family val="3"/>
            <charset val="128"/>
          </rPr>
          <t xml:space="preserve">
</t>
        </r>
      </text>
    </comment>
    <comment ref="C6" authorId="1" shapeId="0" xr:uid="{00000000-0006-0000-0100-000002000000}">
      <text>
        <r>
          <rPr>
            <b/>
            <sz val="9"/>
            <color indexed="81"/>
            <rFont val="ＭＳ Ｐゴシック"/>
            <family val="3"/>
            <charset val="128"/>
          </rPr>
          <t xml:space="preserve"> 注）　計画における総合的なコンセプトを簡潔に記載してください。（200字以内）</t>
        </r>
      </text>
    </comment>
    <comment ref="C7" authorId="1" shapeId="0" xr:uid="{00000000-0006-0000-0100-000003000000}">
      <text>
        <r>
          <rPr>
            <b/>
            <sz val="9"/>
            <color indexed="81"/>
            <rFont val="ＭＳ Ｐゴシック"/>
            <family val="3"/>
            <charset val="128"/>
          </rPr>
          <t>注）　「環境」に対する配慮事項を簡潔に記載してください。（100字以内）</t>
        </r>
      </text>
    </comment>
    <comment ref="C8" authorId="1" shapeId="0" xr:uid="{00000000-0006-0000-0100-000004000000}">
      <text>
        <r>
          <rPr>
            <b/>
            <sz val="9"/>
            <color indexed="81"/>
            <rFont val="ＭＳ Ｐゴシック"/>
            <family val="3"/>
            <charset val="128"/>
          </rPr>
          <t>注）　「社会」に対する配慮事項を簡潔に記載してください。（100字以内）</t>
        </r>
        <r>
          <rPr>
            <sz val="9"/>
            <color indexed="81"/>
            <rFont val="ＭＳ Ｐゴシック"/>
            <family val="3"/>
            <charset val="128"/>
          </rPr>
          <t xml:space="preserve">
</t>
        </r>
      </text>
    </comment>
    <comment ref="C9" authorId="1" shapeId="0" xr:uid="{00000000-0006-0000-0100-000005000000}">
      <text>
        <r>
          <rPr>
            <b/>
            <sz val="9"/>
            <color indexed="81"/>
            <rFont val="ＭＳ Ｐゴシック"/>
            <family val="3"/>
            <charset val="128"/>
          </rPr>
          <t>注）　「経済」に対する配慮事項を簡潔に記載してください。（100字以内）</t>
        </r>
      </text>
    </comment>
    <comment ref="C10" authorId="1" shapeId="0" xr:uid="{00000000-0006-0000-0100-000006000000}">
      <text>
        <r>
          <rPr>
            <b/>
            <sz val="9"/>
            <color indexed="81"/>
            <rFont val="ＭＳ Ｐゴシック"/>
            <family val="3"/>
            <charset val="128"/>
          </rPr>
          <t>注）　「エネルギー」に対する配慮事項を簡潔に記載してください。（100字以内）</t>
        </r>
      </text>
    </comment>
    <comment ref="C11" authorId="1" shapeId="0" xr:uid="{00000000-0006-0000-0100-000007000000}">
      <text>
        <r>
          <rPr>
            <b/>
            <sz val="9"/>
            <color indexed="81"/>
            <rFont val="ＭＳ Ｐゴシック"/>
            <family val="3"/>
            <charset val="128"/>
          </rPr>
          <t>注）　「資源環境」に対する配慮事項を簡潔に記載してください。（100字以内）</t>
        </r>
      </text>
    </comment>
    <comment ref="C12" authorId="1" shapeId="0" xr:uid="{00000000-0006-0000-0100-000008000000}">
      <text>
        <r>
          <rPr>
            <b/>
            <sz val="9"/>
            <color indexed="81"/>
            <rFont val="ＭＳ Ｐゴシック"/>
            <family val="3"/>
            <charset val="128"/>
          </rPr>
          <t>注）　「周辺環境」に対する配慮事項を簡潔に記載してください。（100字以内）</t>
        </r>
      </text>
    </comment>
    <comment ref="C13" authorId="1" shapeId="0" xr:uid="{00000000-0006-0000-0100-000009000000}">
      <text>
        <r>
          <rPr>
            <b/>
            <sz val="9"/>
            <color indexed="81"/>
            <rFont val="ＭＳ Ｐゴシック"/>
            <family val="3"/>
            <charset val="128"/>
          </rPr>
          <t>注）　上記の６つのカテゴリー以外に、プロジェクト自体の環境性能としてＣＡＳＢＥＥで評価し難い環境配慮の取組みがあれば、ここに記載してください。（100字以内）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Junko ENDO</author>
  </authors>
  <commentList>
    <comment ref="E86" authorId="0" shapeId="0" xr:uid="{122A452D-9967-492E-B9EF-48D54EA157CD}">
      <text>
        <r>
          <rPr>
            <b/>
            <sz val="9"/>
            <color indexed="81"/>
            <rFont val="MS P ゴシック"/>
            <family val="3"/>
            <charset val="128"/>
          </rPr>
          <t>建物数が多い場合は合計値を入力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<sst xmlns="http://schemas.openxmlformats.org/spreadsheetml/2006/main" count="3213" uniqueCount="1334">
  <si>
    <t>評　価　ソ　フ　ト</t>
    <rPh sb="0" eb="1">
      <t>ヒョウ</t>
    </rPh>
    <rPh sb="2" eb="3">
      <t>アタイ</t>
    </rPh>
    <phoneticPr fontId="3"/>
  </si>
  <si>
    <t>バージョン</t>
    <phoneticPr fontId="3"/>
  </si>
  <si>
    <t>■使用評価マニュアル：</t>
    <rPh sb="1" eb="3">
      <t>シヨウ</t>
    </rPh>
    <rPh sb="3" eb="5">
      <t>ヒョウカ</t>
    </rPh>
    <phoneticPr fontId="3"/>
  </si>
  <si>
    <t>1）概要入力</t>
    <rPh sb="2" eb="4">
      <t>ガイヨウ</t>
    </rPh>
    <rPh sb="4" eb="6">
      <t>ニュウリョク</t>
    </rPh>
    <phoneticPr fontId="3"/>
  </si>
  <si>
    <t>① 対象区域概要</t>
    <rPh sb="2" eb="4">
      <t>タイショウ</t>
    </rPh>
    <rPh sb="4" eb="6">
      <t>クイキ</t>
    </rPh>
    <rPh sb="6" eb="8">
      <t>ガイヨウ</t>
    </rPh>
    <phoneticPr fontId="3"/>
  </si>
  <si>
    <t>■開発名称</t>
    <rPh sb="1" eb="3">
      <t>かいはつ</t>
    </rPh>
    <rPh sb="3" eb="5">
      <t>ﾒｲｼｮｳ</t>
    </rPh>
    <phoneticPr fontId="18" type="noConversion"/>
  </si>
  <si>
    <t>Aプロジェクト</t>
    <phoneticPr fontId="3"/>
  </si>
  <si>
    <t>■所在地</t>
    <rPh sb="1" eb="4">
      <t>ｼｮｻﾞｲﾁ</t>
    </rPh>
    <phoneticPr fontId="18" type="noConversion"/>
  </si>
  <si>
    <t>東京都千代田区</t>
    <rPh sb="0" eb="3">
      <t>トウキョウト</t>
    </rPh>
    <rPh sb="3" eb="7">
      <t>チヨダク</t>
    </rPh>
    <phoneticPr fontId="3"/>
  </si>
  <si>
    <t>■竣工年 (予定/竣工)</t>
    <rPh sb="1" eb="3">
      <t>ｼｭﾝｺｳ</t>
    </rPh>
    <rPh sb="3" eb="4">
      <t>ﾈﾝ</t>
    </rPh>
    <rPh sb="6" eb="8">
      <t>ﾖﾃｲ</t>
    </rPh>
    <rPh sb="9" eb="11">
      <t>ｼｭﾝｺｳ</t>
    </rPh>
    <phoneticPr fontId="18" type="noConversion"/>
  </si>
  <si>
    <t>■使用評価ソフト</t>
    <rPh sb="1" eb="3">
      <t>しよう</t>
    </rPh>
    <rPh sb="3" eb="5">
      <t>ひょうか</t>
    </rPh>
    <phoneticPr fontId="18" type="noConversion"/>
  </si>
  <si>
    <t>■地域・地区</t>
    <rPh sb="1" eb="3">
      <t>ﾁｲｷ</t>
    </rPh>
    <rPh sb="4" eb="6">
      <t>ﾁｸ</t>
    </rPh>
    <phoneticPr fontId="18" type="noConversion"/>
  </si>
  <si>
    <t>地域・地区(1)</t>
    <rPh sb="0" eb="2">
      <t>チイキ</t>
    </rPh>
    <rPh sb="3" eb="5">
      <t>チク</t>
    </rPh>
    <phoneticPr fontId="3"/>
  </si>
  <si>
    <t>地域・地区(2)</t>
    <rPh sb="0" eb="2">
      <t>チイキ</t>
    </rPh>
    <rPh sb="3" eb="5">
      <t>チク</t>
    </rPh>
    <phoneticPr fontId="3"/>
  </si>
  <si>
    <t>商業地域、防火地域</t>
    <rPh sb="0" eb="2">
      <t>ショウギョウ</t>
    </rPh>
    <rPh sb="2" eb="4">
      <t>チイキ</t>
    </rPh>
    <rPh sb="5" eb="7">
      <t>ボウカ</t>
    </rPh>
    <rPh sb="7" eb="9">
      <t>チイキ</t>
    </rPh>
    <phoneticPr fontId="3"/>
  </si>
  <si>
    <t>指定建蔽率</t>
    <rPh sb="2" eb="5">
      <t>けんぺいりつ</t>
    </rPh>
    <phoneticPr fontId="18" type="noConversion"/>
  </si>
  <si>
    <t>%</t>
    <phoneticPr fontId="3"/>
  </si>
  <si>
    <t>指定容積率</t>
    <rPh sb="2" eb="4">
      <t>ようせき</t>
    </rPh>
    <rPh sb="4" eb="5">
      <t>りつ</t>
    </rPh>
    <phoneticPr fontId="18" type="noConversion"/>
  </si>
  <si>
    <t>地域・地区(3)</t>
    <rPh sb="0" eb="2">
      <t>チイキ</t>
    </rPh>
    <rPh sb="3" eb="5">
      <t>チク</t>
    </rPh>
    <phoneticPr fontId="3"/>
  </si>
  <si>
    <t>地域・地区(4)</t>
    <rPh sb="0" eb="2">
      <t>チイキ</t>
    </rPh>
    <rPh sb="3" eb="5">
      <t>チク</t>
    </rPh>
    <phoneticPr fontId="3"/>
  </si>
  <si>
    <t>住宅系</t>
    <rPh sb="0" eb="2">
      <t>ジュウタク</t>
    </rPh>
    <rPh sb="2" eb="3">
      <t>ケイ</t>
    </rPh>
    <phoneticPr fontId="3"/>
  </si>
  <si>
    <t>非住宅系</t>
    <rPh sb="0" eb="1">
      <t>ヒ</t>
    </rPh>
    <rPh sb="1" eb="3">
      <t>ジュウタク</t>
    </rPh>
    <rPh sb="3" eb="4">
      <t>ケイ</t>
    </rPh>
    <phoneticPr fontId="3"/>
  </si>
  <si>
    <t>■住宅系・非住宅系の割合</t>
    <rPh sb="1" eb="3">
      <t>じゅうたく</t>
    </rPh>
    <rPh sb="3" eb="4">
      <t>けい</t>
    </rPh>
    <rPh sb="5" eb="6">
      <t>ひ</t>
    </rPh>
    <rPh sb="6" eb="8">
      <t>じゅうたく</t>
    </rPh>
    <rPh sb="8" eb="9">
      <t>けい</t>
    </rPh>
    <rPh sb="10" eb="12">
      <t>わりあい</t>
    </rPh>
    <phoneticPr fontId="18" type="noConversion"/>
  </si>
  <si>
    <t>■基準建蔽率</t>
    <rPh sb="1" eb="3">
      <t>きじゅん</t>
    </rPh>
    <rPh sb="3" eb="6">
      <t>けんぺいりつ</t>
    </rPh>
    <phoneticPr fontId="18" type="noConversion"/>
  </si>
  <si>
    <t>■基準容積率</t>
    <rPh sb="1" eb="3">
      <t>きじゅん</t>
    </rPh>
    <rPh sb="3" eb="5">
      <t>ようせき</t>
    </rPh>
    <rPh sb="5" eb="6">
      <t>りつ</t>
    </rPh>
    <phoneticPr fontId="18" type="noConversion"/>
  </si>
  <si>
    <t>■適用制度・事業</t>
    <rPh sb="1" eb="3">
      <t>ﾃｷﾖｳ</t>
    </rPh>
    <rPh sb="3" eb="5">
      <t>ｾｲﾄﾞ</t>
    </rPh>
    <rPh sb="6" eb="8">
      <t>ｼﾞｷﾞｮｳ</t>
    </rPh>
    <phoneticPr fontId="18" type="noConversion"/>
  </si>
  <si>
    <t>第一種市街地再開発事業</t>
    <rPh sb="0" eb="1">
      <t>ダイ</t>
    </rPh>
    <rPh sb="1" eb="3">
      <t>イチシュ</t>
    </rPh>
    <rPh sb="3" eb="6">
      <t>シガイチ</t>
    </rPh>
    <rPh sb="6" eb="9">
      <t>サイカイハツ</t>
    </rPh>
    <rPh sb="9" eb="11">
      <t>ジギョウ</t>
    </rPh>
    <phoneticPr fontId="3"/>
  </si>
  <si>
    <t>再開発地区計画</t>
    <phoneticPr fontId="3"/>
  </si>
  <si>
    <t>■許容建蔽率</t>
    <rPh sb="1" eb="3">
      <t>きょよう</t>
    </rPh>
    <rPh sb="3" eb="6">
      <t>けんぺいりつ</t>
    </rPh>
    <phoneticPr fontId="18" type="noConversion"/>
  </si>
  <si>
    <t>■許容容積率</t>
    <rPh sb="1" eb="3">
      <t>きょよう</t>
    </rPh>
    <rPh sb="3" eb="5">
      <t>ようせき</t>
    </rPh>
    <rPh sb="5" eb="6">
      <t>りつ</t>
    </rPh>
    <phoneticPr fontId="18" type="noConversion"/>
  </si>
  <si>
    <t>■区域面積</t>
    <rPh sb="1" eb="3">
      <t>くいき</t>
    </rPh>
    <rPh sb="3" eb="5">
      <t>めんせき</t>
    </rPh>
    <phoneticPr fontId="18" type="noConversion"/>
  </si>
  <si>
    <t>ha</t>
    <phoneticPr fontId="3"/>
  </si>
  <si>
    <t>■敷地面積</t>
    <rPh sb="1" eb="3">
      <t>ｼｷﾁ</t>
    </rPh>
    <rPh sb="3" eb="5">
      <t>ﾒﾝｾｷ</t>
    </rPh>
    <phoneticPr fontId="18" type="noConversion"/>
  </si>
  <si>
    <t>■建築面積</t>
    <rPh sb="1" eb="3">
      <t>ｹﾝﾁｸ</t>
    </rPh>
    <rPh sb="3" eb="5">
      <t>ﾒﾝｾｷ</t>
    </rPh>
    <phoneticPr fontId="18" type="noConversion"/>
  </si>
  <si>
    <t>㎡</t>
    <phoneticPr fontId="3"/>
  </si>
  <si>
    <t>■計画建蔽率</t>
    <rPh sb="1" eb="3">
      <t>けいかく</t>
    </rPh>
    <rPh sb="3" eb="6">
      <t>けんぺいりつ</t>
    </rPh>
    <phoneticPr fontId="18" type="noConversion"/>
  </si>
  <si>
    <t>■延床面積</t>
    <rPh sb="1" eb="2">
      <t>ﾉ</t>
    </rPh>
    <rPh sb="2" eb="5">
      <t>ﾕｶﾒﾝｾｷ</t>
    </rPh>
    <phoneticPr fontId="18" type="noConversion"/>
  </si>
  <si>
    <t>■計画容積率</t>
    <rPh sb="1" eb="3">
      <t>けいかく</t>
    </rPh>
    <rPh sb="3" eb="5">
      <t>ようせき</t>
    </rPh>
    <rPh sb="5" eb="6">
      <t>りつ</t>
    </rPh>
    <phoneticPr fontId="18" type="noConversion"/>
  </si>
  <si>
    <t>その他</t>
    <rPh sb="2" eb="3">
      <t>ホカ</t>
    </rPh>
    <phoneticPr fontId="3"/>
  </si>
  <si>
    <t>■上位計画等</t>
    <rPh sb="1" eb="3">
      <t>じょうい</t>
    </rPh>
    <rPh sb="3" eb="5">
      <t>けいかく</t>
    </rPh>
    <rPh sb="5" eb="6">
      <t>とう</t>
    </rPh>
    <phoneticPr fontId="18" type="noConversion"/>
  </si>
  <si>
    <t>○○○</t>
    <phoneticPr fontId="3"/>
  </si>
  <si>
    <t>　（参照計画）</t>
    <rPh sb="2" eb="4">
      <t>サンショウ</t>
    </rPh>
    <rPh sb="4" eb="6">
      <t>ケイカク</t>
    </rPh>
    <phoneticPr fontId="3"/>
  </si>
  <si>
    <t>② 評価の実施</t>
    <rPh sb="2" eb="4">
      <t>ヒョウカ</t>
    </rPh>
    <rPh sb="5" eb="7">
      <t>ジッシ</t>
    </rPh>
    <phoneticPr fontId="3"/>
  </si>
  <si>
    <r>
      <t xml:space="preserve">■ </t>
    </r>
    <r>
      <rPr>
        <sz val="10"/>
        <rFont val="ＭＳ Ｐゴシック"/>
        <family val="3"/>
        <charset val="128"/>
      </rPr>
      <t>作成日</t>
    </r>
    <rPh sb="2" eb="5">
      <t>サクセイビ</t>
    </rPh>
    <phoneticPr fontId="3"/>
  </si>
  <si>
    <r>
      <t xml:space="preserve">■ </t>
    </r>
    <r>
      <rPr>
        <sz val="10"/>
        <rFont val="ＭＳ Ｐゴシック"/>
        <family val="3"/>
        <charset val="128"/>
      </rPr>
      <t>作成者</t>
    </r>
    <rPh sb="2" eb="5">
      <t>サクセイシャ</t>
    </rPh>
    <phoneticPr fontId="3"/>
  </si>
  <si>
    <r>
      <t>作成者(1)</t>
    </r>
    <r>
      <rPr>
        <sz val="11"/>
        <rFont val="ＭＳ Ｐゴシック"/>
        <family val="3"/>
        <charset val="128"/>
      </rPr>
      <t/>
    </r>
    <rPh sb="0" eb="3">
      <t>サクセイシャ</t>
    </rPh>
    <phoneticPr fontId="3"/>
  </si>
  <si>
    <t>作成者(2)</t>
    <phoneticPr fontId="3"/>
  </si>
  <si>
    <t>作成者(3)</t>
    <phoneticPr fontId="3"/>
  </si>
  <si>
    <t>■■　■■</t>
    <phoneticPr fontId="3"/>
  </si>
  <si>
    <r>
      <t>作成者(4)</t>
    </r>
    <r>
      <rPr>
        <sz val="11"/>
        <rFont val="ＭＳ Ｐゴシック"/>
        <family val="3"/>
        <charset val="128"/>
      </rPr>
      <t/>
    </r>
    <phoneticPr fontId="3"/>
  </si>
  <si>
    <t>作成者(5)</t>
    <phoneticPr fontId="3"/>
  </si>
  <si>
    <t>作成者(6)</t>
    <phoneticPr fontId="3"/>
  </si>
  <si>
    <r>
      <t xml:space="preserve">■ </t>
    </r>
    <r>
      <rPr>
        <sz val="10"/>
        <rFont val="ＭＳ Ｐゴシック"/>
        <family val="3"/>
        <charset val="128"/>
      </rPr>
      <t>確認日</t>
    </r>
    <rPh sb="2" eb="4">
      <t>カクニン</t>
    </rPh>
    <rPh sb="4" eb="5">
      <t>ビ</t>
    </rPh>
    <phoneticPr fontId="3"/>
  </si>
  <si>
    <r>
      <t xml:space="preserve">■ </t>
    </r>
    <r>
      <rPr>
        <sz val="10"/>
        <rFont val="ＭＳ Ｐゴシック"/>
        <family val="3"/>
        <charset val="128"/>
      </rPr>
      <t>確認者</t>
    </r>
    <rPh sb="2" eb="4">
      <t>カクニン</t>
    </rPh>
    <rPh sb="4" eb="5">
      <t>シャ</t>
    </rPh>
    <phoneticPr fontId="3"/>
  </si>
  <si>
    <t>□□　□□</t>
    <phoneticPr fontId="3"/>
  </si>
  <si>
    <t>2）各シートの表示</t>
    <rPh sb="2" eb="3">
      <t>カク</t>
    </rPh>
    <rPh sb="7" eb="9">
      <t>ヒョウジ</t>
    </rPh>
    <phoneticPr fontId="3"/>
  </si>
  <si>
    <t>評価結果表示シート</t>
    <rPh sb="0" eb="2">
      <t>ヒョウカ</t>
    </rPh>
    <rPh sb="2" eb="4">
      <t>ケッカ</t>
    </rPh>
    <rPh sb="4" eb="6">
      <t>ヒョウジ</t>
    </rPh>
    <phoneticPr fontId="3"/>
  </si>
  <si>
    <t>●結果　</t>
    <rPh sb="1" eb="3">
      <t>ケッカ</t>
    </rPh>
    <phoneticPr fontId="3"/>
  </si>
  <si>
    <t>スコアシート</t>
    <phoneticPr fontId="3"/>
  </si>
  <si>
    <t>●スコア</t>
    <phoneticPr fontId="3"/>
  </si>
  <si>
    <t>配慮シート</t>
    <rPh sb="0" eb="2">
      <t>ハイリョ</t>
    </rPh>
    <phoneticPr fontId="3"/>
  </si>
  <si>
    <t>●配慮</t>
    <rPh sb="1" eb="3">
      <t>ハイリョ</t>
    </rPh>
    <phoneticPr fontId="3"/>
  </si>
  <si>
    <t>採点Qシート</t>
    <rPh sb="0" eb="2">
      <t>サイテン</t>
    </rPh>
    <phoneticPr fontId="3"/>
  </si>
  <si>
    <t>●Ｑ１</t>
  </si>
  <si>
    <t>●Ｑ２</t>
  </si>
  <si>
    <t>●Ｑ３</t>
  </si>
  <si>
    <t>採点Lシート</t>
    <rPh sb="0" eb="2">
      <t>サイテン</t>
    </rPh>
    <phoneticPr fontId="3"/>
  </si>
  <si>
    <t>●ＬＲ１</t>
  </si>
  <si>
    <t>●ＬＲ２</t>
  </si>
  <si>
    <t>●ＬＲ３</t>
  </si>
  <si>
    <t>←</t>
    <phoneticPr fontId="3"/>
  </si>
  <si>
    <t>■使用マニュアル：</t>
    <rPh sb="1" eb="3">
      <t>しよう</t>
    </rPh>
    <phoneticPr fontId="18" type="noConversion"/>
  </si>
  <si>
    <r>
      <t>1-1</t>
    </r>
    <r>
      <rPr>
        <b/>
        <sz val="12"/>
        <color indexed="9"/>
        <rFont val="ＭＳ Ｐゴシック"/>
        <family val="3"/>
        <charset val="128"/>
      </rPr>
      <t>　街区の概要</t>
    </r>
    <rPh sb="4" eb="6">
      <t>がいく</t>
    </rPh>
    <rPh sb="7" eb="9">
      <t>ｶﾞｲﾖｳ</t>
    </rPh>
    <phoneticPr fontId="18" type="noConversion"/>
  </si>
  <si>
    <r>
      <t xml:space="preserve">1-2 </t>
    </r>
    <r>
      <rPr>
        <b/>
        <sz val="12"/>
        <color indexed="9"/>
        <rFont val="ＭＳ Ｐゴシック"/>
        <family val="3"/>
        <charset val="128"/>
      </rPr>
      <t>対象区域</t>
    </r>
    <phoneticPr fontId="3"/>
  </si>
  <si>
    <t>BEE rank</t>
    <phoneticPr fontId="3"/>
  </si>
  <si>
    <t>radar chart</t>
    <phoneticPr fontId="3"/>
  </si>
  <si>
    <t>開発名称</t>
    <rPh sb="0" eb="2">
      <t>かいはつ</t>
    </rPh>
    <rPh sb="2" eb="4">
      <t>ﾒｲｼｮｳ</t>
    </rPh>
    <phoneticPr fontId="18" type="noConversion"/>
  </si>
  <si>
    <t>適用制度・事業</t>
  </si>
  <si>
    <t>SQ</t>
    <phoneticPr fontId="3"/>
  </si>
  <si>
    <t>radar chart</t>
  </si>
  <si>
    <t>評価</t>
    <rPh sb="0" eb="2">
      <t>ヒョウカ</t>
    </rPh>
    <phoneticPr fontId="3"/>
  </si>
  <si>
    <t>所在地</t>
    <rPh sb="0" eb="3">
      <t>ｼｮｻﾞｲﾁ</t>
    </rPh>
    <phoneticPr fontId="18" type="noConversion"/>
  </si>
  <si>
    <t>許容建蔽率/容積率</t>
    <rPh sb="0" eb="2">
      <t>キョヨウ</t>
    </rPh>
    <rPh sb="2" eb="5">
      <t>ケンペイリツ</t>
    </rPh>
    <phoneticPr fontId="3"/>
  </si>
  <si>
    <t>SL</t>
    <phoneticPr fontId="3"/>
  </si>
  <si>
    <t>Q2</t>
    <phoneticPr fontId="3"/>
  </si>
  <si>
    <r>
      <t xml:space="preserve">Q2 </t>
    </r>
    <r>
      <rPr>
        <sz val="11"/>
        <rFont val="ＭＳ Ｐゴシック"/>
        <family val="3"/>
        <charset val="128"/>
      </rPr>
      <t>社会</t>
    </r>
    <rPh sb="3" eb="5">
      <t>シャカイ</t>
    </rPh>
    <phoneticPr fontId="3"/>
  </si>
  <si>
    <t>区域面積</t>
    <rPh sb="0" eb="2">
      <t>くいき</t>
    </rPh>
    <rPh sb="2" eb="4">
      <t>めんせき</t>
    </rPh>
    <phoneticPr fontId="18" type="noConversion"/>
  </si>
  <si>
    <t>ha</t>
    <phoneticPr fontId="18" type="noConversion"/>
  </si>
  <si>
    <t>敷地面積</t>
    <rPh sb="0" eb="2">
      <t>ｼｷﾁ</t>
    </rPh>
    <rPh sb="2" eb="4">
      <t>ﾒﾝｾｷ</t>
    </rPh>
    <phoneticPr fontId="18" type="noConversion"/>
  </si>
  <si>
    <t>Q</t>
    <phoneticPr fontId="3"/>
  </si>
  <si>
    <t>Q3</t>
    <phoneticPr fontId="3"/>
  </si>
  <si>
    <r>
      <t xml:space="preserve">Q3 </t>
    </r>
    <r>
      <rPr>
        <sz val="11"/>
        <rFont val="ＭＳ Ｐゴシック"/>
        <family val="3"/>
        <charset val="128"/>
      </rPr>
      <t>経済</t>
    </r>
    <rPh sb="3" eb="5">
      <t>ケイザイ</t>
    </rPh>
    <phoneticPr fontId="3"/>
  </si>
  <si>
    <t>竣工(供用開始)年</t>
    <rPh sb="3" eb="5">
      <t>キョウヨウ</t>
    </rPh>
    <rPh sb="5" eb="7">
      <t>カイシ</t>
    </rPh>
    <rPh sb="8" eb="9">
      <t>トシ</t>
    </rPh>
    <phoneticPr fontId="3"/>
  </si>
  <si>
    <t>建築面積/計画建蔽率</t>
    <rPh sb="0" eb="2">
      <t>ｹﾝﾁｸ</t>
    </rPh>
    <rPh sb="2" eb="4">
      <t>ﾒﾝｾｷ</t>
    </rPh>
    <phoneticPr fontId="18" type="noConversion"/>
  </si>
  <si>
    <t>L</t>
    <phoneticPr fontId="3"/>
  </si>
  <si>
    <t>LR</t>
    <phoneticPr fontId="3"/>
  </si>
  <si>
    <r>
      <t xml:space="preserve">LR </t>
    </r>
    <r>
      <rPr>
        <sz val="11"/>
        <rFont val="ＭＳ Ｐゴシック"/>
        <family val="3"/>
        <charset val="128"/>
      </rPr>
      <t>環境負荷低減</t>
    </r>
    <rPh sb="3" eb="5">
      <t>カンキョウ</t>
    </rPh>
    <rPh sb="5" eb="7">
      <t>フカ</t>
    </rPh>
    <rPh sb="7" eb="9">
      <t>テイゲン</t>
    </rPh>
    <phoneticPr fontId="3"/>
  </si>
  <si>
    <t>地域・地区</t>
    <rPh sb="0" eb="2">
      <t>ﾁｲｷ</t>
    </rPh>
    <rPh sb="3" eb="5">
      <t>ﾁｸ</t>
    </rPh>
    <phoneticPr fontId="18" type="noConversion"/>
  </si>
  <si>
    <t>(1)</t>
    <phoneticPr fontId="3"/>
  </si>
  <si>
    <t>延床面積/計画容積率</t>
    <rPh sb="0" eb="1">
      <t>ﾉ</t>
    </rPh>
    <rPh sb="1" eb="4">
      <t>ﾕｶﾒﾝｾｷ</t>
    </rPh>
    <phoneticPr fontId="18" type="noConversion"/>
  </si>
  <si>
    <t>BEE</t>
    <phoneticPr fontId="3"/>
  </si>
  <si>
    <t>Q1</t>
    <phoneticPr fontId="3"/>
  </si>
  <si>
    <r>
      <t xml:space="preserve">Q1 </t>
    </r>
    <r>
      <rPr>
        <sz val="11"/>
        <rFont val="ＭＳ Ｐゴシック"/>
        <family val="3"/>
        <charset val="128"/>
      </rPr>
      <t>環境</t>
    </r>
    <rPh sb="3" eb="5">
      <t>カンキョウ</t>
    </rPh>
    <phoneticPr fontId="3"/>
  </si>
  <si>
    <t>(指定建蔽率/容積率）</t>
    <rPh sb="1" eb="3">
      <t>ｼﾃｲ</t>
    </rPh>
    <rPh sb="3" eb="6">
      <t>ｹﾝﾍﾟｲﾘﾂ</t>
    </rPh>
    <rPh sb="7" eb="9">
      <t>ﾖｳｾｷ</t>
    </rPh>
    <rPh sb="9" eb="10">
      <t>ﾘﾂ</t>
    </rPh>
    <phoneticPr fontId="18" type="noConversion"/>
  </si>
  <si>
    <t>評価の実施日</t>
    <rPh sb="0" eb="2">
      <t>ﾋｮｳｶ</t>
    </rPh>
    <rPh sb="3" eb="6">
      <t>ｼﾞｯｼﾋﾞ</t>
    </rPh>
    <phoneticPr fontId="18" type="noConversion"/>
  </si>
  <si>
    <t>対象区域図等</t>
    <rPh sb="0" eb="2">
      <t>タイショウ</t>
    </rPh>
    <rPh sb="2" eb="3">
      <t>ク</t>
    </rPh>
    <rPh sb="3" eb="4">
      <t>イキ</t>
    </rPh>
    <rPh sb="4" eb="5">
      <t>ズ</t>
    </rPh>
    <rPh sb="5" eb="6">
      <t>トウ</t>
    </rPh>
    <phoneticPr fontId="3"/>
  </si>
  <si>
    <t>BEE(Round)</t>
    <phoneticPr fontId="3"/>
  </si>
  <si>
    <t>(2)</t>
    <phoneticPr fontId="3"/>
  </si>
  <si>
    <t>作成者</t>
    <rPh sb="0" eb="3">
      <t>サクセイシャ</t>
    </rPh>
    <phoneticPr fontId="3"/>
  </si>
  <si>
    <t>図を貼り付けるときは</t>
    <rPh sb="0" eb="1">
      <t>ズ</t>
    </rPh>
    <rPh sb="2" eb="3">
      <t>ハ</t>
    </rPh>
    <rPh sb="4" eb="5">
      <t>ツ</t>
    </rPh>
    <phoneticPr fontId="3"/>
  </si>
  <si>
    <t>Rank(red star)</t>
    <phoneticPr fontId="3"/>
  </si>
  <si>
    <t>(3)</t>
    <phoneticPr fontId="3"/>
  </si>
  <si>
    <t>シートの保護を解除してください</t>
    <phoneticPr fontId="3"/>
  </si>
  <si>
    <t>(blank star)</t>
    <phoneticPr fontId="3"/>
  </si>
  <si>
    <t>(4)</t>
    <phoneticPr fontId="3"/>
  </si>
  <si>
    <t>基準建蔽率/容積率</t>
    <rPh sb="6" eb="8">
      <t>ヨウセキ</t>
    </rPh>
    <rPh sb="8" eb="9">
      <t>リツ</t>
    </rPh>
    <phoneticPr fontId="3"/>
  </si>
  <si>
    <t>確認日</t>
    <phoneticPr fontId="3"/>
  </si>
  <si>
    <t>滞在人口</t>
    <rPh sb="0" eb="2">
      <t>タイザイ</t>
    </rPh>
    <rPh sb="2" eb="4">
      <t>ジンコウ</t>
    </rPh>
    <phoneticPr fontId="3"/>
  </si>
  <si>
    <t>人</t>
    <rPh sb="0" eb="1">
      <t>ヒト</t>
    </rPh>
    <phoneticPr fontId="3"/>
  </si>
  <si>
    <t>確認者</t>
    <phoneticPr fontId="3"/>
  </si>
  <si>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がいく</t>
    </rPh>
    <phoneticPr fontId="18" type="noConversion"/>
  </si>
  <si>
    <r>
      <t>2-2</t>
    </r>
    <r>
      <rPr>
        <b/>
        <sz val="12"/>
        <color indexed="9"/>
        <rFont val="ＭＳ Ｐゴシック"/>
        <family val="3"/>
        <charset val="128"/>
      </rPr>
      <t>　</t>
    </r>
    <r>
      <rPr>
        <b/>
        <sz val="12"/>
        <color indexed="9"/>
        <rFont val="Arial"/>
        <family val="2"/>
      </rPr>
      <t>CO2</t>
    </r>
    <r>
      <rPr>
        <b/>
        <sz val="12"/>
        <color indexed="9"/>
        <rFont val="ＭＳ Ｐゴシック"/>
        <family val="3"/>
        <charset val="128"/>
      </rPr>
      <t>排出量チャート（CO2総排出量）</t>
    </r>
    <rPh sb="18" eb="19">
      <t>ソウ</t>
    </rPh>
    <rPh sb="19" eb="21">
      <t>ハイシュツ</t>
    </rPh>
    <rPh sb="21" eb="22">
      <t>リョウ</t>
    </rPh>
    <phoneticPr fontId="3"/>
  </si>
  <si>
    <r>
      <t>2-3</t>
    </r>
    <r>
      <rPr>
        <b/>
        <sz val="12"/>
        <color indexed="9"/>
        <rFont val="ＭＳ Ｐゴシック"/>
        <family val="3"/>
        <charset val="128"/>
      </rPr>
      <t>　大項目の評価（ﾚｰﾀﾞｰﾁｬｰﾄ）</t>
    </r>
    <phoneticPr fontId="3"/>
  </si>
  <si>
    <t>BEE chart</t>
    <phoneticPr fontId="3"/>
  </si>
  <si>
    <r>
      <t>BAU</t>
    </r>
    <r>
      <rPr>
        <sz val="11"/>
        <rFont val="ＭＳ Ｐゴシック"/>
        <family val="3"/>
        <charset val="128"/>
      </rPr>
      <t>の総排出量</t>
    </r>
    <r>
      <rPr>
        <sz val="11"/>
        <rFont val="Arial"/>
        <family val="2"/>
      </rPr>
      <t>=</t>
    </r>
    <rPh sb="4" eb="5">
      <t>ソウ</t>
    </rPh>
    <rPh sb="5" eb="7">
      <t>ハイシュツ</t>
    </rPh>
    <rPh sb="7" eb="8">
      <t>リョウ</t>
    </rPh>
    <phoneticPr fontId="3"/>
  </si>
  <si>
    <t>基準</t>
    <rPh sb="0" eb="2">
      <t>キジュン</t>
    </rPh>
    <phoneticPr fontId="3"/>
  </si>
  <si>
    <t>原点</t>
    <rPh sb="0" eb="2">
      <t>ゲンテン</t>
    </rPh>
    <phoneticPr fontId="3"/>
  </si>
  <si>
    <t>X目盛線</t>
    <rPh sb="1" eb="3">
      <t>メモ</t>
    </rPh>
    <rPh sb="3" eb="4">
      <t>セン</t>
    </rPh>
    <phoneticPr fontId="3"/>
  </si>
  <si>
    <t>Y目盛線</t>
    <rPh sb="1" eb="3">
      <t>メモ</t>
    </rPh>
    <rPh sb="3" eb="4">
      <t>セン</t>
    </rPh>
    <phoneticPr fontId="3"/>
  </si>
  <si>
    <t>施策後の総排出量=</t>
    <rPh sb="0" eb="2">
      <t>シサク</t>
    </rPh>
    <rPh sb="2" eb="3">
      <t>アト</t>
    </rPh>
    <rPh sb="4" eb="5">
      <t>ソウ</t>
    </rPh>
    <rPh sb="5" eb="7">
      <t>ハイシュツ</t>
    </rPh>
    <rPh sb="7" eb="8">
      <t>リョウ</t>
    </rPh>
    <phoneticPr fontId="3"/>
  </si>
  <si>
    <r>
      <t>BEE</t>
    </r>
    <r>
      <rPr>
        <sz val="11"/>
        <rFont val="ＭＳ Ｐゴシック"/>
        <family val="3"/>
        <charset val="128"/>
      </rPr>
      <t>の分母側</t>
    </r>
    <r>
      <rPr>
        <sz val="11"/>
        <rFont val="Arial"/>
        <family val="2"/>
      </rPr>
      <t>(L)</t>
    </r>
    <rPh sb="4" eb="6">
      <t>ブンボ</t>
    </rPh>
    <rPh sb="6" eb="7">
      <t>ガワ</t>
    </rPh>
    <phoneticPr fontId="3"/>
  </si>
  <si>
    <r>
      <t>BEE</t>
    </r>
    <r>
      <rPr>
        <sz val="11"/>
        <rFont val="ＭＳ Ｐゴシック"/>
        <family val="3"/>
        <charset val="128"/>
      </rPr>
      <t>の分子側</t>
    </r>
    <r>
      <rPr>
        <sz val="11"/>
        <rFont val="Arial"/>
        <family val="2"/>
      </rPr>
      <t>(Q)</t>
    </r>
    <rPh sb="4" eb="6">
      <t>ブンシ</t>
    </rPh>
    <rPh sb="6" eb="7">
      <t>ガワ</t>
    </rPh>
    <phoneticPr fontId="3"/>
  </si>
  <si>
    <t>X</t>
    <phoneticPr fontId="3"/>
  </si>
  <si>
    <t>S</t>
    <phoneticPr fontId="3"/>
  </si>
  <si>
    <t>A</t>
    <phoneticPr fontId="3"/>
  </si>
  <si>
    <r>
      <t>2-4</t>
    </r>
    <r>
      <rPr>
        <b/>
        <sz val="12"/>
        <color indexed="9"/>
        <rFont val="ＭＳ Ｐゴシック"/>
        <family val="3"/>
        <charset val="128"/>
      </rPr>
      <t>　中項目の評価（ﾊﾞｰﾁｬｰﾄ）</t>
    </r>
    <phoneticPr fontId="3"/>
  </si>
  <si>
    <t>B+</t>
    <phoneticPr fontId="3"/>
  </si>
  <si>
    <r>
      <t>Q</t>
    </r>
    <r>
      <rPr>
        <b/>
        <sz val="11"/>
        <color indexed="26"/>
        <rFont val="ＭＳ Ｐゴシック"/>
        <family val="3"/>
        <charset val="128"/>
      </rPr>
      <t>　街区の環境品質</t>
    </r>
    <rPh sb="2" eb="4">
      <t>ガイク</t>
    </rPh>
    <rPh sb="5" eb="7">
      <t>カンキョウ</t>
    </rPh>
    <rPh sb="7" eb="9">
      <t>ヒンシツ</t>
    </rPh>
    <phoneticPr fontId="3"/>
  </si>
  <si>
    <r>
      <t>Q</t>
    </r>
    <r>
      <rPr>
        <b/>
        <i/>
        <sz val="14"/>
        <color indexed="26"/>
        <rFont val="ＭＳ Ｐゴシック"/>
        <family val="3"/>
        <charset val="128"/>
      </rPr>
      <t>のスコア</t>
    </r>
    <r>
      <rPr>
        <b/>
        <i/>
        <sz val="14"/>
        <color indexed="26"/>
        <rFont val="Arial"/>
        <family val="2"/>
      </rPr>
      <t>=</t>
    </r>
    <phoneticPr fontId="3"/>
  </si>
  <si>
    <t>B</t>
    <phoneticPr fontId="3"/>
  </si>
  <si>
    <r>
      <rPr>
        <b/>
        <sz val="11"/>
        <rFont val="ＭＳ Ｐゴシック"/>
        <family val="3"/>
        <charset val="128"/>
      </rPr>
      <t>　</t>
    </r>
    <r>
      <rPr>
        <b/>
        <sz val="11"/>
        <rFont val="Arial"/>
        <family val="2"/>
      </rPr>
      <t xml:space="preserve">Q1 </t>
    </r>
    <r>
      <rPr>
        <b/>
        <sz val="11"/>
        <rFont val="ＭＳ Ｐゴシック"/>
        <family val="3"/>
        <charset val="128"/>
      </rPr>
      <t>環境</t>
    </r>
    <phoneticPr fontId="3"/>
  </si>
  <si>
    <r>
      <t xml:space="preserve">      </t>
    </r>
    <r>
      <rPr>
        <b/>
        <sz val="11"/>
        <rFont val="ＭＳ Ｐゴシック"/>
        <family val="3"/>
        <charset val="128"/>
      </rPr>
      <t>　</t>
    </r>
    <r>
      <rPr>
        <b/>
        <sz val="11"/>
        <rFont val="Arial"/>
        <family val="2"/>
      </rPr>
      <t xml:space="preserve">Q2 </t>
    </r>
    <r>
      <rPr>
        <b/>
        <sz val="11"/>
        <rFont val="ＭＳ Ｐゴシック"/>
        <family val="3"/>
        <charset val="128"/>
      </rPr>
      <t>社会</t>
    </r>
    <rPh sb="10" eb="12">
      <t>シャカイ</t>
    </rPh>
    <phoneticPr fontId="3"/>
  </si>
  <si>
    <r>
      <rPr>
        <b/>
        <sz val="11"/>
        <rFont val="ＭＳ Ｐゴシック"/>
        <family val="3"/>
        <charset val="128"/>
      </rPr>
      <t>　　</t>
    </r>
    <r>
      <rPr>
        <b/>
        <sz val="11"/>
        <rFont val="Arial"/>
        <family val="2"/>
      </rPr>
      <t xml:space="preserve">Q3 </t>
    </r>
    <r>
      <rPr>
        <b/>
        <sz val="11"/>
        <rFont val="ＭＳ Ｐゴシック"/>
        <family val="3"/>
        <charset val="128"/>
      </rPr>
      <t>経済</t>
    </r>
    <rPh sb="5" eb="7">
      <t>ケイザイ</t>
    </rPh>
    <phoneticPr fontId="3"/>
  </si>
  <si>
    <t>B-</t>
    <phoneticPr fontId="3"/>
  </si>
  <si>
    <t>Score(RoundDown)</t>
    <phoneticPr fontId="3"/>
  </si>
  <si>
    <t>Label(N.A.)</t>
    <phoneticPr fontId="3"/>
  </si>
  <si>
    <r>
      <rPr>
        <sz val="11"/>
        <rFont val="Arial"/>
        <family val="2"/>
      </rPr>
      <t>Q2</t>
    </r>
    <r>
      <rPr>
        <sz val="11"/>
        <rFont val="ＭＳ Ｐゴシック"/>
        <family val="3"/>
        <charset val="128"/>
      </rPr>
      <t xml:space="preserve"> 社会</t>
    </r>
    <rPh sb="3" eb="5">
      <t>シャカイ</t>
    </rPh>
    <phoneticPr fontId="3"/>
  </si>
  <si>
    <r>
      <t xml:space="preserve">L1 </t>
    </r>
    <r>
      <rPr>
        <sz val="11"/>
        <rFont val="ＭＳ Ｐゴシック"/>
        <family val="3"/>
        <charset val="128"/>
      </rPr>
      <t>交通分野</t>
    </r>
    <rPh sb="3" eb="5">
      <t>コウツウ</t>
    </rPh>
    <rPh sb="5" eb="7">
      <t>ブンヤ</t>
    </rPh>
    <phoneticPr fontId="3"/>
  </si>
  <si>
    <r>
      <t xml:space="preserve">L2 </t>
    </r>
    <r>
      <rPr>
        <sz val="11"/>
        <rFont val="ＭＳ Ｐゴシック"/>
        <family val="3"/>
        <charset val="128"/>
      </rPr>
      <t>建築分野</t>
    </r>
    <rPh sb="3" eb="5">
      <t>ケンチク</t>
    </rPh>
    <rPh sb="5" eb="7">
      <t>ブンヤ</t>
    </rPh>
    <phoneticPr fontId="3"/>
  </si>
  <si>
    <r>
      <t xml:space="preserve">L3 </t>
    </r>
    <r>
      <rPr>
        <sz val="11"/>
        <rFont val="ＭＳ Ｐゴシック"/>
        <family val="3"/>
        <charset val="128"/>
      </rPr>
      <t>みどり分野</t>
    </r>
    <rPh sb="6" eb="8">
      <t>ブンヤ</t>
    </rPh>
    <phoneticPr fontId="3"/>
  </si>
  <si>
    <r>
      <t>L</t>
    </r>
    <r>
      <rPr>
        <b/>
        <sz val="11"/>
        <color indexed="42"/>
        <rFont val="ＭＳ Ｐゴシック"/>
        <family val="3"/>
        <charset val="128"/>
      </rPr>
      <t>　街区の環境負荷（</t>
    </r>
    <r>
      <rPr>
        <b/>
        <sz val="11"/>
        <color indexed="42"/>
        <rFont val="Arial"/>
        <family val="2"/>
      </rPr>
      <t>CO2</t>
    </r>
    <r>
      <rPr>
        <b/>
        <sz val="11"/>
        <color indexed="42"/>
        <rFont val="ＭＳ Ｐゴシック"/>
        <family val="3"/>
        <charset val="128"/>
      </rPr>
      <t>排出量の内訳）</t>
    </r>
    <rPh sb="2" eb="4">
      <t>ガイク</t>
    </rPh>
    <rPh sb="13" eb="15">
      <t>ハイシュツ</t>
    </rPh>
    <rPh sb="15" eb="16">
      <t>リョウ</t>
    </rPh>
    <rPh sb="17" eb="19">
      <t>ウチワケ</t>
    </rPh>
    <phoneticPr fontId="3"/>
  </si>
  <si>
    <r>
      <t>LR</t>
    </r>
    <r>
      <rPr>
        <b/>
        <i/>
        <sz val="14"/>
        <color indexed="42"/>
        <rFont val="ＭＳ Ｐゴシック"/>
        <family val="3"/>
        <charset val="128"/>
      </rPr>
      <t>のスコア</t>
    </r>
    <r>
      <rPr>
        <b/>
        <i/>
        <sz val="14"/>
        <color indexed="42"/>
        <rFont val="Arial"/>
        <family val="2"/>
      </rPr>
      <t>=</t>
    </r>
    <phoneticPr fontId="3"/>
  </si>
  <si>
    <t>BAU</t>
    <phoneticPr fontId="3"/>
  </si>
  <si>
    <r>
      <rPr>
        <b/>
        <sz val="11"/>
        <rFont val="ＭＳ Ｐゴシック"/>
        <family val="3"/>
        <charset val="128"/>
      </rPr>
      <t>　</t>
    </r>
    <r>
      <rPr>
        <b/>
        <sz val="11"/>
        <rFont val="Arial"/>
        <family val="2"/>
      </rPr>
      <t xml:space="preserve">L1 </t>
    </r>
    <r>
      <rPr>
        <b/>
        <sz val="11"/>
        <rFont val="ＭＳ Ｐゴシック"/>
        <family val="3"/>
        <charset val="128"/>
      </rPr>
      <t>交通分野</t>
    </r>
    <rPh sb="4" eb="6">
      <t>コウツウ</t>
    </rPh>
    <rPh sb="6" eb="8">
      <t>ブンヤ</t>
    </rPh>
    <phoneticPr fontId="3"/>
  </si>
  <si>
    <r>
      <t xml:space="preserve">      </t>
    </r>
    <r>
      <rPr>
        <b/>
        <sz val="11"/>
        <rFont val="ＭＳ Ｐゴシック"/>
        <family val="3"/>
        <charset val="128"/>
      </rPr>
      <t>　</t>
    </r>
    <r>
      <rPr>
        <b/>
        <sz val="11"/>
        <rFont val="Arial"/>
        <family val="2"/>
      </rPr>
      <t xml:space="preserve">L2 </t>
    </r>
    <r>
      <rPr>
        <b/>
        <sz val="11"/>
        <rFont val="ＭＳ Ｐゴシック"/>
        <family val="3"/>
        <charset val="128"/>
      </rPr>
      <t>建築（家庭・業務）分野</t>
    </r>
    <rPh sb="13" eb="15">
      <t>カテイ</t>
    </rPh>
    <rPh sb="16" eb="18">
      <t>ギョウム</t>
    </rPh>
    <rPh sb="19" eb="21">
      <t>ブンヤ</t>
    </rPh>
    <phoneticPr fontId="3"/>
  </si>
  <si>
    <r>
      <rPr>
        <b/>
        <sz val="11"/>
        <rFont val="ＭＳ Ｐゴシック"/>
        <family val="3"/>
        <charset val="128"/>
      </rPr>
      <t>　　</t>
    </r>
    <r>
      <rPr>
        <b/>
        <sz val="11"/>
        <rFont val="Arial"/>
        <family val="2"/>
      </rPr>
      <t xml:space="preserve">L3 </t>
    </r>
    <r>
      <rPr>
        <b/>
        <sz val="11"/>
        <rFont val="ＭＳ Ｐゴシック"/>
        <family val="3"/>
        <charset val="128"/>
      </rPr>
      <t>みどり分野</t>
    </r>
    <rPh sb="8" eb="10">
      <t>ブンヤ</t>
    </rPh>
    <phoneticPr fontId="3"/>
  </si>
  <si>
    <t>施策後</t>
    <rPh sb="0" eb="2">
      <t>シサク</t>
    </rPh>
    <rPh sb="2" eb="3">
      <t>アト</t>
    </rPh>
    <phoneticPr fontId="3"/>
  </si>
  <si>
    <t>交通</t>
    <rPh sb="0" eb="2">
      <t>コウツウ</t>
    </rPh>
    <phoneticPr fontId="3"/>
  </si>
  <si>
    <t>建築</t>
    <phoneticPr fontId="3"/>
  </si>
  <si>
    <t>みどり</t>
    <phoneticPr fontId="3"/>
  </si>
  <si>
    <t>合計</t>
    <rPh sb="0" eb="2">
      <t>ゴウケイ</t>
    </rPh>
    <phoneticPr fontId="3"/>
  </si>
  <si>
    <t>t-CO2/人・年</t>
    <rPh sb="6" eb="7">
      <t>ヒト</t>
    </rPh>
    <rPh sb="8" eb="9">
      <t>ネン</t>
    </rPh>
    <phoneticPr fontId="3"/>
  </si>
  <si>
    <t>総排出量</t>
    <rPh sb="0" eb="1">
      <t>ソウ</t>
    </rPh>
    <rPh sb="1" eb="3">
      <t>ハイシュツ</t>
    </rPh>
    <rPh sb="3" eb="4">
      <t>リョウ</t>
    </rPh>
    <phoneticPr fontId="3"/>
  </si>
  <si>
    <t>←横棒グラフでBAUを上にするために敢えて上下入れ替え</t>
    <rPh sb="1" eb="2">
      <t>ヨコ</t>
    </rPh>
    <rPh sb="2" eb="3">
      <t>ボウ</t>
    </rPh>
    <rPh sb="11" eb="12">
      <t>ウエ</t>
    </rPh>
    <rPh sb="18" eb="19">
      <t>ア</t>
    </rPh>
    <rPh sb="21" eb="23">
      <t>ジョウゲ</t>
    </rPh>
    <rPh sb="23" eb="24">
      <t>イ</t>
    </rPh>
    <rPh sb="25" eb="26">
      <t>カ</t>
    </rPh>
    <phoneticPr fontId="3"/>
  </si>
  <si>
    <r>
      <t>3</t>
    </r>
    <r>
      <rPr>
        <b/>
        <sz val="12"/>
        <color indexed="9"/>
        <rFont val="ＭＳ Ｐゴシック"/>
        <family val="3"/>
        <charset val="128"/>
      </rPr>
      <t>　計画上の配慮事項</t>
    </r>
    <rPh sb="2" eb="4">
      <t>ケイカク</t>
    </rPh>
    <rPh sb="4" eb="5">
      <t>ジョウ</t>
    </rPh>
    <rPh sb="6" eb="8">
      <t>ハイリョ</t>
    </rPh>
    <rPh sb="8" eb="10">
      <t>ジコウ</t>
    </rPh>
    <phoneticPr fontId="3"/>
  </si>
  <si>
    <r>
      <t xml:space="preserve">Q1 </t>
    </r>
    <r>
      <rPr>
        <b/>
        <sz val="11"/>
        <color indexed="9"/>
        <rFont val="ＭＳ Ｐゴシック"/>
        <family val="3"/>
        <charset val="128"/>
      </rPr>
      <t>環境</t>
    </r>
    <phoneticPr fontId="3"/>
  </si>
  <si>
    <r>
      <t xml:space="preserve">Q2 </t>
    </r>
    <r>
      <rPr>
        <b/>
        <sz val="11"/>
        <color indexed="9"/>
        <rFont val="ＭＳ Ｐゴシック"/>
        <family val="3"/>
        <charset val="128"/>
      </rPr>
      <t>社会</t>
    </r>
    <rPh sb="3" eb="5">
      <t>シャカイ</t>
    </rPh>
    <phoneticPr fontId="3"/>
  </si>
  <si>
    <r>
      <t xml:space="preserve">Q3 </t>
    </r>
    <r>
      <rPr>
        <b/>
        <sz val="11"/>
        <color indexed="9"/>
        <rFont val="ＭＳ Ｐゴシック"/>
        <family val="3"/>
        <charset val="128"/>
      </rPr>
      <t>経済</t>
    </r>
    <rPh sb="3" eb="5">
      <t>ケイザイ</t>
    </rPh>
    <phoneticPr fontId="3"/>
  </si>
  <si>
    <r>
      <t xml:space="preserve">L1 </t>
    </r>
    <r>
      <rPr>
        <b/>
        <sz val="11"/>
        <color indexed="9"/>
        <rFont val="ＭＳ Ｐゴシック"/>
        <family val="3"/>
        <charset val="128"/>
      </rPr>
      <t>交通分野</t>
    </r>
    <rPh sb="3" eb="5">
      <t>コウツウ</t>
    </rPh>
    <rPh sb="5" eb="7">
      <t>ブンヤ</t>
    </rPh>
    <phoneticPr fontId="3"/>
  </si>
  <si>
    <r>
      <t xml:space="preserve">L2 </t>
    </r>
    <r>
      <rPr>
        <b/>
        <sz val="11"/>
        <color indexed="9"/>
        <rFont val="ＭＳ Ｐゴシック"/>
        <family val="3"/>
        <charset val="128"/>
      </rPr>
      <t>建築（家庭・業務）分野</t>
    </r>
    <rPh sb="3" eb="5">
      <t>ケンチク</t>
    </rPh>
    <rPh sb="6" eb="8">
      <t>カテイ</t>
    </rPh>
    <rPh sb="9" eb="11">
      <t>ギョウム</t>
    </rPh>
    <rPh sb="12" eb="14">
      <t>ブンヤ</t>
    </rPh>
    <phoneticPr fontId="3"/>
  </si>
  <si>
    <r>
      <t xml:space="preserve">L3 </t>
    </r>
    <r>
      <rPr>
        <b/>
        <sz val="11"/>
        <color indexed="9"/>
        <rFont val="ＭＳ Ｐゴシック"/>
        <family val="3"/>
        <charset val="128"/>
      </rPr>
      <t>みどり分野</t>
    </r>
    <rPh sb="6" eb="8">
      <t>ブンヤ</t>
    </rPh>
    <phoneticPr fontId="3"/>
  </si>
  <si>
    <r>
      <t>4</t>
    </r>
    <r>
      <rPr>
        <b/>
        <sz val="12"/>
        <color indexed="9"/>
        <rFont val="ＭＳ Ｐゴシック"/>
        <family val="3"/>
        <charset val="128"/>
      </rPr>
      <t>　上位計画との整合性</t>
    </r>
    <rPh sb="2" eb="4">
      <t>ジョウイ</t>
    </rPh>
    <rPh sb="4" eb="6">
      <t>ケイカク</t>
    </rPh>
    <rPh sb="8" eb="11">
      <t>セイゴウセイ</t>
    </rPh>
    <phoneticPr fontId="3"/>
  </si>
  <si>
    <t>上位計画等</t>
    <rPh sb="0" eb="2">
      <t>ジョウイ</t>
    </rPh>
    <rPh sb="2" eb="5">
      <t>ケイカクトウ</t>
    </rPh>
    <phoneticPr fontId="3"/>
  </si>
  <si>
    <t>background</t>
    <phoneticPr fontId="3"/>
  </si>
  <si>
    <t>std</t>
    <phoneticPr fontId="3"/>
  </si>
  <si>
    <t>SLR</t>
    <phoneticPr fontId="3"/>
  </si>
  <si>
    <t>LR3</t>
    <phoneticPr fontId="3"/>
  </si>
  <si>
    <t>LR2</t>
    <phoneticPr fontId="3"/>
  </si>
  <si>
    <t>LR1</t>
    <phoneticPr fontId="3"/>
  </si>
  <si>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3"/>
  </si>
  <si>
    <r>
      <t>2-3</t>
    </r>
    <r>
      <rPr>
        <b/>
        <sz val="12"/>
        <color indexed="9"/>
        <rFont val="ＭＳ Ｐゴシック"/>
        <family val="3"/>
        <charset val="128"/>
      </rPr>
      <t>　大項目の評価（ﾚｰﾀﾞｰﾁｬｰﾄ）</t>
    </r>
    <rPh sb="4" eb="7">
      <t>ダイコウモク</t>
    </rPh>
    <rPh sb="8" eb="10">
      <t>ヒョウカ</t>
    </rPh>
    <phoneticPr fontId="3"/>
  </si>
  <si>
    <r>
      <t>BEE</t>
    </r>
    <r>
      <rPr>
        <sz val="11"/>
        <rFont val="ＭＳ Ｐゴシック"/>
        <family val="3"/>
        <charset val="128"/>
      </rPr>
      <t>グラフ</t>
    </r>
    <phoneticPr fontId="3"/>
  </si>
  <si>
    <t>SDGsRank</t>
  </si>
  <si>
    <t>SDGsRank(Ring)</t>
  </si>
  <si>
    <t>(BlankRing)</t>
  </si>
  <si>
    <t>スコア</t>
    <phoneticPr fontId="3"/>
  </si>
  <si>
    <t>ゴール3</t>
    <phoneticPr fontId="3"/>
  </si>
  <si>
    <t>ゴール4</t>
  </si>
  <si>
    <t>ゴール5</t>
  </si>
  <si>
    <t>ゴール6</t>
  </si>
  <si>
    <t>ゴール7</t>
  </si>
  <si>
    <t>ゴール8</t>
  </si>
  <si>
    <t>Rank(green star)</t>
    <phoneticPr fontId="3"/>
  </si>
  <si>
    <t>標準計算</t>
    <rPh sb="0" eb="2">
      <t>ヒョウジュン</t>
    </rPh>
    <rPh sb="2" eb="4">
      <t>ケイサン</t>
    </rPh>
    <phoneticPr fontId="3"/>
  </si>
  <si>
    <t xml:space="preserve"> ④上記+
　オフサイト手法</t>
    <phoneticPr fontId="3"/>
  </si>
  <si>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3"/>
  </si>
  <si>
    <t>ゴール9</t>
  </si>
  <si>
    <t>※個別計算</t>
    <rPh sb="1" eb="3">
      <t>コベツ</t>
    </rPh>
    <rPh sb="3" eb="5">
      <t>ケイサン</t>
    </rPh>
    <phoneticPr fontId="3"/>
  </si>
  <si>
    <t>個別計算</t>
    <rPh sb="0" eb="2">
      <t>コベツ</t>
    </rPh>
    <rPh sb="2" eb="4">
      <t>ケイサン</t>
    </rPh>
    <phoneticPr fontId="3"/>
  </si>
  <si>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3"/>
  </si>
  <si>
    <t>ゴール11</t>
  </si>
  <si>
    <t>ゴール12</t>
  </si>
  <si>
    <r>
      <t>* SDG1,2,10,14,16</t>
    </r>
    <r>
      <rPr>
        <sz val="8"/>
        <rFont val="ＭＳ Ｐゴシック"/>
        <family val="3"/>
        <charset val="128"/>
        <scheme val="minor"/>
      </rPr>
      <t>は他のゴールに集約されています</t>
    </r>
    <phoneticPr fontId="3"/>
  </si>
  <si>
    <t>LCCO2(kg-CO2/ym2)</t>
    <phoneticPr fontId="3"/>
  </si>
  <si>
    <t>建設</t>
    <rPh sb="0" eb="2">
      <t>ケンセツ</t>
    </rPh>
    <phoneticPr fontId="3"/>
  </si>
  <si>
    <t>修繕・更新・解体</t>
    <rPh sb="0" eb="2">
      <t>シュウゼン</t>
    </rPh>
    <rPh sb="3" eb="5">
      <t>コウシン</t>
    </rPh>
    <rPh sb="6" eb="8">
      <t>カイタイ</t>
    </rPh>
    <phoneticPr fontId="3"/>
  </si>
  <si>
    <t>運用</t>
    <rPh sb="0" eb="2">
      <t>ウンヨウ</t>
    </rPh>
    <phoneticPr fontId="3"/>
  </si>
  <si>
    <t>オンサイト</t>
    <phoneticPr fontId="3"/>
  </si>
  <si>
    <t>オフサイト</t>
    <phoneticPr fontId="3"/>
  </si>
  <si>
    <t>％</t>
    <phoneticPr fontId="3"/>
  </si>
  <si>
    <t>Sum</t>
    <phoneticPr fontId="3"/>
  </si>
  <si>
    <t>ゴール13</t>
  </si>
  <si>
    <r>
      <t>2-4</t>
    </r>
    <r>
      <rPr>
        <b/>
        <sz val="12"/>
        <color indexed="9"/>
        <rFont val="ＭＳ Ｐゴシック"/>
        <family val="3"/>
        <charset val="128"/>
      </rPr>
      <t>　中項目の評価（バーチャート）</t>
    </r>
    <phoneticPr fontId="3"/>
  </si>
  <si>
    <t>Ref</t>
    <phoneticPr fontId="3"/>
  </si>
  <si>
    <t>ゴール15</t>
  </si>
  <si>
    <r>
      <t>Q</t>
    </r>
    <r>
      <rPr>
        <b/>
        <sz val="9"/>
        <color rgb="FFFFFFCC"/>
        <rFont val="Arial"/>
        <family val="2"/>
      </rPr>
      <t>UD</t>
    </r>
    <r>
      <rPr>
        <b/>
        <sz val="11"/>
        <color indexed="26"/>
        <rFont val="Arial"/>
        <family val="2"/>
      </rPr>
      <t xml:space="preserve"> </t>
    </r>
    <r>
      <rPr>
        <b/>
        <sz val="11"/>
        <color indexed="26"/>
        <rFont val="ＭＳ Ｐゴシック"/>
        <family val="3"/>
        <charset val="128"/>
      </rPr>
      <t>環境品質</t>
    </r>
    <rPh sb="4" eb="6">
      <t>カンキョウ</t>
    </rPh>
    <rPh sb="6" eb="8">
      <t>ヒンシツ</t>
    </rPh>
    <phoneticPr fontId="3"/>
  </si>
  <si>
    <r>
      <t>Q</t>
    </r>
    <r>
      <rPr>
        <b/>
        <i/>
        <sz val="11"/>
        <color rgb="FFFFFFFF"/>
        <rFont val="Arial"/>
        <family val="2"/>
      </rPr>
      <t>UD</t>
    </r>
    <r>
      <rPr>
        <b/>
        <i/>
        <sz val="14"/>
        <color indexed="9"/>
        <rFont val="ＭＳ Ｐゴシック"/>
        <family val="3"/>
        <charset val="128"/>
      </rPr>
      <t>のスコア</t>
    </r>
    <r>
      <rPr>
        <b/>
        <i/>
        <sz val="14"/>
        <color indexed="9"/>
        <rFont val="Arial"/>
        <family val="2"/>
      </rPr>
      <t>=</t>
    </r>
    <phoneticPr fontId="3"/>
  </si>
  <si>
    <t>マネジメント・スマート性能</t>
    <rPh sb="11" eb="13">
      <t>セイノウ</t>
    </rPh>
    <phoneticPr fontId="3"/>
  </si>
  <si>
    <t>Subjest1</t>
    <phoneticPr fontId="3"/>
  </si>
  <si>
    <t>N.A.</t>
  </si>
  <si>
    <t>ゴール17</t>
    <phoneticPr fontId="3"/>
  </si>
  <si>
    <t>Subjest2</t>
    <phoneticPr fontId="3"/>
  </si>
  <si>
    <t>Subjest3</t>
    <phoneticPr fontId="3"/>
  </si>
  <si>
    <t>Score</t>
    <phoneticPr fontId="3"/>
  </si>
  <si>
    <t>Score(Round)</t>
    <phoneticPr fontId="3"/>
  </si>
  <si>
    <t>NA</t>
    <phoneticPr fontId="3"/>
  </si>
  <si>
    <t>自然環境</t>
    <phoneticPr fontId="3"/>
  </si>
  <si>
    <t>ガバナンス</t>
    <phoneticPr fontId="3"/>
  </si>
  <si>
    <t>経済基盤</t>
    <phoneticPr fontId="3"/>
  </si>
  <si>
    <t>生活環境</t>
    <phoneticPr fontId="3"/>
  </si>
  <si>
    <t>生活利便</t>
    <phoneticPr fontId="3"/>
  </si>
  <si>
    <t>ヒューマン
キャピタル</t>
    <phoneticPr fontId="3"/>
  </si>
  <si>
    <t>建築物
環境配慮</t>
    <phoneticPr fontId="3"/>
  </si>
  <si>
    <t>健康福祉</t>
    <phoneticPr fontId="3"/>
  </si>
  <si>
    <t>活性化方策</t>
    <phoneticPr fontId="3"/>
  </si>
  <si>
    <r>
      <t>LR</t>
    </r>
    <r>
      <rPr>
        <b/>
        <sz val="9"/>
        <color rgb="FFCCFFCC"/>
        <rFont val="Arial"/>
        <family val="2"/>
      </rPr>
      <t>UD</t>
    </r>
    <r>
      <rPr>
        <b/>
        <sz val="11"/>
        <color indexed="42"/>
        <rFont val="Arial"/>
        <family val="2"/>
      </rPr>
      <t xml:space="preserve"> </t>
    </r>
    <r>
      <rPr>
        <b/>
        <sz val="11"/>
        <color indexed="42"/>
        <rFont val="ＭＳ Ｐゴシック"/>
        <family val="3"/>
        <charset val="128"/>
      </rPr>
      <t>環境負荷低減性</t>
    </r>
    <phoneticPr fontId="3"/>
  </si>
  <si>
    <r>
      <t>LR</t>
    </r>
    <r>
      <rPr>
        <b/>
        <i/>
        <sz val="11"/>
        <color rgb="FFFFFFFF"/>
        <rFont val="Arial"/>
        <family val="2"/>
      </rPr>
      <t>UD</t>
    </r>
    <r>
      <rPr>
        <b/>
        <i/>
        <sz val="14"/>
        <color indexed="9"/>
        <rFont val="ＭＳ Ｐゴシック"/>
        <family val="3"/>
        <charset val="128"/>
      </rPr>
      <t>のスコア</t>
    </r>
    <r>
      <rPr>
        <b/>
        <i/>
        <sz val="14"/>
        <color indexed="9"/>
        <rFont val="Arial"/>
        <family val="2"/>
      </rPr>
      <t>=</t>
    </r>
    <phoneticPr fontId="3"/>
  </si>
  <si>
    <t>環境性能
スマート化</t>
    <rPh sb="0" eb="2">
      <t>カンキョウ</t>
    </rPh>
    <rPh sb="2" eb="4">
      <t>セイノウ</t>
    </rPh>
    <rPh sb="9" eb="10">
      <t>カ</t>
    </rPh>
    <phoneticPr fontId="3"/>
  </si>
  <si>
    <t>安全安心</t>
    <phoneticPr fontId="3"/>
  </si>
  <si>
    <t>経済性能
スマート化</t>
    <phoneticPr fontId="3"/>
  </si>
  <si>
    <t>包摂性</t>
    <phoneticPr fontId="3"/>
  </si>
  <si>
    <t>社会性能
スマート化</t>
    <phoneticPr fontId="3"/>
  </si>
  <si>
    <t>エネルギー
効率化</t>
    <phoneticPr fontId="3"/>
  </si>
  <si>
    <t>土地資源</t>
    <phoneticPr fontId="3"/>
  </si>
  <si>
    <t>地球温暖化
負荷の削減</t>
    <phoneticPr fontId="3"/>
  </si>
  <si>
    <t>再生
エネルギー</t>
    <phoneticPr fontId="3"/>
  </si>
  <si>
    <t>水資源</t>
    <phoneticPr fontId="3"/>
  </si>
  <si>
    <t>交通負荷
の削減</t>
    <phoneticPr fontId="3"/>
  </si>
  <si>
    <t>未利用
エネルギー</t>
    <phoneticPr fontId="3"/>
  </si>
  <si>
    <t>資源循環</t>
    <phoneticPr fontId="3"/>
  </si>
  <si>
    <t>環境阻害
の削減</t>
    <phoneticPr fontId="3"/>
  </si>
  <si>
    <t>エネルギー
マネジメント</t>
    <phoneticPr fontId="3"/>
  </si>
  <si>
    <t>■CASBEE: Comprehensive Assessment System for Built Environment Efficiency （建築環境総合性能評価システム）</t>
    <phoneticPr fontId="3"/>
  </si>
  <si>
    <t>■Q: Quality （街区の環境品質）、L: Load （街区の環境負荷）、 BEE: Built Environment Efficiency  （街区の環境効率）</t>
    <phoneticPr fontId="3"/>
  </si>
  <si>
    <r>
      <rPr>
        <b/>
        <sz val="9"/>
        <rFont val="ＭＳ Ｐゴシック"/>
        <family val="3"/>
        <charset val="128"/>
      </rPr>
      <t>■使用評価マニュアル：</t>
    </r>
    <rPh sb="1" eb="3">
      <t>シヨウ</t>
    </rPh>
    <rPh sb="3" eb="5">
      <t>ヒョウカ</t>
    </rPh>
    <phoneticPr fontId="3"/>
  </si>
  <si>
    <r>
      <rPr>
        <b/>
        <sz val="9"/>
        <rFont val="ＭＳ Ｐゴシック"/>
        <family val="3"/>
        <charset val="128"/>
      </rPr>
      <t>■評価ソフト：</t>
    </r>
    <rPh sb="1" eb="3">
      <t>ヒョウカ</t>
    </rPh>
    <phoneticPr fontId="3"/>
  </si>
  <si>
    <t>重み係数_既定</t>
    <rPh sb="0" eb="1">
      <t>オモ</t>
    </rPh>
    <rPh sb="2" eb="4">
      <t>ケイスウ</t>
    </rPh>
    <rPh sb="5" eb="7">
      <t>キテイ</t>
    </rPh>
    <phoneticPr fontId="3"/>
  </si>
  <si>
    <t>重み係数_対象項目</t>
    <rPh sb="0" eb="1">
      <t>オモ</t>
    </rPh>
    <rPh sb="2" eb="4">
      <t>ケイスウ</t>
    </rPh>
    <rPh sb="5" eb="7">
      <t>タイショウ</t>
    </rPh>
    <rPh sb="7" eb="9">
      <t>コウモク</t>
    </rPh>
    <phoneticPr fontId="3"/>
  </si>
  <si>
    <t>重み係数_配分後</t>
    <rPh sb="0" eb="1">
      <t>オモ</t>
    </rPh>
    <rPh sb="2" eb="4">
      <t>ケイスウ</t>
    </rPh>
    <rPh sb="5" eb="7">
      <t>ハイブン</t>
    </rPh>
    <rPh sb="7" eb="8">
      <t>ゴ</t>
    </rPh>
    <phoneticPr fontId="3"/>
  </si>
  <si>
    <t>集計結果</t>
    <rPh sb="0" eb="2">
      <t>シュウケイ</t>
    </rPh>
    <rPh sb="2" eb="4">
      <t>ケッカ</t>
    </rPh>
    <phoneticPr fontId="3"/>
  </si>
  <si>
    <t>重み係数_確認</t>
    <rPh sb="0" eb="1">
      <t>オモ</t>
    </rPh>
    <rPh sb="2" eb="4">
      <t>ケイスウ</t>
    </rPh>
    <rPh sb="5" eb="7">
      <t>カクニン</t>
    </rPh>
    <phoneticPr fontId="3"/>
  </si>
  <si>
    <t>スコアシート</t>
    <phoneticPr fontId="18" type="noConversion"/>
  </si>
  <si>
    <t>大項目</t>
    <rPh sb="0" eb="3">
      <t>ダイコウモク</t>
    </rPh>
    <phoneticPr fontId="131"/>
  </si>
  <si>
    <t>中項目</t>
    <rPh sb="0" eb="1">
      <t>チュウ</t>
    </rPh>
    <rPh sb="1" eb="3">
      <t>コウモク</t>
    </rPh>
    <phoneticPr fontId="131"/>
  </si>
  <si>
    <t>小項目</t>
    <rPh sb="0" eb="3">
      <t>ショウコウモク</t>
    </rPh>
    <phoneticPr fontId="131"/>
  </si>
  <si>
    <t>細項目</t>
    <rPh sb="0" eb="1">
      <t>コマ</t>
    </rPh>
    <rPh sb="1" eb="3">
      <t>コウモク</t>
    </rPh>
    <phoneticPr fontId="131"/>
  </si>
  <si>
    <t>細細目</t>
    <rPh sb="0" eb="3">
      <t>サイサイモク</t>
    </rPh>
    <phoneticPr fontId="3"/>
  </si>
  <si>
    <t>配慮項目</t>
    <phoneticPr fontId="3"/>
  </si>
  <si>
    <t>環境配慮計画の概要記入欄</t>
    <rPh sb="4" eb="6">
      <t>ケイカク</t>
    </rPh>
    <phoneticPr fontId="3"/>
  </si>
  <si>
    <t>評価点</t>
    <rPh sb="0" eb="3">
      <t>ヒョウカテン</t>
    </rPh>
    <phoneticPr fontId="3"/>
  </si>
  <si>
    <t>重み
係数</t>
    <rPh sb="0" eb="1">
      <t>オモ</t>
    </rPh>
    <phoneticPr fontId="3"/>
  </si>
  <si>
    <t>全体</t>
    <phoneticPr fontId="3"/>
  </si>
  <si>
    <t>採点結果</t>
    <rPh sb="0" eb="2">
      <t>サイテン</t>
    </rPh>
    <rPh sb="2" eb="4">
      <t>ケッカ</t>
    </rPh>
    <phoneticPr fontId="3"/>
  </si>
  <si>
    <t>1</t>
    <phoneticPr fontId="3"/>
  </si>
  <si>
    <t>エリアマネジメント</t>
    <phoneticPr fontId="3"/>
  </si>
  <si>
    <t>2</t>
    <phoneticPr fontId="3"/>
  </si>
  <si>
    <t>エネルギーマネジメント</t>
    <phoneticPr fontId="3"/>
  </si>
  <si>
    <t>Q2.1.2　エリアマネジメント</t>
  </si>
  <si>
    <t>交通マネジメント</t>
    <rPh sb="0" eb="2">
      <t>コウツウ</t>
    </rPh>
    <phoneticPr fontId="3"/>
  </si>
  <si>
    <t>発展的マネジメント</t>
    <rPh sb="0" eb="3">
      <t>ハッテンテキ</t>
    </rPh>
    <phoneticPr fontId="3"/>
  </si>
  <si>
    <t>LR3.2.1.2　交通需要マネジメント等の取組み</t>
  </si>
  <si>
    <t>Q2.1.1　コンプライアンス</t>
    <phoneticPr fontId="3"/>
  </si>
  <si>
    <t>Q3.1.2.2　公共交通指向型開発</t>
  </si>
  <si>
    <t>Q2.4.2　発災後の対応性能</t>
    <phoneticPr fontId="3"/>
  </si>
  <si>
    <t>Q3.1.2.3　モビリティサービス</t>
    <phoneticPr fontId="3"/>
  </si>
  <si>
    <t>Q2.4.4　防犯</t>
    <phoneticPr fontId="3"/>
  </si>
  <si>
    <t>Q3.1.2.4　物流システム</t>
    <phoneticPr fontId="3"/>
  </si>
  <si>
    <t>Q2.5.1　地域の歴史・文化との融和</t>
    <phoneticPr fontId="3"/>
  </si>
  <si>
    <t>LR3.2.2.1　他の交通手段への転換による自動車交通量の総量削減</t>
    <phoneticPr fontId="3"/>
  </si>
  <si>
    <t>Q3.3.2.1　地域産業の振興</t>
    <phoneticPr fontId="3"/>
  </si>
  <si>
    <t>LR3.2.2.2　周辺交通への負荷を抑制する動線計画</t>
    <phoneticPr fontId="3"/>
  </si>
  <si>
    <t>Q3.3.2.2　魅力的なまちなかの形成</t>
    <phoneticPr fontId="3"/>
  </si>
  <si>
    <t>Q3.3.3　多様な主体の連携</t>
    <phoneticPr fontId="3"/>
  </si>
  <si>
    <t>環境のスマート化</t>
    <rPh sb="0" eb="2">
      <t>カンキョウ</t>
    </rPh>
    <rPh sb="7" eb="8">
      <t>カ</t>
    </rPh>
    <phoneticPr fontId="3"/>
  </si>
  <si>
    <t>経済のスマート化</t>
    <rPh sb="0" eb="2">
      <t>ケイザイ</t>
    </rPh>
    <rPh sb="7" eb="8">
      <t>カ</t>
    </rPh>
    <phoneticPr fontId="3"/>
  </si>
  <si>
    <t>Q1.4　環境性能に関するスマート化</t>
  </si>
  <si>
    <t>Q3.4　経済性能に関するスマート化</t>
  </si>
  <si>
    <t>社会のスマート化</t>
    <rPh sb="0" eb="2">
      <t>シャカイ</t>
    </rPh>
    <rPh sb="7" eb="8">
      <t>カ</t>
    </rPh>
    <phoneticPr fontId="3"/>
  </si>
  <si>
    <t>Q2.6　社会性能に関するスマート化</t>
  </si>
  <si>
    <t>評価する取組み</t>
    <rPh sb="0" eb="2">
      <t>ヒョウカ</t>
    </rPh>
    <rPh sb="4" eb="6">
      <t>トリクミ</t>
    </rPh>
    <phoneticPr fontId="3"/>
  </si>
  <si>
    <t>No.1</t>
    <phoneticPr fontId="3"/>
  </si>
  <si>
    <t>No.2</t>
  </si>
  <si>
    <t>No.3</t>
  </si>
  <si>
    <t>No.4</t>
  </si>
  <si>
    <t>No.5</t>
  </si>
  <si>
    <t>No.6</t>
  </si>
  <si>
    <t>No.7</t>
  </si>
  <si>
    <t>No.8</t>
  </si>
  <si>
    <t>No.9</t>
  </si>
  <si>
    <t>No.10</t>
  </si>
  <si>
    <t>No.11</t>
  </si>
  <si>
    <t>No.12</t>
  </si>
  <si>
    <t>-</t>
    <phoneticPr fontId="3"/>
  </si>
  <si>
    <t>■　計画上の配慮事項</t>
    <rPh sb="2" eb="4">
      <t>ケイカク</t>
    </rPh>
    <rPh sb="4" eb="5">
      <t>ジョウ</t>
    </rPh>
    <rPh sb="6" eb="8">
      <t>ハイリョ</t>
    </rPh>
    <rPh sb="8" eb="10">
      <t>ジコウ</t>
    </rPh>
    <phoneticPr fontId="3"/>
  </si>
  <si>
    <t>■作成者</t>
    <rPh sb="1" eb="4">
      <t>サクセイシャ</t>
    </rPh>
    <phoneticPr fontId="3"/>
  </si>
  <si>
    <t>■作成日</t>
    <rPh sb="1" eb="4">
      <t>サクセイビ</t>
    </rPh>
    <phoneticPr fontId="3"/>
  </si>
  <si>
    <t>計画上の配慮事項</t>
    <rPh sb="0" eb="2">
      <t>ケイカク</t>
    </rPh>
    <rPh sb="2" eb="3">
      <t>ジョウ</t>
    </rPh>
    <rPh sb="4" eb="6">
      <t>ハイリョ</t>
    </rPh>
    <rPh sb="6" eb="8">
      <t>ジコウ</t>
    </rPh>
    <phoneticPr fontId="3"/>
  </si>
  <si>
    <t>主な環境配慮の具体策</t>
    <rPh sb="0" eb="1">
      <t>オモ</t>
    </rPh>
    <rPh sb="2" eb="4">
      <t>カンキョウ</t>
    </rPh>
    <rPh sb="4" eb="6">
      <t>ハイリョ</t>
    </rPh>
    <rPh sb="7" eb="9">
      <t>グタイ</t>
    </rPh>
    <rPh sb="9" eb="10">
      <t>サク</t>
    </rPh>
    <phoneticPr fontId="3"/>
  </si>
  <si>
    <t>総合</t>
    <rPh sb="0" eb="2">
      <t>ソウゴウ</t>
    </rPh>
    <phoneticPr fontId="3"/>
  </si>
  <si>
    <t>■開発名称</t>
    <rPh sb="1" eb="3">
      <t>カイハツ</t>
    </rPh>
    <rPh sb="3" eb="5">
      <t>メイショウ</t>
    </rPh>
    <phoneticPr fontId="3"/>
  </si>
  <si>
    <r>
      <rPr>
        <sz val="11"/>
        <rFont val="ＭＳ Ｐゴシック"/>
        <family val="3"/>
        <charset val="128"/>
      </rPr>
      <t>　レベル　</t>
    </r>
    <r>
      <rPr>
        <sz val="11"/>
        <rFont val="Arial"/>
        <family val="2"/>
      </rPr>
      <t>1</t>
    </r>
    <phoneticPr fontId="3"/>
  </si>
  <si>
    <r>
      <rPr>
        <sz val="11"/>
        <rFont val="ＭＳ Ｐゴシック"/>
        <family val="3"/>
        <charset val="128"/>
      </rPr>
      <t>■レベル　</t>
    </r>
    <r>
      <rPr>
        <sz val="11"/>
        <rFont val="Arial"/>
        <family val="2"/>
      </rPr>
      <t>1</t>
    </r>
    <phoneticPr fontId="3"/>
  </si>
  <si>
    <r>
      <rPr>
        <sz val="11"/>
        <rFont val="ＭＳ Ｐゴシック"/>
        <family val="3"/>
        <charset val="128"/>
      </rPr>
      <t>　レベル　</t>
    </r>
    <r>
      <rPr>
        <sz val="11"/>
        <rFont val="Arial"/>
        <family val="2"/>
      </rPr>
      <t>2</t>
    </r>
  </si>
  <si>
    <r>
      <rPr>
        <sz val="11"/>
        <rFont val="ＭＳ Ｐゴシック"/>
        <family val="3"/>
        <charset val="128"/>
      </rPr>
      <t>■レベル　</t>
    </r>
    <r>
      <rPr>
        <sz val="11"/>
        <rFont val="Arial"/>
        <family val="2"/>
      </rPr>
      <t>2</t>
    </r>
  </si>
  <si>
    <t>〇</t>
    <phoneticPr fontId="3"/>
  </si>
  <si>
    <r>
      <rPr>
        <sz val="11"/>
        <rFont val="ＭＳ Ｐゴシック"/>
        <family val="3"/>
        <charset val="128"/>
      </rPr>
      <t>　レベル　</t>
    </r>
    <r>
      <rPr>
        <sz val="11"/>
        <rFont val="Arial"/>
        <family val="2"/>
      </rPr>
      <t>3</t>
    </r>
  </si>
  <si>
    <r>
      <rPr>
        <sz val="11"/>
        <rFont val="ＭＳ Ｐゴシック"/>
        <family val="3"/>
        <charset val="128"/>
      </rPr>
      <t>■レベル　</t>
    </r>
    <r>
      <rPr>
        <sz val="11"/>
        <rFont val="Arial"/>
        <family val="2"/>
      </rPr>
      <t>3</t>
    </r>
  </si>
  <si>
    <t>未評価</t>
    <phoneticPr fontId="3"/>
  </si>
  <si>
    <r>
      <rPr>
        <sz val="11"/>
        <rFont val="ＭＳ Ｐゴシック"/>
        <family val="3"/>
        <charset val="128"/>
      </rPr>
      <t>　レベル　</t>
    </r>
    <r>
      <rPr>
        <sz val="11"/>
        <rFont val="Arial"/>
        <family val="2"/>
      </rPr>
      <t>4</t>
    </r>
  </si>
  <si>
    <r>
      <rPr>
        <sz val="11"/>
        <rFont val="ＭＳ Ｐゴシック"/>
        <family val="3"/>
        <charset val="128"/>
      </rPr>
      <t>■レベル　</t>
    </r>
    <r>
      <rPr>
        <sz val="11"/>
        <rFont val="Arial"/>
        <family val="2"/>
      </rPr>
      <t>4</t>
    </r>
  </si>
  <si>
    <r>
      <rPr>
        <sz val="11"/>
        <rFont val="ＭＳ Ｐゴシック"/>
        <family val="3"/>
        <charset val="128"/>
      </rPr>
      <t>　レベル　</t>
    </r>
    <r>
      <rPr>
        <sz val="11"/>
        <rFont val="Arial"/>
        <family val="2"/>
      </rPr>
      <t>5</t>
    </r>
  </si>
  <si>
    <r>
      <rPr>
        <sz val="11"/>
        <rFont val="ＭＳ Ｐゴシック"/>
        <family val="3"/>
        <charset val="128"/>
      </rPr>
      <t>■レベル　</t>
    </r>
    <r>
      <rPr>
        <sz val="11"/>
        <rFont val="Arial"/>
        <family val="2"/>
      </rPr>
      <t>5</t>
    </r>
  </si>
  <si>
    <t>色欄について、プルダウンメニューから選択、または数値・コメントを記入のこと</t>
    <rPh sb="0" eb="1">
      <t>イロ</t>
    </rPh>
    <rPh sb="1" eb="2">
      <t>ラン</t>
    </rPh>
    <rPh sb="18" eb="20">
      <t>センタク</t>
    </rPh>
    <rPh sb="24" eb="26">
      <t>スウチ</t>
    </rPh>
    <rPh sb="32" eb="34">
      <t>キニュウ</t>
    </rPh>
    <phoneticPr fontId="3"/>
  </si>
  <si>
    <t>※環境配慮の概要は最長30字程度。レベル３を超える場合は必ず記入し、多い場合は配慮シートに記述する。</t>
    <phoneticPr fontId="3"/>
  </si>
  <si>
    <r>
      <t xml:space="preserve">1.1 </t>
    </r>
    <r>
      <rPr>
        <b/>
        <sz val="12"/>
        <color indexed="8"/>
        <rFont val="ＭＳ Ｐゴシック"/>
        <family val="3"/>
        <charset val="128"/>
      </rPr>
      <t>自然環境</t>
    </r>
    <rPh sb="4" eb="6">
      <t>シゼン</t>
    </rPh>
    <rPh sb="6" eb="8">
      <t>カンキョウ</t>
    </rPh>
    <phoneticPr fontId="3"/>
  </si>
  <si>
    <r>
      <t xml:space="preserve">1.1.1 </t>
    </r>
    <r>
      <rPr>
        <b/>
        <sz val="12"/>
        <color indexed="8"/>
        <rFont val="ＭＳ Ｐゴシック"/>
        <family val="3"/>
        <charset val="128"/>
      </rPr>
      <t>自然環境の保全</t>
    </r>
    <rPh sb="6" eb="8">
      <t>シゼン</t>
    </rPh>
    <rPh sb="8" eb="10">
      <t>カンキョウ</t>
    </rPh>
    <rPh sb="11" eb="13">
      <t>ホゼン</t>
    </rPh>
    <phoneticPr fontId="3"/>
  </si>
  <si>
    <r>
      <rPr>
        <sz val="11"/>
        <rFont val="ＭＳ Ｐゴシック"/>
        <family val="3"/>
        <charset val="128"/>
      </rPr>
      <t>レベル</t>
    </r>
    <phoneticPr fontId="3"/>
  </si>
  <si>
    <r>
      <rPr>
        <sz val="11"/>
        <rFont val="ＭＳ Ｐゴシック"/>
        <family val="3"/>
        <charset val="128"/>
      </rPr>
      <t>取組数</t>
    </r>
    <rPh sb="0" eb="3">
      <t>トリクミスウ</t>
    </rPh>
    <phoneticPr fontId="3"/>
  </si>
  <si>
    <t>（該当するレベルなし）</t>
  </si>
  <si>
    <t>保全するべき動植物を把握しており、一部の種を保全している</t>
  </si>
  <si>
    <t>保全するべき動植物を把握しており、過半の種を保全している</t>
  </si>
  <si>
    <t>環境配慮概要</t>
    <rPh sb="0" eb="2">
      <t>カンキョウ</t>
    </rPh>
    <rPh sb="2" eb="4">
      <t>ハイリョ</t>
    </rPh>
    <rPh sb="4" eb="6">
      <t>ガイヨウ</t>
    </rPh>
    <phoneticPr fontId="3"/>
  </si>
  <si>
    <r>
      <rPr>
        <sz val="10"/>
        <rFont val="ＭＳ Ｐゴシック"/>
        <family val="3"/>
        <charset val="128"/>
      </rPr>
      <t>（該当するレベルなし）</t>
    </r>
  </si>
  <si>
    <r>
      <t xml:space="preserve">1.1.2.1 </t>
    </r>
    <r>
      <rPr>
        <b/>
        <sz val="10"/>
        <rFont val="ＭＳ Ｐゴシック"/>
        <family val="3"/>
        <charset val="128"/>
      </rPr>
      <t>生物の生息空間のまとまり</t>
    </r>
    <rPh sb="8" eb="10">
      <t>セイブツ</t>
    </rPh>
    <rPh sb="11" eb="13">
      <t>セイソク</t>
    </rPh>
    <rPh sb="13" eb="15">
      <t>クウカン</t>
    </rPh>
    <phoneticPr fontId="3"/>
  </si>
  <si>
    <r>
      <t xml:space="preserve">1.1.2.2 </t>
    </r>
    <r>
      <rPr>
        <b/>
        <sz val="10"/>
        <rFont val="ＭＳ Ｐゴシック"/>
        <family val="3"/>
        <charset val="128"/>
      </rPr>
      <t>生物の生息空間の質</t>
    </r>
    <phoneticPr fontId="3"/>
  </si>
  <si>
    <t>1）樹林</t>
    <phoneticPr fontId="3"/>
  </si>
  <si>
    <r>
      <rPr>
        <sz val="10"/>
        <rFont val="ＭＳ Ｐゴシック"/>
        <family val="3"/>
        <charset val="128"/>
      </rPr>
      <t>樹林がない</t>
    </r>
    <phoneticPr fontId="3"/>
  </si>
  <si>
    <r>
      <rPr>
        <sz val="10"/>
        <rFont val="ＭＳ Ｐゴシック"/>
        <family val="3"/>
        <charset val="128"/>
      </rPr>
      <t>樹林が高木のみで構成されており、階層構造がない</t>
    </r>
  </si>
  <si>
    <r>
      <rPr>
        <sz val="10"/>
        <rFont val="ＭＳ Ｐゴシック"/>
        <family val="3"/>
        <charset val="128"/>
      </rPr>
      <t>樹林に高木層に加えて低木層、もしくは草本層が存在する階層構造がある</t>
    </r>
  </si>
  <si>
    <r>
      <rPr>
        <sz val="10"/>
        <rFont val="ＭＳ Ｐゴシック"/>
        <family val="3"/>
        <charset val="128"/>
      </rPr>
      <t>樹林に高木層、低木層、草本層がすべて存在する階層構造がある</t>
    </r>
  </si>
  <si>
    <t>2）草地</t>
    <phoneticPr fontId="3"/>
  </si>
  <si>
    <r>
      <rPr>
        <sz val="10"/>
        <rFont val="ＭＳ Ｐゴシック"/>
        <family val="3"/>
        <charset val="128"/>
      </rPr>
      <t>芝地のみ・あるいは芝地、草地がない</t>
    </r>
    <phoneticPr fontId="3"/>
  </si>
  <si>
    <r>
      <rPr>
        <sz val="10"/>
        <rFont val="ＭＳ Ｐゴシック"/>
        <family val="3"/>
        <charset val="128"/>
      </rPr>
      <t>高さが一様にそろっている芝地以外の草地がある</t>
    </r>
  </si>
  <si>
    <r>
      <rPr>
        <sz val="10"/>
        <rFont val="ＭＳ Ｐゴシック"/>
        <family val="3"/>
        <charset val="128"/>
      </rPr>
      <t>種類構成は同じだが、管理等により高茎と低茎の草地がある</t>
    </r>
  </si>
  <si>
    <r>
      <rPr>
        <sz val="10"/>
        <rFont val="ＭＳ Ｐゴシック"/>
        <family val="3"/>
        <charset val="128"/>
      </rPr>
      <t>高茎草地と低茎草地が計画地内に混在する</t>
    </r>
  </si>
  <si>
    <t>3）水辺</t>
    <phoneticPr fontId="3"/>
  </si>
  <si>
    <r>
      <rPr>
        <sz val="10"/>
        <rFont val="ＭＳ Ｐゴシック"/>
        <family val="3"/>
        <charset val="128"/>
      </rPr>
      <t>水辺がない</t>
    </r>
    <phoneticPr fontId="3"/>
  </si>
  <si>
    <r>
      <rPr>
        <sz val="10"/>
        <rFont val="ＭＳ Ｐゴシック"/>
        <family val="3"/>
        <charset val="128"/>
      </rPr>
      <t>水辺はあるが、抽水植物を伴わない</t>
    </r>
  </si>
  <si>
    <r>
      <rPr>
        <sz val="10"/>
        <rFont val="ＭＳ Ｐゴシック"/>
        <family val="3"/>
        <charset val="128"/>
      </rPr>
      <t>抽水植物を伴う水辺がある</t>
    </r>
  </si>
  <si>
    <r>
      <rPr>
        <sz val="10"/>
        <rFont val="ＭＳ Ｐゴシック"/>
        <family val="3"/>
        <charset val="128"/>
      </rPr>
      <t>緩傾斜護岸で抽水植物を伴う水辺があるが、陸地から水辺へ植生の連続性がない</t>
    </r>
  </si>
  <si>
    <r>
      <rPr>
        <sz val="10"/>
        <rFont val="ＭＳ Ｐゴシック"/>
        <family val="3"/>
        <charset val="128"/>
      </rPr>
      <t>緩傾斜護岸で抽水植物を伴う水辺があり、陸地から水辺へ植生の連続性がある</t>
    </r>
  </si>
  <si>
    <r>
      <t xml:space="preserve">1.1.2.3 </t>
    </r>
    <r>
      <rPr>
        <b/>
        <sz val="10"/>
        <rFont val="ＭＳ Ｐゴシック"/>
        <family val="3"/>
        <charset val="128"/>
      </rPr>
      <t>地域性への配慮</t>
    </r>
    <phoneticPr fontId="3"/>
  </si>
  <si>
    <t>1）木本（中高木）</t>
    <rPh sb="2" eb="3">
      <t>キ</t>
    </rPh>
    <rPh sb="3" eb="4">
      <t>ホン</t>
    </rPh>
    <rPh sb="5" eb="8">
      <t>チュウコウボク</t>
    </rPh>
    <phoneticPr fontId="3"/>
  </si>
  <si>
    <r>
      <rPr>
        <sz val="10"/>
        <rFont val="ＭＳ Ｐゴシック"/>
        <family val="3"/>
        <charset val="128"/>
      </rPr>
      <t>地域に本来生育する植物種（在来種）を意識した緑地計画を行っていない</t>
    </r>
    <phoneticPr fontId="3"/>
  </si>
  <si>
    <r>
      <rPr>
        <sz val="10"/>
        <rFont val="ＭＳ Ｐゴシック"/>
        <family val="3"/>
        <charset val="128"/>
      </rPr>
      <t>地域に本来生育する植物種（在来種）による緑地計画が部分的に行われている</t>
    </r>
  </si>
  <si>
    <r>
      <rPr>
        <sz val="10"/>
        <rFont val="ＭＳ Ｐゴシック"/>
        <family val="3"/>
        <charset val="128"/>
      </rPr>
      <t>木本（中高木）の過半の本数が、地域に本来生育する植物種（在来種）による緑地計画が行われている</t>
    </r>
    <phoneticPr fontId="3"/>
  </si>
  <si>
    <r>
      <rPr>
        <sz val="10"/>
        <rFont val="ＭＳ Ｐゴシック"/>
        <family val="3"/>
        <charset val="128"/>
      </rPr>
      <t>木本（中高木）のほぼすべてが、地域に本来生育する植物種（在来種）による緑地計画が行われている</t>
    </r>
    <phoneticPr fontId="3"/>
  </si>
  <si>
    <t>2）木本（低木）・草本</t>
    <phoneticPr fontId="3"/>
  </si>
  <si>
    <r>
      <rPr>
        <sz val="10"/>
        <rFont val="ＭＳ Ｐゴシック"/>
        <family val="3"/>
        <charset val="128"/>
      </rPr>
      <t>木本（低木）・草本の過半の面積が、地域に本来生育する植物種（在来種）による緑地計画が行われている</t>
    </r>
    <phoneticPr fontId="3"/>
  </si>
  <si>
    <r>
      <rPr>
        <sz val="10"/>
        <rFont val="ＭＳ Ｐゴシック"/>
        <family val="3"/>
        <charset val="128"/>
      </rPr>
      <t>木本（低木）・草本のほぼすべてが、地域に本来生育する植物種（在来種）による緑地計画が行われている</t>
    </r>
    <phoneticPr fontId="3"/>
  </si>
  <si>
    <r>
      <t xml:space="preserve">1.1.2.4 </t>
    </r>
    <r>
      <rPr>
        <b/>
        <sz val="10"/>
        <rFont val="ＭＳ Ｐゴシック"/>
        <family val="3"/>
        <charset val="128"/>
      </rPr>
      <t>エコロジカルネットワーク</t>
    </r>
    <phoneticPr fontId="3"/>
  </si>
  <si>
    <r>
      <rPr>
        <sz val="10"/>
        <rFont val="ＭＳ Ｐゴシック"/>
        <family val="3"/>
        <charset val="128"/>
      </rPr>
      <t>生物ネットワークを考慮していない</t>
    </r>
    <phoneticPr fontId="3"/>
  </si>
  <si>
    <r>
      <rPr>
        <sz val="10"/>
        <rFont val="ＭＳ Ｐゴシック"/>
        <family val="3"/>
        <charset val="128"/>
      </rPr>
      <t>街区内における緑地間の生物ネットワークに配慮している</t>
    </r>
  </si>
  <si>
    <r>
      <rPr>
        <sz val="10"/>
        <rFont val="ＭＳ Ｐゴシック"/>
        <family val="3"/>
        <charset val="128"/>
      </rPr>
      <t>まとまりのある緑地等の配置計画によって外部との繋がりに配慮したネットワークを形成している</t>
    </r>
  </si>
  <si>
    <r>
      <t xml:space="preserve">1.2 </t>
    </r>
    <r>
      <rPr>
        <b/>
        <sz val="12"/>
        <color indexed="8"/>
        <rFont val="ＭＳ Ｐゴシック"/>
        <family val="3"/>
        <charset val="128"/>
      </rPr>
      <t>生活環境</t>
    </r>
    <phoneticPr fontId="3"/>
  </si>
  <si>
    <r>
      <t>40%</t>
    </r>
    <r>
      <rPr>
        <sz val="10"/>
        <rFont val="ＭＳ Ｐゴシック"/>
        <family val="3"/>
        <charset val="128"/>
      </rPr>
      <t>以上</t>
    </r>
  </si>
  <si>
    <t>1）屋上緑化</t>
    <phoneticPr fontId="3"/>
  </si>
  <si>
    <t>2）壁面緑化</t>
    <phoneticPr fontId="3"/>
  </si>
  <si>
    <r>
      <rPr>
        <sz val="10"/>
        <rFont val="ＭＳ Ｐゴシック"/>
        <family val="3"/>
        <charset val="128"/>
      </rPr>
      <t>（該当するレベルなし）</t>
    </r>
    <phoneticPr fontId="3"/>
  </si>
  <si>
    <r>
      <rPr>
        <sz val="10"/>
        <rFont val="ＭＳ Ｐゴシック"/>
        <family val="3"/>
        <charset val="128"/>
      </rPr>
      <t>壁面が緑化されていない</t>
    </r>
  </si>
  <si>
    <r>
      <rPr>
        <sz val="10"/>
        <rFont val="ＭＳ Ｐゴシック"/>
        <family val="3"/>
        <charset val="128"/>
      </rPr>
      <t>壁面の一部が緑化されている</t>
    </r>
  </si>
  <si>
    <r>
      <rPr>
        <sz val="10"/>
        <rFont val="ＭＳ Ｐゴシック"/>
        <family val="3"/>
        <charset val="128"/>
      </rPr>
      <t>壁面の</t>
    </r>
    <r>
      <rPr>
        <sz val="10"/>
        <rFont val="Arial"/>
        <family val="2"/>
      </rPr>
      <t>5%</t>
    </r>
    <r>
      <rPr>
        <sz val="10"/>
        <rFont val="ＭＳ Ｐゴシック"/>
        <family val="3"/>
        <charset val="128"/>
      </rPr>
      <t>以上が緑化されている</t>
    </r>
  </si>
  <si>
    <r>
      <t xml:space="preserve">1.2.2 </t>
    </r>
    <r>
      <rPr>
        <b/>
        <sz val="12"/>
        <color indexed="8"/>
        <rFont val="ＭＳ Ｐゴシック"/>
        <family val="3"/>
        <charset val="128"/>
      </rPr>
      <t>熱環境</t>
    </r>
    <rPh sb="6" eb="7">
      <t>ネツ</t>
    </rPh>
    <rPh sb="7" eb="9">
      <t>カンキョウ</t>
    </rPh>
    <phoneticPr fontId="3"/>
  </si>
  <si>
    <r>
      <t xml:space="preserve">1.2.2.1 </t>
    </r>
    <r>
      <rPr>
        <b/>
        <sz val="10"/>
        <rFont val="ＭＳ Ｐゴシック"/>
        <family val="3"/>
        <charset val="128"/>
      </rPr>
      <t>日射の遮蔽</t>
    </r>
    <rPh sb="8" eb="10">
      <t>ニッシャ</t>
    </rPh>
    <rPh sb="11" eb="13">
      <t>シャヘイ</t>
    </rPh>
    <phoneticPr fontId="3"/>
  </si>
  <si>
    <t>評価する取組</t>
    <rPh sb="0" eb="2">
      <t>ヒョウカ</t>
    </rPh>
    <rPh sb="4" eb="6">
      <t>トリクミ</t>
    </rPh>
    <phoneticPr fontId="3"/>
  </si>
  <si>
    <t>取組数合計</t>
    <rPh sb="0" eb="3">
      <t>トリクミスウ</t>
    </rPh>
    <rPh sb="3" eb="5">
      <t>ゴウケイ</t>
    </rPh>
    <phoneticPr fontId="3"/>
  </si>
  <si>
    <r>
      <rPr>
        <sz val="10"/>
        <rFont val="ＭＳ Ｐゴシック"/>
        <family val="3"/>
        <charset val="128"/>
      </rPr>
      <t>①滞留空間への配慮</t>
    </r>
    <phoneticPr fontId="3"/>
  </si>
  <si>
    <r>
      <rPr>
        <sz val="10"/>
        <rFont val="ＭＳ Ｐゴシック"/>
        <family val="3"/>
        <charset val="128"/>
      </rPr>
      <t>緑陰を形成する緑など、日射を遮る取組みを適切に配置している</t>
    </r>
    <phoneticPr fontId="3"/>
  </si>
  <si>
    <r>
      <rPr>
        <sz val="9"/>
        <rFont val="ＭＳ Ｐゴシック"/>
        <family val="3"/>
        <charset val="128"/>
      </rPr>
      <t>〇</t>
    </r>
  </si>
  <si>
    <r>
      <rPr>
        <sz val="10"/>
        <rFont val="ＭＳ Ｐゴシック"/>
        <family val="3"/>
        <charset val="128"/>
      </rPr>
      <t>②移動空間への配慮</t>
    </r>
    <phoneticPr fontId="3"/>
  </si>
  <si>
    <t>〇</t>
  </si>
  <si>
    <r>
      <rPr>
        <sz val="10"/>
        <rFont val="ＭＳ Ｐゴシック"/>
        <family val="3"/>
        <charset val="128"/>
      </rPr>
      <t>輻射熱及び反射の抑制に配慮した地表面被覆を配置している</t>
    </r>
    <phoneticPr fontId="3"/>
  </si>
  <si>
    <r>
      <t xml:space="preserve">1.2.2.3 </t>
    </r>
    <r>
      <rPr>
        <b/>
        <sz val="10"/>
        <rFont val="ＭＳ Ｐゴシック"/>
        <family val="3"/>
        <charset val="128"/>
      </rPr>
      <t>風通しの確保</t>
    </r>
    <phoneticPr fontId="3"/>
  </si>
  <si>
    <r>
      <rPr>
        <sz val="10"/>
        <rFont val="ＭＳ Ｐゴシック"/>
        <family val="3"/>
        <charset val="128"/>
      </rPr>
      <t>ガイドライン等によって具体的なルールを定め実現手段を確保している</t>
    </r>
  </si>
  <si>
    <r>
      <rPr>
        <sz val="10"/>
        <rFont val="ＭＳ Ｐゴシック"/>
        <family val="3"/>
        <charset val="128"/>
      </rPr>
      <t>①壁面の位置への配慮</t>
    </r>
  </si>
  <si>
    <r>
      <rPr>
        <sz val="10"/>
        <rFont val="ＭＳ Ｐゴシック"/>
        <family val="3"/>
        <charset val="128"/>
      </rPr>
      <t>②外装素材・色彩の調和への配慮</t>
    </r>
  </si>
  <si>
    <r>
      <rPr>
        <sz val="10"/>
        <rFont val="ＭＳ Ｐゴシック"/>
        <family val="3"/>
        <charset val="128"/>
      </rPr>
      <t>④インフラ（大規模駐車場を含む）による景観影響への配慮</t>
    </r>
    <phoneticPr fontId="3"/>
  </si>
  <si>
    <r>
      <rPr>
        <sz val="10"/>
        <rFont val="ＭＳ Ｐゴシック"/>
        <family val="3"/>
        <charset val="128"/>
      </rPr>
      <t>⑤親水性への配慮</t>
    </r>
    <phoneticPr fontId="3"/>
  </si>
  <si>
    <r>
      <rPr>
        <sz val="10"/>
        <rFont val="ＭＳ Ｐゴシック"/>
        <family val="3"/>
        <charset val="128"/>
      </rPr>
      <t>ガイドライン等によって目標や方針を定めている</t>
    </r>
  </si>
  <si>
    <r>
      <rPr>
        <sz val="10"/>
        <rFont val="ＭＳ Ｐゴシック"/>
        <family val="3"/>
        <charset val="128"/>
      </rPr>
      <t>⑥舗装材料の素材・色彩の調和への配慮</t>
    </r>
    <phoneticPr fontId="3"/>
  </si>
  <si>
    <r>
      <rPr>
        <sz val="10"/>
        <rFont val="ＭＳ Ｐゴシック"/>
        <family val="3"/>
        <charset val="128"/>
      </rPr>
      <t>⑦植栽の樹種、配置への配慮</t>
    </r>
    <phoneticPr fontId="3"/>
  </si>
  <si>
    <r>
      <rPr>
        <sz val="10"/>
        <rFont val="ＭＳ Ｐゴシック"/>
        <family val="3"/>
        <charset val="128"/>
      </rPr>
      <t>⑧照明、ファニチュア、サイン計画への配慮</t>
    </r>
    <phoneticPr fontId="3"/>
  </si>
  <si>
    <r>
      <rPr>
        <sz val="10"/>
        <rFont val="ＭＳ Ｐゴシック"/>
        <family val="3"/>
        <charset val="128"/>
      </rPr>
      <t>①景観軸への配慮</t>
    </r>
  </si>
  <si>
    <r>
      <rPr>
        <sz val="10"/>
        <rFont val="ＭＳ Ｐゴシック"/>
        <family val="3"/>
        <charset val="128"/>
      </rPr>
      <t>②自然環境の連続性への配慮</t>
    </r>
  </si>
  <si>
    <r>
      <rPr>
        <sz val="10"/>
        <rFont val="ＭＳ Ｐゴシック"/>
        <family val="3"/>
        <charset val="128"/>
      </rPr>
      <t>③周辺地域のスカイラインへの配慮</t>
    </r>
  </si>
  <si>
    <r>
      <t xml:space="preserve">1.3 </t>
    </r>
    <r>
      <rPr>
        <b/>
        <sz val="12"/>
        <color indexed="8"/>
        <rFont val="ＭＳ Ｐゴシック"/>
        <family val="3"/>
        <charset val="128"/>
      </rPr>
      <t>建築物における環境配慮</t>
    </r>
    <rPh sb="4" eb="7">
      <t>ケンチクブツ</t>
    </rPh>
    <rPh sb="11" eb="13">
      <t>カンキョウ</t>
    </rPh>
    <rPh sb="13" eb="15">
      <t>ハイリョ</t>
    </rPh>
    <phoneticPr fontId="3"/>
  </si>
  <si>
    <r>
      <t>CASBEE</t>
    </r>
    <r>
      <rPr>
        <sz val="10"/>
        <rFont val="ＭＳ Ｐゴシック"/>
        <family val="3"/>
        <charset val="128"/>
      </rPr>
      <t>評価のされた建築物がない</t>
    </r>
    <phoneticPr fontId="3"/>
  </si>
  <si>
    <r>
      <t>CASBEE</t>
    </r>
    <r>
      <rPr>
        <sz val="10"/>
        <rFont val="ＭＳ Ｐゴシック"/>
        <family val="3"/>
        <charset val="128"/>
      </rPr>
      <t>評価のされた、もしくは評価をする予定のある建築物が含まれている</t>
    </r>
  </si>
  <si>
    <r>
      <t>CASBEE</t>
    </r>
    <r>
      <rPr>
        <sz val="10"/>
        <rFont val="ＭＳ Ｐゴシック"/>
        <family val="3"/>
        <charset val="128"/>
      </rPr>
      <t>評価のされた、もしくは評価をする予定のある建築物が過半を占めている</t>
    </r>
  </si>
  <si>
    <r>
      <t>CASBEE</t>
    </r>
    <r>
      <rPr>
        <sz val="10"/>
        <rFont val="ＭＳ Ｐゴシック"/>
        <family val="3"/>
        <charset val="128"/>
      </rPr>
      <t>評価のされた、もしくは評価をする予定のある建築物が過半を占めており、第三者認証を受け、</t>
    </r>
    <r>
      <rPr>
        <sz val="10"/>
        <rFont val="Arial"/>
        <family val="2"/>
      </rPr>
      <t>A</t>
    </r>
    <r>
      <rPr>
        <sz val="10"/>
        <rFont val="ＭＳ Ｐゴシック"/>
        <family val="3"/>
        <charset val="128"/>
      </rPr>
      <t>以上を取得した建築物が存在する</t>
    </r>
  </si>
  <si>
    <t>CASBEEのランク等を記述</t>
    <rPh sb="10" eb="11">
      <t>トウ</t>
    </rPh>
    <rPh sb="12" eb="14">
      <t>キジュツ</t>
    </rPh>
    <phoneticPr fontId="3"/>
  </si>
  <si>
    <r>
      <t xml:space="preserve">1.4 </t>
    </r>
    <r>
      <rPr>
        <b/>
        <sz val="12"/>
        <color indexed="8"/>
        <rFont val="ＭＳ Ｐゴシック"/>
        <family val="3"/>
        <charset val="128"/>
      </rPr>
      <t>環境性能に関するスマート化</t>
    </r>
    <phoneticPr fontId="3"/>
  </si>
  <si>
    <r>
      <t xml:space="preserve">2.1.1 </t>
    </r>
    <r>
      <rPr>
        <b/>
        <sz val="12"/>
        <color indexed="8"/>
        <rFont val="ＭＳ Ｐゴシック"/>
        <family val="3"/>
        <charset val="128"/>
      </rPr>
      <t>コンプライアンス</t>
    </r>
    <phoneticPr fontId="3"/>
  </si>
  <si>
    <t>現行法令に照らして水準の低い建築物（既存不適格建築物等）がある</t>
    <phoneticPr fontId="3"/>
  </si>
  <si>
    <t>（該当するレベルなし）</t>
    <phoneticPr fontId="3"/>
  </si>
  <si>
    <t>当該プロジェクトに関係する法令を順守している</t>
    <phoneticPr fontId="3"/>
  </si>
  <si>
    <t>自主的に実施した環境評価や計測を公開している</t>
    <phoneticPr fontId="3"/>
  </si>
  <si>
    <t>自主的に実施した環境評価や計測を、定期的に公開し必要な改善をしている</t>
    <phoneticPr fontId="3"/>
  </si>
  <si>
    <r>
      <t xml:space="preserve">2.1.2 </t>
    </r>
    <r>
      <rPr>
        <b/>
        <sz val="12"/>
        <color indexed="8"/>
        <rFont val="ＭＳ Ｐゴシック"/>
        <family val="3"/>
        <charset val="128"/>
      </rPr>
      <t>エリアマネジメント</t>
    </r>
    <phoneticPr fontId="3"/>
  </si>
  <si>
    <t>街区内に自治会やエリアマネジメント組織が存在しない</t>
    <phoneticPr fontId="3"/>
  </si>
  <si>
    <t>街区内に自治会やエリアマネジメント組織が存在する</t>
    <phoneticPr fontId="3"/>
  </si>
  <si>
    <t>街区内に自治会やエリアマネジメント組織が存在し、かつ周辺の地域コミュニティ組織との連携（計画を含む）している</t>
    <phoneticPr fontId="3"/>
  </si>
  <si>
    <t>レベル4に加え、自治会またはエリアマネジメント組織を行政が認定または一定関与または法人化（計画を含む）している</t>
    <phoneticPr fontId="3"/>
  </si>
  <si>
    <t>① 会費</t>
    <phoneticPr fontId="3"/>
  </si>
  <si>
    <t>自治会、NPO等の構成員が拠出する責務のある費用。団地管理組合法人の管理費等も含むものとする。</t>
    <phoneticPr fontId="3"/>
  </si>
  <si>
    <t>② 出資金</t>
    <phoneticPr fontId="3"/>
  </si>
  <si>
    <t>組合の組合員、合同会社・株式会社の出資金</t>
    <phoneticPr fontId="3"/>
  </si>
  <si>
    <t>③ 補助金・助成金</t>
    <phoneticPr fontId="3"/>
  </si>
  <si>
    <t>地方公共団体等や民間の助成財団等からの補助金・助成金等</t>
    <phoneticPr fontId="3"/>
  </si>
  <si>
    <t>④ 寄付金・協賛金</t>
    <phoneticPr fontId="3"/>
  </si>
  <si>
    <t>組織の活動に賛同する個人・企業からの寄付金、協賛金</t>
    <phoneticPr fontId="3"/>
  </si>
  <si>
    <t>⑤ 事業収益</t>
    <phoneticPr fontId="3"/>
  </si>
  <si>
    <t>販売事業、駐車場・駐輪場の運営、広告事業、視察会等での収益金</t>
    <phoneticPr fontId="3"/>
  </si>
  <si>
    <t>維持管理に関する管理計画がない</t>
    <phoneticPr fontId="3"/>
  </si>
  <si>
    <t>マネジメント組織が、公共空間・施設の維持管理、清掃、防災、防犯、交通整理等、地域の日常的な課題に対応している</t>
    <phoneticPr fontId="3"/>
  </si>
  <si>
    <t>樹木、草地、水辺などを要素とする自然環境の機能維持・向上のための管理計画がない</t>
    <phoneticPr fontId="3"/>
  </si>
  <si>
    <t>樹林、草地、水辺などを要素とする自然環境の機能維持・向上のための管理計画が示されている</t>
    <phoneticPr fontId="3"/>
  </si>
  <si>
    <t>樹林、草地、水辺などを要素とする自然環境の機能維持・向上のための管理計画が示されており、それを実施するためのマネジメントプランが確立されている</t>
    <phoneticPr fontId="3"/>
  </si>
  <si>
    <t>商業施設（最寄りのスーパーや商店街等）までの道のりが、1500m以上</t>
    <phoneticPr fontId="3"/>
  </si>
  <si>
    <t>商業施設（最寄りのスーパーや商店街等）までの道のりが、800m以上　　1500m未満</t>
    <phoneticPr fontId="3"/>
  </si>
  <si>
    <t>商業施設（最寄りのスーパーや商店街等）までの道のりが、600m以上　　 800m未満</t>
    <phoneticPr fontId="3"/>
  </si>
  <si>
    <t>商業施設（最寄りのスーパーや商店街等）までの道のりが、300m以上　　 600m未満</t>
    <phoneticPr fontId="3"/>
  </si>
  <si>
    <t>商業施設（最寄りのスーパーや商店街等）までの道のりが、300m未満</t>
    <phoneticPr fontId="3"/>
  </si>
  <si>
    <t>駅と1ｋｍ以上、バス停と500ｍ以上離れており、総合交通対策も講じていない</t>
    <phoneticPr fontId="3"/>
  </si>
  <si>
    <t>駅と600ｍ以上（1ｋｍ未満）、バス停と300ｍ以上（500ｍ未満）離れており、総合交通対策も講じていない</t>
    <phoneticPr fontId="3"/>
  </si>
  <si>
    <t>駅と600ｍ未満、またはバス停と300ｍ未満である。あるいは、上記を満たさないが総合交通対策を講じている</t>
    <phoneticPr fontId="3"/>
  </si>
  <si>
    <t>駅と300ｍ未満、またはバス停と直結している。あるいは、距離はレベル4相当だが総合交通対策を講じている</t>
    <phoneticPr fontId="3"/>
  </si>
  <si>
    <t>行政施設（役所）までの道のりが、1500m以上</t>
    <phoneticPr fontId="3"/>
  </si>
  <si>
    <t>行政施設（役所）までの道のりが、800m以上　　1500m未満</t>
    <phoneticPr fontId="3"/>
  </si>
  <si>
    <t>行政施設（役所）までの道のりが、600m以上　　 800m未満</t>
    <phoneticPr fontId="3"/>
  </si>
  <si>
    <t>行政施設（役所）までの道のりが、300m以上　　 600m未満</t>
    <phoneticPr fontId="3"/>
  </si>
  <si>
    <t>行政施設（役所）までの道のりが、300m未満</t>
    <phoneticPr fontId="3"/>
  </si>
  <si>
    <t>健康増進施設（公園やスポーツ施設等）までの道のりが、1500m以上</t>
    <phoneticPr fontId="3"/>
  </si>
  <si>
    <t>健康増進施設（公園やスポーツ施設等）までの道のりが、800m以上　　1500m未満</t>
    <phoneticPr fontId="3"/>
  </si>
  <si>
    <t>健康増進施設（公園やスポーツ施設等）までの道のりが、600m以上　　 800m未満</t>
    <phoneticPr fontId="3"/>
  </si>
  <si>
    <t>健康増進施設（公園やスポーツ施設等）までの道のりが、300m以上　 　600m未満</t>
    <phoneticPr fontId="3"/>
  </si>
  <si>
    <t>健康増進施設（公園やスポーツ施設等）までの道のりが、300m未満</t>
    <phoneticPr fontId="3"/>
  </si>
  <si>
    <t>福祉施設（老人福祉、児童福祉施設等）までの道のりが、1500m以上</t>
    <phoneticPr fontId="3"/>
  </si>
  <si>
    <t>福祉施設（老人福祉、児童福祉施設等）までの道のりが、800m以上　　1500m未満</t>
    <phoneticPr fontId="3"/>
  </si>
  <si>
    <t>福祉施設（老人福祉、児童福祉施設等）までの道のりが、600m以上　　 800m未満</t>
    <phoneticPr fontId="3"/>
  </si>
  <si>
    <t>福祉施設（老人福祉、児童福祉施設等）までの道のりが、300m以上　　 600m未満</t>
    <phoneticPr fontId="3"/>
  </si>
  <si>
    <t>福祉施設（老人福祉、児童福祉施設等）までの道のりが、300m未満</t>
    <phoneticPr fontId="3"/>
  </si>
  <si>
    <t>医療施設（日常的な診療行為を受ける病院、診療所等）までの道のりが、1500m以上</t>
    <phoneticPr fontId="3"/>
  </si>
  <si>
    <t>医療施設（日常的な診療行為を受ける病院、診療所等）までの道のりが、800m以上　　1500m未満</t>
    <phoneticPr fontId="3"/>
  </si>
  <si>
    <t>医療施設（日常的な診療行為を受ける病院、診療所等）までの道のりが、600m以上　　 800m未満</t>
    <phoneticPr fontId="3"/>
  </si>
  <si>
    <t>医療施設（日常的な診療行為を受ける病院、診療所等）までの道のりが、300m以上　　 600m未満</t>
    <phoneticPr fontId="3"/>
  </si>
  <si>
    <t>医療施設（日常的な診療行為を受ける病院、診療所等）までの道のりが、300m未満</t>
    <phoneticPr fontId="3"/>
  </si>
  <si>
    <r>
      <t xml:space="preserve">2.4.1 </t>
    </r>
    <r>
      <rPr>
        <b/>
        <sz val="12"/>
        <color indexed="8"/>
        <rFont val="ＭＳ Ｐゴシック"/>
        <family val="3"/>
        <charset val="128"/>
      </rPr>
      <t>防災基本性能</t>
    </r>
    <phoneticPr fontId="3"/>
  </si>
  <si>
    <r>
      <t xml:space="preserve">2.4.1.1 </t>
    </r>
    <r>
      <rPr>
        <b/>
        <sz val="10"/>
        <color indexed="8"/>
        <rFont val="ＭＳ Ｐゴシック"/>
        <family val="3"/>
        <charset val="128"/>
      </rPr>
      <t>災害への対応</t>
    </r>
    <phoneticPr fontId="3"/>
  </si>
  <si>
    <t>地域の災害特性を把握していない（ハザードマップ等を確認していない）</t>
    <phoneticPr fontId="3"/>
  </si>
  <si>
    <t>地域の災害特性を把握し、問題がないことを確認している（ハザードマップ等で問題がない等）、または、問題個所に通常の（法的基準を満たす）防災措置を施している</t>
    <phoneticPr fontId="3"/>
  </si>
  <si>
    <t>地域の災害特性を把握し、問題個所に通常を超える防災措置を施している</t>
    <phoneticPr fontId="3"/>
  </si>
  <si>
    <t>地域の災害特性を把握しており、周辺街区への貢献も含めた防災措置を施している</t>
    <phoneticPr fontId="3"/>
  </si>
  <si>
    <t>取組んでいる項目がない</t>
    <phoneticPr fontId="3"/>
  </si>
  <si>
    <r>
      <rPr>
        <sz val="10"/>
        <rFont val="ＭＳ ゴシック"/>
        <family val="3"/>
        <charset val="128"/>
      </rPr>
      <t>取組んでいる項目が</t>
    </r>
    <r>
      <rPr>
        <sz val="10"/>
        <rFont val="Arial"/>
        <family val="2"/>
      </rPr>
      <t xml:space="preserve">a.b.c. </t>
    </r>
    <r>
      <rPr>
        <sz val="10"/>
        <rFont val="ＭＳ ゴシック"/>
        <family val="3"/>
        <charset val="128"/>
      </rPr>
      <t>とも１つある</t>
    </r>
    <phoneticPr fontId="3"/>
  </si>
  <si>
    <r>
      <rPr>
        <sz val="10"/>
        <rFont val="ＭＳ ゴシック"/>
        <family val="3"/>
        <charset val="128"/>
      </rPr>
      <t>取組んでいる項目が</t>
    </r>
    <r>
      <rPr>
        <sz val="10"/>
        <rFont val="Arial"/>
        <family val="2"/>
      </rPr>
      <t>a.b.c.</t>
    </r>
    <r>
      <rPr>
        <sz val="10"/>
        <rFont val="ＭＳ ゴシック"/>
        <family val="3"/>
        <charset val="128"/>
      </rPr>
      <t>とも１つあり、かつ、合計で５つ以上ある</t>
    </r>
    <phoneticPr fontId="3"/>
  </si>
  <si>
    <t>a. 通信インフラ</t>
    <phoneticPr fontId="3"/>
  </si>
  <si>
    <t xml:space="preserve">①機器・配管への対策
</t>
    <phoneticPr fontId="3"/>
  </si>
  <si>
    <t>防水、地震、停電対策がある</t>
    <phoneticPr fontId="3"/>
  </si>
  <si>
    <t xml:space="preserve">②区域外との接続
</t>
    <phoneticPr fontId="3"/>
  </si>
  <si>
    <t>区域外との通信系統が２系統以上ある。WiFiなどの無線接続も１系統と考える</t>
    <phoneticPr fontId="3"/>
  </si>
  <si>
    <t>b. 水の供給処理インフラ</t>
    <phoneticPr fontId="3"/>
  </si>
  <si>
    <t>①上下水道配管の耐震性能</t>
    <phoneticPr fontId="3"/>
  </si>
  <si>
    <t>通常の耐震基準を満たしている</t>
    <phoneticPr fontId="3"/>
  </si>
  <si>
    <t xml:space="preserve">②非常時の対策
</t>
    <phoneticPr fontId="3"/>
  </si>
  <si>
    <t>上下水をストックしておく共同施設がある、もしくは街区内の建物間で融通するシステムがある</t>
    <phoneticPr fontId="3"/>
  </si>
  <si>
    <t>c. エネルギー供給インフラ</t>
    <phoneticPr fontId="3"/>
  </si>
  <si>
    <t>①エネルギー関連設備の耐震性能</t>
    <phoneticPr fontId="3"/>
  </si>
  <si>
    <t>②エネルギー関連設備の浸水対策</t>
    <phoneticPr fontId="3"/>
  </si>
  <si>
    <t>万が一の浸水に備えて、電源・熱源設備を浸水リスクの低い場所に設置する等の対策を講じている</t>
    <phoneticPr fontId="3"/>
  </si>
  <si>
    <t xml:space="preserve">③区域外との接続
</t>
    <phoneticPr fontId="3"/>
  </si>
  <si>
    <t>複数系統による受電（二重化、スポットネットワーク方式、ループ方式）や中圧ガス接続となっている、または電力・熱の区域外（地域冷暖房）との接続がある</t>
    <phoneticPr fontId="3"/>
  </si>
  <si>
    <r>
      <t xml:space="preserve">2.4.1.3 </t>
    </r>
    <r>
      <rPr>
        <b/>
        <sz val="10"/>
        <rFont val="ＭＳ Ｐゴシック"/>
        <family val="3"/>
        <charset val="128"/>
      </rPr>
      <t>防災空地・避難路</t>
    </r>
    <phoneticPr fontId="3"/>
  </si>
  <si>
    <t>取組んでいる項目が1つ以下</t>
    <phoneticPr fontId="3"/>
  </si>
  <si>
    <t>取組んでいる項目が2つ</t>
    <phoneticPr fontId="3"/>
  </si>
  <si>
    <t>取組んでいる項目が3つ</t>
    <phoneticPr fontId="3"/>
  </si>
  <si>
    <t>取組んでいる項目が4つ</t>
    <phoneticPr fontId="3"/>
  </si>
  <si>
    <r>
      <rPr>
        <sz val="10"/>
        <rFont val="ＭＳ ゴシック"/>
        <family val="3"/>
        <charset val="128"/>
      </rPr>
      <t>取組んでいる項目が</t>
    </r>
    <r>
      <rPr>
        <sz val="10"/>
        <rFont val="Arial"/>
        <family val="2"/>
      </rPr>
      <t>4</t>
    </r>
    <r>
      <rPr>
        <sz val="10"/>
        <rFont val="ＭＳ ゴシック"/>
        <family val="3"/>
        <charset val="128"/>
      </rPr>
      <t>つ、かつ、防災空地や避難路のネットワークについて、周辺街区との連携を考慮して計画している</t>
    </r>
    <phoneticPr fontId="3"/>
  </si>
  <si>
    <t>①適切な空地規模と配置</t>
    <phoneticPr fontId="3"/>
  </si>
  <si>
    <t>配置や規模に関する適切な計画を行い十分な量の空間を確保している</t>
    <phoneticPr fontId="3"/>
  </si>
  <si>
    <t>②避難路のネットワーク形成</t>
    <phoneticPr fontId="3"/>
  </si>
  <si>
    <t>道路幅（8ｍ以上）の確保、２方向避難などの避難路ネットワークが形成されている</t>
    <phoneticPr fontId="3"/>
  </si>
  <si>
    <t>③避難場所へのアクセス</t>
    <phoneticPr fontId="3"/>
  </si>
  <si>
    <t>最寄り（または指定の）避難場所まで250ｍ未満である</t>
    <phoneticPr fontId="3"/>
  </si>
  <si>
    <t>④災害時の避難シミュレーションにより避難安全検証を実施している</t>
    <phoneticPr fontId="3"/>
  </si>
  <si>
    <t>計画した避難ルートの実効性などをシミュレーションにより確認している</t>
    <phoneticPr fontId="3"/>
  </si>
  <si>
    <t>防災空地や避難路のネットワークについて、周辺街区との連携を考慮して計画している</t>
    <phoneticPr fontId="3"/>
  </si>
  <si>
    <r>
      <t xml:space="preserve">2.4.2 </t>
    </r>
    <r>
      <rPr>
        <b/>
        <sz val="12"/>
        <rFont val="ＭＳ Ｐゴシック"/>
        <family val="3"/>
        <charset val="128"/>
      </rPr>
      <t>発災後の対応性能</t>
    </r>
    <phoneticPr fontId="3"/>
  </si>
  <si>
    <t>特に配慮なし</t>
    <phoneticPr fontId="3"/>
  </si>
  <si>
    <t>開発者側で（建物・街区の共用部分に関する）BCP・LCPを整備している</t>
    <phoneticPr fontId="3"/>
  </si>
  <si>
    <t>開発者側で（建物・街区の共用部分に関する）BCP・LCPを整備しており、72時間の継続性について計画に対応した設備や体制を備えている</t>
    <phoneticPr fontId="3"/>
  </si>
  <si>
    <t>開発者側で（建物・街区の共用部分に関する）BCP・LCPを整備しており、72時間を超える継続性について計画に対応した設備や体制を備えている</t>
    <phoneticPr fontId="3"/>
  </si>
  <si>
    <t>レベル3または、レベル4に加え、自治体等と防災協定を締結し、帰宅困難者の受け入れ等、地域の防災力強化に貢献している</t>
    <phoneticPr fontId="3"/>
  </si>
  <si>
    <t>歩車の交錯はあるが、誘導等で安全を確保している</t>
    <phoneticPr fontId="3"/>
  </si>
  <si>
    <t>原則として歩車の交錯がない配置計画である</t>
    <phoneticPr fontId="3"/>
  </si>
  <si>
    <t>取組んでいる項目が２つ</t>
    <phoneticPr fontId="3"/>
  </si>
  <si>
    <t>取組んでいる項目が３つ</t>
    <phoneticPr fontId="3"/>
  </si>
  <si>
    <t>取組んでいる項目が４つ</t>
    <phoneticPr fontId="3"/>
  </si>
  <si>
    <t>取組んでいる項目が４つ、かつ隣接街区と防犯上の連携体制を構築している</t>
    <phoneticPr fontId="3"/>
  </si>
  <si>
    <t>隣接街区と防犯上の連携体制を構築している</t>
    <phoneticPr fontId="3"/>
  </si>
  <si>
    <t>取組んでいる項目が１つ</t>
    <phoneticPr fontId="3"/>
  </si>
  <si>
    <t>単一マーケットに対応する住宅を供給している</t>
    <phoneticPr fontId="3"/>
  </si>
  <si>
    <t>複数のマーケットに対応する優良な住宅を供給している</t>
    <phoneticPr fontId="3"/>
  </si>
  <si>
    <t>複数のマーケットに対応する優良な住宅を供給し、かつ、地域優先販売等の取組みがある</t>
    <phoneticPr fontId="3"/>
  </si>
  <si>
    <t>法令や各自治体の条例等を順守している　</t>
    <phoneticPr fontId="3"/>
  </si>
  <si>
    <t>法令や条例等以外に自主的な取組みをしている</t>
    <phoneticPr fontId="3"/>
  </si>
  <si>
    <t>取組んでいる項目が４つ以上</t>
    <phoneticPr fontId="3"/>
  </si>
  <si>
    <t>特に整合を考慮していない</t>
    <phoneticPr fontId="3"/>
  </si>
  <si>
    <t>上位計画と整合している</t>
    <phoneticPr fontId="3"/>
  </si>
  <si>
    <t>レベル3を満たしたうえで、地域の懸案であった課題解決に貢献している</t>
    <phoneticPr fontId="3"/>
  </si>
  <si>
    <t>当該プロジェクトの立地選定において、既存の市街地・生活機能や公共交通の活用、または、それらとの連携を意識していない</t>
    <phoneticPr fontId="3"/>
  </si>
  <si>
    <t>当該プロジェクトの立地選定において、既存の市街地・生活機能や公共交通の活用、または、それらとの連携を志向している</t>
    <phoneticPr fontId="3"/>
  </si>
  <si>
    <t>レベル3に加えて、コンパクト＋ネットワークの実現を志向し、ステークホルダーとのコミュニケーションが取れている</t>
    <phoneticPr fontId="3"/>
  </si>
  <si>
    <t>レベル2に満たない</t>
    <phoneticPr fontId="3"/>
  </si>
  <si>
    <t>基準容積率の半ば以上を消化している</t>
    <phoneticPr fontId="3"/>
  </si>
  <si>
    <t>概ね基準容積率を消化（9割以上、ただし基準容積率300％以下の場合は７割以上）、もしくはレベル2に加えて建物利用率維持向上のための工夫がある</t>
    <phoneticPr fontId="3"/>
  </si>
  <si>
    <t>制度・手法により基準容積率を上回る容積を実現している又は自治体当局との協議のうえ地域のニーズ等に合わせた指定容積率を別途設定し、十分に消化している</t>
    <phoneticPr fontId="3"/>
  </si>
  <si>
    <t>需要との対応が明らかでない</t>
    <phoneticPr fontId="3"/>
  </si>
  <si>
    <t>需要との対応が明らかであり、計画標準に照らして、量的に充足している</t>
    <phoneticPr fontId="3"/>
  </si>
  <si>
    <t>量的に充足しており、配置や形状面でも快適性等の配慮がされている</t>
    <phoneticPr fontId="3"/>
  </si>
  <si>
    <t>取組んでいる項目が1つ</t>
    <phoneticPr fontId="3"/>
  </si>
  <si>
    <t>取組んでいる項目が3つ以上</t>
    <phoneticPr fontId="3"/>
  </si>
  <si>
    <t>モビリティサービスが存在しない</t>
    <phoneticPr fontId="3"/>
  </si>
  <si>
    <t>それぞれのモビリティサービスが独⽴した状態で提供されている（MaaSレベル0）</t>
    <phoneticPr fontId="3"/>
  </si>
  <si>
    <t>料⾦や時間、距離等の情報が統合された形でモビリティサービスが提供されている（MaaSレベル1）</t>
    <phoneticPr fontId="3"/>
  </si>
  <si>
    <t>特に方策を実施していない</t>
    <phoneticPr fontId="3"/>
  </si>
  <si>
    <t>荷捌き等に関するルールがある（搬出入経路、時間帯等）</t>
    <phoneticPr fontId="3"/>
  </si>
  <si>
    <t>レベル3を満たすとともに、荷捌きに十分なスペースを確保している</t>
    <phoneticPr fontId="3"/>
  </si>
  <si>
    <t>レベル4を満たすとともに、共同配送に対応する取組みがある</t>
    <phoneticPr fontId="3"/>
  </si>
  <si>
    <t>従前と比較して半減以下</t>
    <rPh sb="0" eb="2">
      <t>ジュウゼン</t>
    </rPh>
    <phoneticPr fontId="3"/>
  </si>
  <si>
    <t>レベル1とレベル3の中間</t>
    <phoneticPr fontId="3"/>
  </si>
  <si>
    <t>従前と比較して同等以上</t>
    <rPh sb="0" eb="2">
      <t>ジュウゼン</t>
    </rPh>
    <phoneticPr fontId="3"/>
  </si>
  <si>
    <t>従前と比較して倍増以上</t>
    <rPh sb="0" eb="2">
      <t>ジュウゼン</t>
    </rPh>
    <phoneticPr fontId="3"/>
  </si>
  <si>
    <t>従前と比較して4倍増以上</t>
    <rPh sb="0" eb="2">
      <t>ジュウゼン</t>
    </rPh>
    <phoneticPr fontId="3"/>
  </si>
  <si>
    <t>取組んでいる項目が4つ以上</t>
    <phoneticPr fontId="3"/>
  </si>
  <si>
    <t>オルタナティブなワークスペースが存在しない</t>
    <phoneticPr fontId="3"/>
  </si>
  <si>
    <t>オルタナティブなワークスペースが1カ所ある</t>
    <phoneticPr fontId="3"/>
  </si>
  <si>
    <t>形態の異なる2つ以上のオルタナティブなワークスペースがある</t>
    <phoneticPr fontId="3"/>
  </si>
  <si>
    <t>住宅系</t>
    <rPh sb="0" eb="3">
      <t>ジュウタクケイ</t>
    </rPh>
    <phoneticPr fontId="3"/>
  </si>
  <si>
    <t>非住宅系</t>
    <rPh sb="0" eb="4">
      <t>ヒジュウタクケイ</t>
    </rPh>
    <phoneticPr fontId="3"/>
  </si>
  <si>
    <t>取組みなし</t>
    <phoneticPr fontId="3"/>
  </si>
  <si>
    <t>計画段階において、多様な主体が連携し、地域の新たな価値の創造に資する取組みを行っている</t>
    <phoneticPr fontId="3"/>
  </si>
  <si>
    <t>運用段階において、多様な主体が連携し、地域の新たな価値の創造に資する取組みを行っている（行う予定がある）</t>
    <phoneticPr fontId="3"/>
  </si>
  <si>
    <t>計画段階・運用段階の双方において、多様な主体が連携し、地域の新たな価値の創造に資する取組みを行っている（行う予定がある）</t>
    <phoneticPr fontId="3"/>
  </si>
  <si>
    <t>取組んでいる項目が2つ以上</t>
    <phoneticPr fontId="3"/>
  </si>
  <si>
    <t>[BEI][BEIm] ≦ （A①×0.60 + A②×0.70 + A③×0.85） ÷ ΣA</t>
    <phoneticPr fontId="3"/>
  </si>
  <si>
    <r>
      <t>BEI</t>
    </r>
    <r>
      <rPr>
        <sz val="10"/>
        <rFont val="ＭＳ Ｐゴシック"/>
        <family val="2"/>
        <charset val="128"/>
      </rPr>
      <t>等数値を記述</t>
    </r>
    <rPh sb="3" eb="4">
      <t>トウ</t>
    </rPh>
    <rPh sb="4" eb="6">
      <t>スウチ</t>
    </rPh>
    <rPh sb="7" eb="9">
      <t>キジュツ</t>
    </rPh>
    <phoneticPr fontId="3"/>
  </si>
  <si>
    <r>
      <t xml:space="preserve">2.1 </t>
    </r>
    <r>
      <rPr>
        <b/>
        <sz val="12"/>
        <color indexed="8"/>
        <rFont val="ＭＳ Ｐゴシック"/>
        <family val="3"/>
        <charset val="128"/>
      </rPr>
      <t>土地資源</t>
    </r>
    <phoneticPr fontId="3"/>
  </si>
  <si>
    <r>
      <t xml:space="preserve">2.1.1 </t>
    </r>
    <r>
      <rPr>
        <b/>
        <sz val="12"/>
        <color indexed="8"/>
        <rFont val="ＭＳ Ｐゴシック"/>
        <family val="3"/>
        <charset val="128"/>
      </rPr>
      <t>土壌汚染への対応</t>
    </r>
    <rPh sb="6" eb="8">
      <t>ドジョウ</t>
    </rPh>
    <rPh sb="8" eb="10">
      <t>オセン</t>
    </rPh>
    <rPh sb="12" eb="14">
      <t>タイオウ</t>
    </rPh>
    <phoneticPr fontId="3"/>
  </si>
  <si>
    <t>土壌汚染への対応が不十分である</t>
    <phoneticPr fontId="3"/>
  </si>
  <si>
    <r>
      <t xml:space="preserve">2.1.2 </t>
    </r>
    <r>
      <rPr>
        <b/>
        <sz val="12"/>
        <rFont val="ＭＳ Ｐゴシック"/>
        <family val="3"/>
        <charset val="128"/>
      </rPr>
      <t>地盤沈下の抑制</t>
    </r>
    <phoneticPr fontId="3"/>
  </si>
  <si>
    <t>まとまった量を汲み上げている</t>
    <phoneticPr fontId="3"/>
  </si>
  <si>
    <t>若干量を汲み上げている</t>
    <phoneticPr fontId="3"/>
  </si>
  <si>
    <t>観測井により地下地位モニタリングをしている</t>
    <phoneticPr fontId="3"/>
  </si>
  <si>
    <t>モニタリングをして地下地位が下がっていないことを確認している</t>
    <phoneticPr fontId="3"/>
  </si>
  <si>
    <r>
      <t xml:space="preserve">2.2 </t>
    </r>
    <r>
      <rPr>
        <b/>
        <sz val="12"/>
        <color indexed="8"/>
        <rFont val="ＭＳ Ｐゴシック"/>
        <family val="3"/>
        <charset val="128"/>
      </rPr>
      <t>水資源</t>
    </r>
    <phoneticPr fontId="3"/>
  </si>
  <si>
    <r>
      <t xml:space="preserve">2.2.1 </t>
    </r>
    <r>
      <rPr>
        <b/>
        <sz val="12"/>
        <color indexed="8"/>
        <rFont val="ＭＳ Ｐゴシック"/>
        <family val="3"/>
        <charset val="128"/>
      </rPr>
      <t>上水使用量の削減</t>
    </r>
    <phoneticPr fontId="3"/>
  </si>
  <si>
    <t>非住宅系</t>
    <rPh sb="0" eb="3">
      <t>ヒジュウタク</t>
    </rPh>
    <rPh sb="3" eb="4">
      <t>ケイ</t>
    </rPh>
    <phoneticPr fontId="3"/>
  </si>
  <si>
    <t>上水使用量原単位が3,750L/㎡・年以上、5,000L/㎡・年未満の範囲</t>
  </si>
  <si>
    <t>上水使用量原単位が2,700L/㎡・年以上、3,750L/㎡・年未満の範囲</t>
  </si>
  <si>
    <t>上水使用量原単位が2,000L/㎡・年以上、2,700L/㎡・年未満の範囲</t>
  </si>
  <si>
    <t>上水使用量原単位が2,000L/㎡・年未満の範囲</t>
  </si>
  <si>
    <t>用途</t>
    <rPh sb="0" eb="2">
      <t>ヨウト</t>
    </rPh>
    <phoneticPr fontId="3"/>
  </si>
  <si>
    <t>事務所</t>
    <rPh sb="0" eb="3">
      <t>ジムショ</t>
    </rPh>
    <phoneticPr fontId="3"/>
  </si>
  <si>
    <t>①物販店</t>
    <rPh sb="1" eb="4">
      <t>ブッパンテン</t>
    </rPh>
    <phoneticPr fontId="3"/>
  </si>
  <si>
    <t>②飲食店</t>
    <rPh sb="1" eb="4">
      <t>インショクテン</t>
    </rPh>
    <phoneticPr fontId="3"/>
  </si>
  <si>
    <t>③デパート</t>
    <phoneticPr fontId="3"/>
  </si>
  <si>
    <t>④家電量販店</t>
    <rPh sb="1" eb="3">
      <t>カデン</t>
    </rPh>
    <rPh sb="3" eb="6">
      <t>リョウハンテン</t>
    </rPh>
    <phoneticPr fontId="3"/>
  </si>
  <si>
    <t>⑤コンビニ</t>
    <phoneticPr fontId="3"/>
  </si>
  <si>
    <t>⑥店舗の事務室</t>
    <rPh sb="1" eb="3">
      <t>テンポ</t>
    </rPh>
    <rPh sb="4" eb="7">
      <t>ジムシツ</t>
    </rPh>
    <phoneticPr fontId="3"/>
  </si>
  <si>
    <t>⑦郊外型店舗</t>
    <rPh sb="1" eb="4">
      <t>コウガイガタ</t>
    </rPh>
    <rPh sb="4" eb="6">
      <t>テンポ</t>
    </rPh>
    <phoneticPr fontId="3"/>
  </si>
  <si>
    <t>延面積(m2)</t>
    <rPh sb="0" eb="3">
      <t>ノベメンセキ</t>
    </rPh>
    <phoneticPr fontId="3"/>
  </si>
  <si>
    <t>計算値(L/m2年)</t>
    <rPh sb="0" eb="3">
      <t>ケイサンチ</t>
    </rPh>
    <rPh sb="8" eb="9">
      <t>ネン</t>
    </rPh>
    <phoneticPr fontId="3"/>
  </si>
  <si>
    <t>実績値(L/m2年)</t>
    <rPh sb="0" eb="3">
      <t>ジッセキチ</t>
    </rPh>
    <rPh sb="8" eb="9">
      <t>ネン</t>
    </rPh>
    <phoneticPr fontId="3"/>
  </si>
  <si>
    <t>レベル</t>
    <phoneticPr fontId="3"/>
  </si>
  <si>
    <t>水の有効利用に関する対策を行っていない</t>
    <phoneticPr fontId="3"/>
  </si>
  <si>
    <t>導入されている水の有効利用に関する対策項目が1つ</t>
    <phoneticPr fontId="3"/>
  </si>
  <si>
    <t>導入されている水の有効利用に関する対策項目が2つ</t>
    <phoneticPr fontId="3"/>
  </si>
  <si>
    <t>導入されている水の有効利用に関する対策項目が3つ</t>
    <phoneticPr fontId="3"/>
  </si>
  <si>
    <t>導入されている水の有効利用に関する対策項目が4つ以上</t>
    <phoneticPr fontId="3"/>
  </si>
  <si>
    <r>
      <t xml:space="preserve">2.2.1.2 </t>
    </r>
    <r>
      <rPr>
        <b/>
        <sz val="10"/>
        <rFont val="ＭＳ Ｐゴシック"/>
        <family val="3"/>
        <charset val="128"/>
      </rPr>
      <t>雨水</t>
    </r>
    <r>
      <rPr>
        <b/>
        <sz val="10"/>
        <rFont val="Arial"/>
        <family val="2"/>
      </rPr>
      <t>/</t>
    </r>
    <r>
      <rPr>
        <b/>
        <sz val="10"/>
        <rFont val="ＭＳ Ｐゴシック"/>
        <family val="3"/>
        <charset val="128"/>
      </rPr>
      <t>井水利用</t>
    </r>
    <phoneticPr fontId="3"/>
  </si>
  <si>
    <t>取組数</t>
    <rPh sb="0" eb="3">
      <t>トリクミスウ</t>
    </rPh>
    <phoneticPr fontId="3"/>
  </si>
  <si>
    <t>雨水又は井水を、利用していない</t>
    <phoneticPr fontId="3"/>
  </si>
  <si>
    <t>雨水又は井水を、街区の一部で利用している</t>
    <phoneticPr fontId="3"/>
  </si>
  <si>
    <t>雨水又は井水を、街区雑用水の20％以上で利用している</t>
    <phoneticPr fontId="3"/>
  </si>
  <si>
    <t>雨水又は井水を、街区雑用水の過半で利用している</t>
    <phoneticPr fontId="3"/>
  </si>
  <si>
    <r>
      <t xml:space="preserve">2.2.1.3 </t>
    </r>
    <r>
      <rPr>
        <b/>
        <sz val="10"/>
        <rFont val="ＭＳ Ｐゴシック"/>
        <family val="3"/>
        <charset val="128"/>
      </rPr>
      <t>中水利用</t>
    </r>
    <phoneticPr fontId="3"/>
  </si>
  <si>
    <t>中水を、利用していない</t>
    <phoneticPr fontId="3"/>
  </si>
  <si>
    <t>中水を、街区の一部で利用している</t>
    <phoneticPr fontId="3"/>
  </si>
  <si>
    <t>中水を、街区雑用水の20％以上で利用している</t>
    <phoneticPr fontId="3"/>
  </si>
  <si>
    <t>中水を、街区雑用水の過半で利用している</t>
    <phoneticPr fontId="3"/>
  </si>
  <si>
    <t>2.2.2 下水道負荷の軽減</t>
    <phoneticPr fontId="3"/>
  </si>
  <si>
    <r>
      <t xml:space="preserve">2.2.2.1 </t>
    </r>
    <r>
      <rPr>
        <b/>
        <sz val="10"/>
        <rFont val="ＭＳ Ｐゴシック"/>
        <family val="3"/>
        <charset val="128"/>
      </rPr>
      <t>排水量削減</t>
    </r>
    <phoneticPr fontId="3"/>
  </si>
  <si>
    <t>配慮していない</t>
    <phoneticPr fontId="3"/>
  </si>
  <si>
    <t>過半が節水型トイレ(4Ｌ台/回)利用している</t>
    <phoneticPr fontId="3"/>
  </si>
  <si>
    <t>中水道システムを導入している</t>
    <phoneticPr fontId="3"/>
  </si>
  <si>
    <t>導入していない</t>
    <phoneticPr fontId="3"/>
  </si>
  <si>
    <t>法的要求容量、300㎥/ha未満の取組み（行政指導なしの場合）</t>
    <phoneticPr fontId="3"/>
  </si>
  <si>
    <t>導入している</t>
    <phoneticPr fontId="3"/>
  </si>
  <si>
    <t>空地面積の20％以上導入している</t>
    <phoneticPr fontId="3"/>
  </si>
  <si>
    <t>法的要求容量の1.2倍以上、300㎥/ha以上の取組み（行政指導なしの場合）</t>
    <phoneticPr fontId="3"/>
  </si>
  <si>
    <t>空地面積の過半導入している</t>
    <phoneticPr fontId="3"/>
  </si>
  <si>
    <r>
      <t xml:space="preserve">2.3 </t>
    </r>
    <r>
      <rPr>
        <b/>
        <sz val="12"/>
        <color theme="1"/>
        <rFont val="ＭＳ Ｐゴシック"/>
        <family val="3"/>
        <charset val="128"/>
      </rPr>
      <t>資源循環</t>
    </r>
    <phoneticPr fontId="3"/>
  </si>
  <si>
    <r>
      <t xml:space="preserve">2.3.1 </t>
    </r>
    <r>
      <rPr>
        <b/>
        <sz val="12"/>
        <rFont val="ＭＳ Ｐゴシック"/>
        <family val="3"/>
        <charset val="128"/>
      </rPr>
      <t>建材の選択</t>
    </r>
    <phoneticPr fontId="3"/>
  </si>
  <si>
    <r>
      <t xml:space="preserve">2.3.1.1 </t>
    </r>
    <r>
      <rPr>
        <b/>
        <sz val="10"/>
        <rFont val="ＭＳ Ｐゴシック"/>
        <family val="3"/>
        <charset val="128"/>
      </rPr>
      <t>持続可能な森林の木材使用</t>
    </r>
    <phoneticPr fontId="3"/>
  </si>
  <si>
    <t>使用していない</t>
    <phoneticPr fontId="3"/>
  </si>
  <si>
    <r>
      <t xml:space="preserve">2.3.1.2 </t>
    </r>
    <r>
      <rPr>
        <b/>
        <sz val="10"/>
        <rFont val="ＭＳ Ｐゴシック"/>
        <family val="3"/>
        <charset val="128"/>
      </rPr>
      <t>リサイクル資材の使用</t>
    </r>
    <r>
      <rPr>
        <b/>
        <sz val="10"/>
        <rFont val="Arial"/>
        <family val="2"/>
      </rPr>
      <t>(</t>
    </r>
    <r>
      <rPr>
        <b/>
        <sz val="10"/>
        <rFont val="ＭＳ Ｐゴシック"/>
        <family val="3"/>
        <charset val="128"/>
      </rPr>
      <t>躯体、非構造材料</t>
    </r>
    <r>
      <rPr>
        <b/>
        <sz val="10"/>
        <rFont val="Arial"/>
        <family val="2"/>
      </rPr>
      <t>)</t>
    </r>
    <phoneticPr fontId="3"/>
  </si>
  <si>
    <t>4品目使用している</t>
    <phoneticPr fontId="3"/>
  </si>
  <si>
    <t>6品目使用している</t>
    <phoneticPr fontId="3"/>
  </si>
  <si>
    <t>2.3.2 ゴミ等の処理負荷の軽減</t>
    <phoneticPr fontId="3"/>
  </si>
  <si>
    <r>
      <t xml:space="preserve">2.3.2.1 </t>
    </r>
    <r>
      <rPr>
        <b/>
        <sz val="10"/>
        <rFont val="ＭＳ Ｐゴシック"/>
        <family val="3"/>
        <charset val="128"/>
      </rPr>
      <t>ゴミの分別回収</t>
    </r>
    <phoneticPr fontId="3"/>
  </si>
  <si>
    <t>自治体ルール未満</t>
    <phoneticPr fontId="3"/>
  </si>
  <si>
    <t>自治体ルールに基づき分別回収している。</t>
    <phoneticPr fontId="3"/>
  </si>
  <si>
    <t>自治体ルールに基づく分別に加え、自治体ルール+1品目かつ品目の処理ルールが確立されている</t>
    <phoneticPr fontId="3"/>
  </si>
  <si>
    <t>2.3.2.2 ゴミの減容化、減量化、堆肥化</t>
    <phoneticPr fontId="3"/>
  </si>
  <si>
    <t>利用なし</t>
    <phoneticPr fontId="3"/>
  </si>
  <si>
    <t>有機物を堆肥化している</t>
    <phoneticPr fontId="3"/>
  </si>
  <si>
    <t>食品廃棄物の削減（賞味期限の延長、長期保存容器の採用など）</t>
    <phoneticPr fontId="3"/>
  </si>
  <si>
    <t>食器のリサイクルへの取組み（軽量化、エコトレイ化など）</t>
    <phoneticPr fontId="3"/>
  </si>
  <si>
    <t>食用油などの再利用への取組み</t>
    <phoneticPr fontId="3"/>
  </si>
  <si>
    <t>本項目のレベルは、ライフサイクルCO2の排出率を１～５に換算した値（小数点以下第１位まで）であらわされる。
なおレベル１、３，５は以下の排出率で定義される。
レベル１：ライフサイクルCO2排出率が参照値に対して１２５％以上
レベル３：ライフサイクルCO2排出率が参照値に対して１００％
レベル５：ライフサイクルCO2排出率が参照値に対して５０％以下</t>
    <phoneticPr fontId="3"/>
  </si>
  <si>
    <r>
      <t>ライフサイクルCO</t>
    </r>
    <r>
      <rPr>
        <b/>
        <vertAlign val="subscript"/>
        <sz val="9"/>
        <rFont val="ＭＳ Ｐゴシック"/>
        <family val="3"/>
        <charset val="128"/>
      </rPr>
      <t>2</t>
    </r>
    <r>
      <rPr>
        <b/>
        <sz val="9"/>
        <rFont val="ＭＳ Ｐゴシック"/>
        <family val="3"/>
        <charset val="128"/>
      </rPr>
      <t>概算値</t>
    </r>
    <rPh sb="10" eb="12">
      <t>ガイサン</t>
    </rPh>
    <rPh sb="12" eb="13">
      <t>チ</t>
    </rPh>
    <phoneticPr fontId="3"/>
  </si>
  <si>
    <r>
      <t>kg-CO</t>
    </r>
    <r>
      <rPr>
        <vertAlign val="subscript"/>
        <sz val="9"/>
        <rFont val="ＭＳ Ｐゴシック"/>
        <family val="3"/>
        <charset val="128"/>
      </rPr>
      <t>2</t>
    </r>
    <r>
      <rPr>
        <sz val="9"/>
        <rFont val="ＭＳ Ｐゴシック"/>
        <family val="3"/>
        <charset val="128"/>
      </rPr>
      <t>/年㎡</t>
    </r>
    <rPh sb="7" eb="8">
      <t>ネン</t>
    </rPh>
    <phoneticPr fontId="3"/>
  </si>
  <si>
    <t>修繕・更新・解体</t>
    <rPh sb="3" eb="5">
      <t>コウシン</t>
    </rPh>
    <phoneticPr fontId="3"/>
  </si>
  <si>
    <t>排出率</t>
    <rPh sb="0" eb="2">
      <t>ハイシュツ</t>
    </rPh>
    <rPh sb="2" eb="3">
      <t>リツ</t>
    </rPh>
    <phoneticPr fontId="3"/>
  </si>
  <si>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3"/>
  </si>
  <si>
    <t>参照値</t>
    <rPh sb="0" eb="2">
      <t>サンショウ</t>
    </rPh>
    <rPh sb="2" eb="3">
      <t>チ</t>
    </rPh>
    <phoneticPr fontId="3"/>
  </si>
  <si>
    <t>換算スコア＝</t>
    <rPh sb="0" eb="2">
      <t>カンサン</t>
    </rPh>
    <phoneticPr fontId="3"/>
  </si>
  <si>
    <t>評価対象</t>
    <rPh sb="0" eb="2">
      <t>ヒョウカ</t>
    </rPh>
    <rPh sb="2" eb="4">
      <t>タイショウ</t>
    </rPh>
    <phoneticPr fontId="3"/>
  </si>
  <si>
    <t>建築物１</t>
    <rPh sb="0" eb="3">
      <t>ケンチクブツ</t>
    </rPh>
    <phoneticPr fontId="3"/>
  </si>
  <si>
    <t>建築物２</t>
    <rPh sb="0" eb="3">
      <t>ケンチクブツ</t>
    </rPh>
    <phoneticPr fontId="3"/>
  </si>
  <si>
    <t>建築物３</t>
    <rPh sb="0" eb="3">
      <t>ケンチクブツ</t>
    </rPh>
    <phoneticPr fontId="3"/>
  </si>
  <si>
    <t>建築物４</t>
    <rPh sb="0" eb="3">
      <t>ケンチクブツ</t>
    </rPh>
    <phoneticPr fontId="3"/>
  </si>
  <si>
    <t>建築物５</t>
    <rPh sb="0" eb="3">
      <t>ケンチクブツ</t>
    </rPh>
    <phoneticPr fontId="3"/>
  </si>
  <si>
    <t>建築物６</t>
    <rPh sb="0" eb="3">
      <t>ケンチクブツ</t>
    </rPh>
    <phoneticPr fontId="3"/>
  </si>
  <si>
    <t>整合していない</t>
    <phoneticPr fontId="3"/>
  </si>
  <si>
    <t>整合している</t>
    <phoneticPr fontId="3"/>
  </si>
  <si>
    <t>整合し、かつ周辺道路整備など区域外に及ぶ整備を行っている</t>
    <phoneticPr fontId="3"/>
  </si>
  <si>
    <t>交通施設整備など積極的に寄与している（道路新設により周辺地域の交通渋滞を軽減する等）</t>
    <phoneticPr fontId="3"/>
  </si>
  <si>
    <t>自治体の取組みに参加していない</t>
    <phoneticPr fontId="3"/>
  </si>
  <si>
    <t>自治体に取組みが無い</t>
    <phoneticPr fontId="3"/>
  </si>
  <si>
    <t>自治体の取組みに参加している</t>
    <phoneticPr fontId="3"/>
  </si>
  <si>
    <r>
      <t xml:space="preserve">3.2.2.1 </t>
    </r>
    <r>
      <rPr>
        <b/>
        <sz val="10"/>
        <rFont val="ＭＳ Ｐゴシック"/>
        <family val="3"/>
        <charset val="128"/>
      </rPr>
      <t>他の交通手段への転換による自動車交通量の総量削減</t>
    </r>
    <phoneticPr fontId="3"/>
  </si>
  <si>
    <t>取組みがなされていない</t>
    <phoneticPr fontId="3"/>
  </si>
  <si>
    <t>取組みがなされている（削減計画がある）</t>
    <phoneticPr fontId="3"/>
  </si>
  <si>
    <t>取組みがなされている（削減計画に目標値が設定されている）</t>
    <phoneticPr fontId="3"/>
  </si>
  <si>
    <t>削減目標値の検証計画がある、かつ継続的に削減努力を実行する</t>
    <phoneticPr fontId="3"/>
  </si>
  <si>
    <t>3.2.2.2 周辺道路への負荷を抑制する動線計画</t>
    <phoneticPr fontId="3"/>
  </si>
  <si>
    <t>動線計画を作成していない</t>
    <phoneticPr fontId="3"/>
  </si>
  <si>
    <t>動線計画を作成し、渋滞発生させない対策を講じている</t>
    <phoneticPr fontId="3"/>
  </si>
  <si>
    <t>動線計画の検証計画がある、もしくは継続的に検証している</t>
    <phoneticPr fontId="3"/>
  </si>
  <si>
    <r>
      <t xml:space="preserve">3.3.1 </t>
    </r>
    <r>
      <rPr>
        <b/>
        <sz val="12"/>
        <color indexed="8"/>
        <rFont val="ＭＳ Ｐゴシック"/>
        <family val="3"/>
        <charset val="128"/>
      </rPr>
      <t>ヒートアイランドの緩和</t>
    </r>
    <phoneticPr fontId="3"/>
  </si>
  <si>
    <t>QUD</t>
    <phoneticPr fontId="3"/>
  </si>
  <si>
    <t>LRUD</t>
    <phoneticPr fontId="3"/>
  </si>
  <si>
    <t>工夫していない</t>
    <phoneticPr fontId="3"/>
  </si>
  <si>
    <t>標準的工夫</t>
    <phoneticPr fontId="3"/>
  </si>
  <si>
    <t>中間的な工夫をしている</t>
    <phoneticPr fontId="3"/>
  </si>
  <si>
    <t>最新の防止装置を全面的に採用</t>
    <phoneticPr fontId="3"/>
  </si>
  <si>
    <r>
      <t xml:space="preserve">3.3.3.1 </t>
    </r>
    <r>
      <rPr>
        <b/>
        <sz val="10"/>
        <rFont val="ＭＳ Ｐゴシック"/>
        <family val="3"/>
        <charset val="128"/>
      </rPr>
      <t>騒音が対象区域外に及ぼす影響の軽減</t>
    </r>
    <phoneticPr fontId="3"/>
  </si>
  <si>
    <t>多少の配慮をしている</t>
    <phoneticPr fontId="3"/>
  </si>
  <si>
    <t>標準的配慮をしている</t>
    <phoneticPr fontId="3"/>
  </si>
  <si>
    <t>積極的配慮をしている</t>
    <phoneticPr fontId="3"/>
  </si>
  <si>
    <t>全面的配慮をしている</t>
    <phoneticPr fontId="3"/>
  </si>
  <si>
    <r>
      <t xml:space="preserve">3.3.3.2 </t>
    </r>
    <r>
      <rPr>
        <b/>
        <sz val="10"/>
        <rFont val="ＭＳ Ｐゴシック"/>
        <family val="3"/>
        <charset val="128"/>
      </rPr>
      <t>振動が対象区域外に及ぼす影響の軽減</t>
    </r>
    <phoneticPr fontId="3"/>
  </si>
  <si>
    <t>配慮している</t>
    <phoneticPr fontId="3"/>
  </si>
  <si>
    <r>
      <t xml:space="preserve">3.3.3.3 </t>
    </r>
    <r>
      <rPr>
        <b/>
        <sz val="10"/>
        <rFont val="ＭＳ Ｐゴシック"/>
        <family val="2"/>
        <charset val="128"/>
      </rPr>
      <t>悪臭が対象区域外に及ぼす影響の軽減</t>
    </r>
    <phoneticPr fontId="3"/>
  </si>
  <si>
    <t>強風域などを把握していない</t>
    <phoneticPr fontId="3"/>
  </si>
  <si>
    <t>強風域などを把握しているが、レベル3を満たしていない</t>
    <phoneticPr fontId="3"/>
  </si>
  <si>
    <t>敷地周辺およびその公開空地などにおいて、土地利用に応じた風環境（ランク評価）を満足している</t>
    <phoneticPr fontId="3"/>
  </si>
  <si>
    <t>敷地周辺およびその公開空地などにおいて、土地利用に応じた風環境（ランク評価）を満足し、かつ求められるランクより良い計測点が複数存在する</t>
    <phoneticPr fontId="3"/>
  </si>
  <si>
    <t>レベル4を満たし、かつ敷地周辺およびその公開空地などにおいて、従前と比較して風環境（ランク評価）が悪化していない</t>
    <phoneticPr fontId="3"/>
  </si>
  <si>
    <t>建築基準法を遵守している</t>
    <phoneticPr fontId="3"/>
  </si>
  <si>
    <t>建築群として複合日影を調査し、基準を満たしている</t>
    <phoneticPr fontId="3"/>
  </si>
  <si>
    <t>建築群として複合日影を調査し、１ランク上の基準を満たしている</t>
    <phoneticPr fontId="3"/>
  </si>
  <si>
    <r>
      <t xml:space="preserve">3.3.6.1 </t>
    </r>
    <r>
      <rPr>
        <b/>
        <sz val="10"/>
        <rFont val="ＭＳ Ｐゴシック"/>
        <family val="2"/>
        <charset val="128"/>
      </rPr>
      <t>照明・広告物等の光害の抑制</t>
    </r>
    <phoneticPr fontId="3"/>
  </si>
  <si>
    <t>【検討体制】</t>
    <phoneticPr fontId="3"/>
  </si>
  <si>
    <t>光環境に関連する地域の取組との協力を検討したか。</t>
  </si>
  <si>
    <t>【目的の明確化】</t>
    <phoneticPr fontId="3"/>
  </si>
  <si>
    <t>全ての照明について目的が明確になっているか。</t>
  </si>
  <si>
    <t>【適切な配光制御】</t>
    <phoneticPr fontId="3"/>
  </si>
  <si>
    <t>照明領域を明確にし、適切な配光の光源・照明器具を選択したか。※上方光束については、できる限りゼロに近づけよう検討する。</t>
    <phoneticPr fontId="3"/>
  </si>
  <si>
    <t>周囲の明るさを考慮し、グレアの抑制に適切な光源・照明器具を選択したか。</t>
  </si>
  <si>
    <t>屋外広告物照明等の光軸が水平より下方を向いてるか。</t>
  </si>
  <si>
    <t>【点灯時間管理】</t>
    <phoneticPr fontId="3"/>
  </si>
  <si>
    <t>照明の目的や需要に応じた点灯時間管理を検討したか。</t>
  </si>
  <si>
    <t>より効率的な制御のため、タイマ、照度センサ、人感センサ等の導入を検討したか。</t>
  </si>
  <si>
    <t>生活に支障のない範囲での深夜消灯を検討したか。</t>
  </si>
  <si>
    <t>【適切な光量・光色の設定・選択】</t>
    <phoneticPr fontId="3"/>
  </si>
  <si>
    <t>環境・目的に合った光量に設定したか。</t>
  </si>
  <si>
    <t>電球色等の相関色温度の低い照明器具の選択を検討したか。（夜空を暗く保つには相関色温度を3000K以下にすることが望ましい。）</t>
    <phoneticPr fontId="3"/>
  </si>
  <si>
    <t>照明の目的・需要に応じた光量・光色のコントロールを検討したか。</t>
  </si>
  <si>
    <r>
      <t xml:space="preserve">3.3.6.2 </t>
    </r>
    <r>
      <rPr>
        <b/>
        <sz val="10"/>
        <rFont val="ＭＳ Ｐゴシック"/>
        <family val="2"/>
        <charset val="128"/>
      </rPr>
      <t>建物外壁や屋外構造物による昼光反射の抑制</t>
    </r>
    <phoneticPr fontId="3"/>
  </si>
  <si>
    <t>全面的な工夫</t>
    <phoneticPr fontId="3"/>
  </si>
  <si>
    <t>No.4</t>
    <phoneticPr fontId="3"/>
  </si>
  <si>
    <t>【対象外】悪臭の発生源が対象区域内に存在しない場合</t>
    <phoneticPr fontId="3"/>
  </si>
  <si>
    <t>対象外の場合は理由を記述</t>
    <rPh sb="0" eb="3">
      <t>タイショウガイ</t>
    </rPh>
    <rPh sb="4" eb="6">
      <t>バアイ</t>
    </rPh>
    <rPh sb="7" eb="9">
      <t>リユウ</t>
    </rPh>
    <rPh sb="10" eb="12">
      <t>キジュツ</t>
    </rPh>
    <phoneticPr fontId="3"/>
  </si>
  <si>
    <r>
      <t>ライフサイクルCO</t>
    </r>
    <r>
      <rPr>
        <b/>
        <vertAlign val="subscript"/>
        <sz val="9"/>
        <rFont val="ＭＳ Ｐゴシック"/>
        <family val="3"/>
        <charset val="128"/>
      </rPr>
      <t>2</t>
    </r>
    <phoneticPr fontId="3"/>
  </si>
  <si>
    <t>★☆☆☆☆</t>
    <phoneticPr fontId="3"/>
  </si>
  <si>
    <t>★★☆☆☆</t>
    <phoneticPr fontId="3"/>
  </si>
  <si>
    <t>★★★☆☆</t>
    <phoneticPr fontId="3"/>
  </si>
  <si>
    <t>★★★★☆</t>
    <phoneticPr fontId="3"/>
  </si>
  <si>
    <t>★★★★★</t>
    <phoneticPr fontId="3"/>
  </si>
  <si>
    <t>ステージA</t>
    <phoneticPr fontId="3"/>
  </si>
  <si>
    <t>A1</t>
    <phoneticPr fontId="3"/>
  </si>
  <si>
    <t>A2</t>
    <phoneticPr fontId="3"/>
  </si>
  <si>
    <t>A3</t>
  </si>
  <si>
    <t>A4</t>
  </si>
  <si>
    <t>A5</t>
  </si>
  <si>
    <t>目標値</t>
    <rPh sb="0" eb="3">
      <t>モクヒョウチ</t>
    </rPh>
    <phoneticPr fontId="3"/>
  </si>
  <si>
    <t>B6-B7</t>
    <phoneticPr fontId="3"/>
  </si>
  <si>
    <t>ステージB</t>
    <phoneticPr fontId="3"/>
  </si>
  <si>
    <t>C1</t>
    <phoneticPr fontId="3"/>
  </si>
  <si>
    <t>C2</t>
  </si>
  <si>
    <t>C3</t>
  </si>
  <si>
    <t>C4</t>
  </si>
  <si>
    <t>ステージC</t>
    <phoneticPr fontId="3"/>
  </si>
  <si>
    <t>LCCO2</t>
    <phoneticPr fontId="3"/>
  </si>
  <si>
    <t>B1-B5</t>
    <phoneticPr fontId="3"/>
  </si>
  <si>
    <t>－</t>
    <phoneticPr fontId="3"/>
  </si>
  <si>
    <r>
      <t>CO2</t>
    </r>
    <r>
      <rPr>
        <b/>
        <sz val="11"/>
        <color rgb="FFFF0000"/>
        <rFont val="Yu Gothic"/>
        <family val="2"/>
        <charset val="128"/>
      </rPr>
      <t>パーセント</t>
    </r>
    <phoneticPr fontId="3"/>
  </si>
  <si>
    <r>
      <t xml:space="preserve">1.2.1 </t>
    </r>
    <r>
      <rPr>
        <b/>
        <sz val="12"/>
        <color indexed="8"/>
        <rFont val="ＭＳ Ｐゴシック"/>
        <family val="3"/>
        <charset val="128"/>
      </rPr>
      <t>水と緑</t>
    </r>
    <rPh sb="6" eb="7">
      <t>ミズ</t>
    </rPh>
    <rPh sb="8" eb="9">
      <t>ミドリ</t>
    </rPh>
    <phoneticPr fontId="3"/>
  </si>
  <si>
    <r>
      <t xml:space="preserve">1.2.1.1 </t>
    </r>
    <r>
      <rPr>
        <b/>
        <sz val="10"/>
        <rFont val="ＭＳ Ｐゴシック"/>
        <family val="3"/>
        <charset val="128"/>
      </rPr>
      <t>地上部の水と緑</t>
    </r>
    <rPh sb="8" eb="10">
      <t>チジョウ</t>
    </rPh>
    <rPh sb="10" eb="11">
      <t>ブ</t>
    </rPh>
    <rPh sb="12" eb="13">
      <t>ミズ</t>
    </rPh>
    <rPh sb="14" eb="15">
      <t>ミドリ</t>
    </rPh>
    <phoneticPr fontId="3"/>
  </si>
  <si>
    <r>
      <t xml:space="preserve">1.2.1.2 </t>
    </r>
    <r>
      <rPr>
        <b/>
        <sz val="10"/>
        <rFont val="ＭＳ Ｐゴシック"/>
        <family val="3"/>
        <charset val="128"/>
      </rPr>
      <t>建物の緑</t>
    </r>
    <rPh sb="11" eb="12">
      <t>ミドリ</t>
    </rPh>
    <phoneticPr fontId="3"/>
  </si>
  <si>
    <r>
      <t xml:space="preserve">1.1.2 </t>
    </r>
    <r>
      <rPr>
        <b/>
        <sz val="12"/>
        <color indexed="8"/>
        <rFont val="ＭＳ Ｐゴシック"/>
        <family val="3"/>
        <charset val="128"/>
      </rPr>
      <t>生物の生息空間の確保</t>
    </r>
    <rPh sb="6" eb="8">
      <t>セイブツ</t>
    </rPh>
    <rPh sb="9" eb="11">
      <t>セイソク</t>
    </rPh>
    <rPh sb="11" eb="13">
      <t>クウカン</t>
    </rPh>
    <rPh sb="14" eb="16">
      <t>カクホ</t>
    </rPh>
    <phoneticPr fontId="3"/>
  </si>
  <si>
    <r>
      <t xml:space="preserve">1.2.2.2 </t>
    </r>
    <r>
      <rPr>
        <b/>
        <sz val="10"/>
        <rFont val="ＭＳ Ｐゴシック"/>
        <family val="3"/>
        <charset val="128"/>
      </rPr>
      <t>輻射熱・反射の抑制</t>
    </r>
    <phoneticPr fontId="3"/>
  </si>
  <si>
    <t>複数の移動主体を組み合わせたまま、予約、決算の統合がなされた形でモビリティサービスが提供されている（MaaSレベル2）
または、MaaS レベル3 以上のモビリティサービスが提供されている</t>
    <phoneticPr fontId="3"/>
  </si>
  <si>
    <t>評価する取組はエネルギー供給構造高度化法にて定義される再生可能エネルギーを活用した手法とする。</t>
    <phoneticPr fontId="3"/>
  </si>
  <si>
    <t>（例：太陽光、風力、水力、地熱、太陽熱、バイオマス）</t>
    <phoneticPr fontId="3"/>
  </si>
  <si>
    <t>評価する取組は、有効に利用できる可能性があるにも関わらず、これまで利用されてこなかった自然や</t>
    <phoneticPr fontId="3"/>
  </si>
  <si>
    <t>都市に賦存している熱を活用した手法とする。</t>
    <phoneticPr fontId="3"/>
  </si>
  <si>
    <t>（例： 河川水・下水熱・湧水利用・清掃工場排熱・地域冷暖房排熱・変電所排熱・その他都市排熱等）</t>
    <phoneticPr fontId="3"/>
  </si>
  <si>
    <r>
      <t xml:space="preserve">1.4.1 </t>
    </r>
    <r>
      <rPr>
        <b/>
        <sz val="12"/>
        <rFont val="ＭＳ Ｐゴシック"/>
        <family val="3"/>
        <charset val="128"/>
      </rPr>
      <t>需給システムのスマート化</t>
    </r>
    <rPh sb="6" eb="8">
      <t>ジュキュウ</t>
    </rPh>
    <rPh sb="17" eb="18">
      <t>カ</t>
    </rPh>
    <phoneticPr fontId="3"/>
  </si>
  <si>
    <r>
      <t xml:space="preserve">1.4.2 </t>
    </r>
    <r>
      <rPr>
        <b/>
        <sz val="12"/>
        <rFont val="ＭＳ Ｐゴシック"/>
        <family val="3"/>
        <charset val="128"/>
      </rPr>
      <t>更新性・拡張性</t>
    </r>
    <phoneticPr fontId="3"/>
  </si>
  <si>
    <t>地球温暖化
への配慮</t>
    <rPh sb="8" eb="10">
      <t>ハイリョ</t>
    </rPh>
    <phoneticPr fontId="3"/>
  </si>
  <si>
    <t>クリーンエネルギーを動力源とする交通手段を導入していない</t>
    <phoneticPr fontId="3"/>
  </si>
  <si>
    <t>クリーンエネルギーを動力源とする交通手段を導入している</t>
    <phoneticPr fontId="3"/>
  </si>
  <si>
    <t>【対象外】振動の発生源が対象区域内に存在しない場合</t>
    <rPh sb="5" eb="7">
      <t>シンドウ</t>
    </rPh>
    <phoneticPr fontId="3"/>
  </si>
  <si>
    <t>【対象外】戸建て住宅団地開発など高層の建物が存在しない場合</t>
    <phoneticPr fontId="3"/>
  </si>
  <si>
    <t>【対象外】当該区域に日影規制が無い場合</t>
    <phoneticPr fontId="3"/>
  </si>
  <si>
    <t>検討体制に照明の専門家（照明メーカ担当者等の専門知識や知見等を有する者）が参加しているか。参加が困難な場合、アドバイザーとして助言を得たか。</t>
    <phoneticPr fontId="3"/>
  </si>
  <si>
    <t>【対象外】計画地が埋立地等自然由来土壌でない場合</t>
    <rPh sb="9" eb="12">
      <t>ウメタテチ</t>
    </rPh>
    <rPh sb="12" eb="13">
      <t>トウ</t>
    </rPh>
    <rPh sb="13" eb="15">
      <t>シゼン</t>
    </rPh>
    <rPh sb="15" eb="17">
      <t>ユライ</t>
    </rPh>
    <rPh sb="17" eb="19">
      <t>ドジョウ</t>
    </rPh>
    <rPh sb="22" eb="24">
      <t>バアイ</t>
    </rPh>
    <phoneticPr fontId="3"/>
  </si>
  <si>
    <t>【対象外】非住宅系開発の場合</t>
    <phoneticPr fontId="3"/>
  </si>
  <si>
    <t>【対象外】非住宅系開発の場合は対象外としてよい。</t>
    <rPh sb="5" eb="6">
      <t>ヒ</t>
    </rPh>
    <phoneticPr fontId="3"/>
  </si>
  <si>
    <t>【対象外】飲食施設がない場合</t>
    <phoneticPr fontId="3"/>
  </si>
  <si>
    <t>【対象外】区域内の事業者が運用する自動車運航などがない場合</t>
    <phoneticPr fontId="3"/>
  </si>
  <si>
    <t>【対象外】エネルギーの面的な利用施設がない場合</t>
    <phoneticPr fontId="3"/>
  </si>
  <si>
    <r>
      <t xml:space="preserve">2.2.1.1 </t>
    </r>
    <r>
      <rPr>
        <b/>
        <sz val="10"/>
        <rFont val="ＭＳ Ｐゴシック"/>
        <family val="3"/>
        <charset val="128"/>
      </rPr>
      <t>節水</t>
    </r>
    <phoneticPr fontId="3"/>
  </si>
  <si>
    <t>【対象外】下水処理場の上部の施設などの場合</t>
    <rPh sb="5" eb="7">
      <t>ゲスイ</t>
    </rPh>
    <rPh sb="7" eb="10">
      <t>ショリジョウ</t>
    </rPh>
    <rPh sb="11" eb="13">
      <t>ジョウブ</t>
    </rPh>
    <rPh sb="14" eb="16">
      <t>シセツ</t>
    </rPh>
    <phoneticPr fontId="3"/>
  </si>
  <si>
    <r>
      <t xml:space="preserve">2.2.2.2 </t>
    </r>
    <r>
      <rPr>
        <b/>
        <sz val="10"/>
        <rFont val="ＭＳ Ｐゴシック"/>
        <family val="3"/>
        <charset val="128"/>
      </rPr>
      <t>雨水流出抑制</t>
    </r>
    <phoneticPr fontId="3"/>
  </si>
  <si>
    <t>有機物を機械的に処理、再利用している (生ごみ等のメタン化、バイオマス利用など)</t>
    <phoneticPr fontId="3"/>
  </si>
  <si>
    <t>2023/X/X</t>
    <phoneticPr fontId="3"/>
  </si>
  <si>
    <t>維持段階</t>
    <rPh sb="0" eb="4">
      <t>イジダンカイ</t>
    </rPh>
    <phoneticPr fontId="3"/>
  </si>
  <si>
    <t>運用段階</t>
    <rPh sb="0" eb="4">
      <t>ウンヨウダンカイ</t>
    </rPh>
    <phoneticPr fontId="3"/>
  </si>
  <si>
    <t>解体段階</t>
    <rPh sb="0" eb="4">
      <t>カイタイダンカイ</t>
    </rPh>
    <phoneticPr fontId="3"/>
  </si>
  <si>
    <t>ﾎｰﾙﾗｲﾌｶｰﾎﾞﾝ</t>
    <phoneticPr fontId="3"/>
  </si>
  <si>
    <r>
      <t>kg-CO2eq/</t>
    </r>
    <r>
      <rPr>
        <sz val="9"/>
        <rFont val="ＭＳ Ｐゴシック"/>
        <family val="2"/>
        <charset val="128"/>
      </rPr>
      <t>年</t>
    </r>
    <r>
      <rPr>
        <sz val="9"/>
        <rFont val="Microsoft YaHei"/>
        <family val="2"/>
        <charset val="134"/>
      </rPr>
      <t>㎡</t>
    </r>
    <rPh sb="9" eb="10">
      <t>ネン</t>
    </rPh>
    <phoneticPr fontId="3"/>
  </si>
  <si>
    <t>stage</t>
    <phoneticPr fontId="3"/>
  </si>
  <si>
    <t>rank</t>
    <phoneticPr fontId="3"/>
  </si>
  <si>
    <t>開発段階</t>
    <rPh sb="0" eb="2">
      <t>カイハツ</t>
    </rPh>
    <rPh sb="2" eb="4">
      <t>ダンカイ</t>
    </rPh>
    <phoneticPr fontId="3"/>
  </si>
  <si>
    <t>再生段階</t>
    <rPh sb="0" eb="2">
      <t>サイセイ</t>
    </rPh>
    <rPh sb="2" eb="4">
      <t>ダンカイ</t>
    </rPh>
    <phoneticPr fontId="3"/>
  </si>
  <si>
    <t>削減目標</t>
    <rPh sb="0" eb="4">
      <t>サクゲンモクヒョウ</t>
    </rPh>
    <phoneticPr fontId="3"/>
  </si>
  <si>
    <t>現況値</t>
    <rPh sb="0" eb="2">
      <t>ゲンキョウ</t>
    </rPh>
    <rPh sb="2" eb="3">
      <t>アタイ</t>
    </rPh>
    <phoneticPr fontId="3"/>
  </si>
  <si>
    <t>TOP5</t>
    <phoneticPr fontId="3"/>
  </si>
  <si>
    <t>A1　原材料調達</t>
    <rPh sb="3" eb="6">
      <t>ゲンザイリョウ</t>
    </rPh>
    <rPh sb="6" eb="8">
      <t>チョウタツ</t>
    </rPh>
    <phoneticPr fontId="3"/>
  </si>
  <si>
    <t>A2　工場輸送</t>
    <rPh sb="3" eb="7">
      <t>コウジョウユソウ</t>
    </rPh>
    <phoneticPr fontId="3"/>
  </si>
  <si>
    <t>A3　製造</t>
    <rPh sb="3" eb="5">
      <t>セイゾウ</t>
    </rPh>
    <phoneticPr fontId="3"/>
  </si>
  <si>
    <t>A4　現場輸送</t>
    <rPh sb="3" eb="7">
      <t>ゲンバユソウ</t>
    </rPh>
    <phoneticPr fontId="3"/>
  </si>
  <si>
    <t>A5　施工・設置</t>
    <rPh sb="3" eb="5">
      <t>セコウ</t>
    </rPh>
    <rPh sb="6" eb="8">
      <t>セッチ</t>
    </rPh>
    <phoneticPr fontId="3"/>
  </si>
  <si>
    <t>B5　改修</t>
    <rPh sb="3" eb="5">
      <t>カイシュウ</t>
    </rPh>
    <phoneticPr fontId="3"/>
  </si>
  <si>
    <t>B1　使用</t>
    <rPh sb="3" eb="5">
      <t>シヨウ</t>
    </rPh>
    <phoneticPr fontId="3"/>
  </si>
  <si>
    <t>B2　保全</t>
    <rPh sb="3" eb="5">
      <t>ホゼン</t>
    </rPh>
    <phoneticPr fontId="3"/>
  </si>
  <si>
    <t>B3　修繕</t>
    <rPh sb="3" eb="5">
      <t>シュウゼン</t>
    </rPh>
    <phoneticPr fontId="3"/>
  </si>
  <si>
    <t>B4　交換</t>
    <rPh sb="3" eb="5">
      <t>コウカン</t>
    </rPh>
    <phoneticPr fontId="3"/>
  </si>
  <si>
    <t>B7　水消費</t>
    <rPh sb="3" eb="6">
      <t>ミズショウヒ</t>
    </rPh>
    <phoneticPr fontId="3"/>
  </si>
  <si>
    <t>B6　ｴﾈﾙｷﾞｰ消費</t>
    <rPh sb="9" eb="11">
      <t>ショウヒ</t>
    </rPh>
    <phoneticPr fontId="3"/>
  </si>
  <si>
    <t>C1　解体・撤去</t>
    <rPh sb="3" eb="5">
      <t>カイタイ</t>
    </rPh>
    <rPh sb="6" eb="8">
      <t>テッキョ</t>
    </rPh>
    <phoneticPr fontId="3"/>
  </si>
  <si>
    <t>C2　廃棄物輸送</t>
    <rPh sb="3" eb="8">
      <t>ハイキブツユソウ</t>
    </rPh>
    <phoneticPr fontId="3"/>
  </si>
  <si>
    <t>C3　中間処理</t>
    <rPh sb="3" eb="7">
      <t>チュウカンショリ</t>
    </rPh>
    <phoneticPr fontId="3"/>
  </si>
  <si>
    <t>C4　廃棄物処理</t>
    <rPh sb="3" eb="8">
      <t>ハイキブツショリ</t>
    </rPh>
    <phoneticPr fontId="3"/>
  </si>
  <si>
    <t>D　再利用・改修・リサイクルに伴う便益と負荷</t>
    <rPh sb="2" eb="5">
      <t>サイリヨウ</t>
    </rPh>
    <rPh sb="6" eb="8">
      <t>カイシュウ</t>
    </rPh>
    <rPh sb="15" eb="16">
      <t>トモナ</t>
    </rPh>
    <rPh sb="17" eb="19">
      <t>ベンエキ</t>
    </rPh>
    <rPh sb="20" eb="22">
      <t>フカ</t>
    </rPh>
    <phoneticPr fontId="3"/>
  </si>
  <si>
    <t>A1 原材料調達</t>
    <rPh sb="3" eb="6">
      <t>ゲンザイリョウ</t>
    </rPh>
    <rPh sb="6" eb="8">
      <t>チョウタツ</t>
    </rPh>
    <phoneticPr fontId="3"/>
  </si>
  <si>
    <t>A2 工場輸送</t>
    <rPh sb="3" eb="7">
      <t>コウジョウユソウ</t>
    </rPh>
    <phoneticPr fontId="3"/>
  </si>
  <si>
    <t>A3 製造</t>
    <rPh sb="3" eb="5">
      <t>セイゾウ</t>
    </rPh>
    <phoneticPr fontId="3"/>
  </si>
  <si>
    <t>A4 現場輸送</t>
    <rPh sb="3" eb="7">
      <t>ゲンバユソウ</t>
    </rPh>
    <phoneticPr fontId="3"/>
  </si>
  <si>
    <t>A5 施工・設置</t>
    <rPh sb="3" eb="5">
      <t>セコウ</t>
    </rPh>
    <rPh sb="6" eb="8">
      <t>セッチ</t>
    </rPh>
    <phoneticPr fontId="3"/>
  </si>
  <si>
    <t>B1 使用</t>
    <rPh sb="3" eb="5">
      <t>シヨウ</t>
    </rPh>
    <phoneticPr fontId="3"/>
  </si>
  <si>
    <t>B2 保全</t>
    <rPh sb="3" eb="5">
      <t>ホゼン</t>
    </rPh>
    <phoneticPr fontId="3"/>
  </si>
  <si>
    <t>B3 修繕</t>
    <rPh sb="3" eb="5">
      <t>シュウゼン</t>
    </rPh>
    <phoneticPr fontId="3"/>
  </si>
  <si>
    <t>B4 交換</t>
    <rPh sb="3" eb="5">
      <t>コウカン</t>
    </rPh>
    <phoneticPr fontId="3"/>
  </si>
  <si>
    <t>B5 改修</t>
    <rPh sb="3" eb="5">
      <t>カイシュウ</t>
    </rPh>
    <phoneticPr fontId="3"/>
  </si>
  <si>
    <t>B6 ｴﾈﾙｷﾞｰ消費</t>
    <rPh sb="9" eb="11">
      <t>ショウヒ</t>
    </rPh>
    <phoneticPr fontId="3"/>
  </si>
  <si>
    <t>B7 水消費</t>
    <rPh sb="3" eb="6">
      <t>ミズショウヒ</t>
    </rPh>
    <phoneticPr fontId="3"/>
  </si>
  <si>
    <t>C1 解体・撤去</t>
    <rPh sb="3" eb="5">
      <t>カイタイ</t>
    </rPh>
    <rPh sb="6" eb="8">
      <t>テッキョ</t>
    </rPh>
    <phoneticPr fontId="3"/>
  </si>
  <si>
    <t>C2 廃棄物輸送</t>
    <rPh sb="3" eb="8">
      <t>ハイキブツユソウ</t>
    </rPh>
    <phoneticPr fontId="3"/>
  </si>
  <si>
    <t>C3 中間処理</t>
    <rPh sb="3" eb="7">
      <t>チュウカンショリ</t>
    </rPh>
    <phoneticPr fontId="3"/>
  </si>
  <si>
    <t>C4 廃棄物処理</t>
    <rPh sb="3" eb="8">
      <t>ハイキブツショリ</t>
    </rPh>
    <phoneticPr fontId="3"/>
  </si>
  <si>
    <t>排出量推計の対象</t>
    <rPh sb="0" eb="3">
      <t>ハイシュツリョウ</t>
    </rPh>
    <rPh sb="3" eb="5">
      <t>スイケイ</t>
    </rPh>
    <rPh sb="6" eb="8">
      <t>タイショウ</t>
    </rPh>
    <phoneticPr fontId="3"/>
  </si>
  <si>
    <t>ステージ</t>
    <phoneticPr fontId="3"/>
  </si>
  <si>
    <t>現状値</t>
    <rPh sb="0" eb="2">
      <t>ゲンジョウ</t>
    </rPh>
    <rPh sb="2" eb="3">
      <t>チ</t>
    </rPh>
    <phoneticPr fontId="3"/>
  </si>
  <si>
    <t>（単位：kg-CO2eq/年㎡）</t>
    <rPh sb="1" eb="3">
      <t>タンイ</t>
    </rPh>
    <phoneticPr fontId="3"/>
  </si>
  <si>
    <t>次に示す各号のうち、どれか一つ以上に該当する状態になっている
(1) 温室効果ガス排出量の削減に向けてコミットする旨を表明している
(2) 温室効果ガス排出量を何らかの形で部分的に把握している
(3) 温室効果ガス排出量を抑制する対策が既に講じられている</t>
    <phoneticPr fontId="3"/>
  </si>
  <si>
    <t>街区の開発または運用のいずれかの段階における温室効果ガス排出量を推計、把握した上でさらに将来の削減目標を設定している</t>
    <phoneticPr fontId="3"/>
  </si>
  <si>
    <t>街区の開発段階に加えて運用段階における温室効果ガス排出量を推計、把握し、さらに削減目標を設定している</t>
    <phoneticPr fontId="3"/>
  </si>
  <si>
    <t>街区の開発、運用、解体等の各段階における温室効果ガス排出量を推計、把握した上でさらにカーボンニュートラル達成に向けた具体的な道筋を計画、公開している</t>
    <phoneticPr fontId="3"/>
  </si>
  <si>
    <t>現状値</t>
    <rPh sb="2" eb="3">
      <t>チ</t>
    </rPh>
    <phoneticPr fontId="3"/>
  </si>
  <si>
    <r>
      <t xml:space="preserve">2-2 </t>
    </r>
    <r>
      <rPr>
        <b/>
        <sz val="12"/>
        <color rgb="FFFFFFFF"/>
        <rFont val="ＭＳ Ｐゴシック"/>
        <family val="3"/>
        <charset val="128"/>
      </rPr>
      <t>ホールライフカーボン</t>
    </r>
    <phoneticPr fontId="3"/>
  </si>
  <si>
    <t>保全するべき動植物を把握するための調査を実施していない</t>
    <phoneticPr fontId="3"/>
  </si>
  <si>
    <r>
      <t xml:space="preserve">1.1.1.1 </t>
    </r>
    <r>
      <rPr>
        <b/>
        <sz val="10"/>
        <rFont val="ＭＳ Ｐゴシック"/>
        <family val="3"/>
        <charset val="128"/>
      </rPr>
      <t>動植物の保全</t>
    </r>
    <phoneticPr fontId="3"/>
  </si>
  <si>
    <r>
      <t xml:space="preserve">1.1.1.2 </t>
    </r>
    <r>
      <rPr>
        <b/>
        <sz val="10"/>
        <rFont val="ＭＳ Ｐゴシック"/>
        <family val="3"/>
        <charset val="128"/>
      </rPr>
      <t>地形の保全</t>
    </r>
    <phoneticPr fontId="3"/>
  </si>
  <si>
    <r>
      <t xml:space="preserve">1.1.1.3 </t>
    </r>
    <r>
      <rPr>
        <b/>
        <sz val="10"/>
        <rFont val="ＭＳ ゴシック"/>
        <family val="3"/>
        <charset val="128"/>
      </rPr>
      <t>土壌の保全</t>
    </r>
    <phoneticPr fontId="3"/>
  </si>
  <si>
    <t>項目</t>
    <rPh sb="0" eb="2">
      <t>コウモク</t>
    </rPh>
    <phoneticPr fontId="3"/>
  </si>
  <si>
    <t>評価内容</t>
    <rPh sb="0" eb="2">
      <t>ヒョウカ</t>
    </rPh>
    <rPh sb="2" eb="4">
      <t>ナイヨウ</t>
    </rPh>
    <phoneticPr fontId="3"/>
  </si>
  <si>
    <t>①</t>
  </si>
  <si>
    <t>街区内のオープンスペースの連続性を確保している</t>
  </si>
  <si>
    <t>②</t>
  </si>
  <si>
    <t>街区内の建物の隣棟間隔を確保している</t>
  </si>
  <si>
    <t>③</t>
  </si>
  <si>
    <t>周辺環境と連携した風を呼び込む対策を行っている</t>
  </si>
  <si>
    <r>
      <t xml:space="preserve">1.2.3.2 </t>
    </r>
    <r>
      <rPr>
        <b/>
        <sz val="10"/>
        <rFont val="ＭＳ ゴシック"/>
        <family val="3"/>
        <charset val="128"/>
      </rPr>
      <t>周辺との調和性</t>
    </r>
    <phoneticPr fontId="3"/>
  </si>
  <si>
    <r>
      <rPr>
        <sz val="9"/>
        <rFont val="ＭＳ Ｐゴシック"/>
        <family val="3"/>
        <charset val="128"/>
      </rPr>
      <t>③低層部におけるヒューマンスケールへの配慮（街路及び広場景観への配慮）</t>
    </r>
  </si>
  <si>
    <t>①</t>
    <phoneticPr fontId="3"/>
  </si>
  <si>
    <t>自然環境に関する取組みがある（スマート化例：ドローン活用・管理、鳥獣被害管理　など）</t>
    <phoneticPr fontId="3"/>
  </si>
  <si>
    <t>②</t>
    <phoneticPr fontId="3"/>
  </si>
  <si>
    <t>生活環境に関する取組みがある（スマート化例：環境センサー、ロボット活用・管理　など）</t>
    <phoneticPr fontId="3"/>
  </si>
  <si>
    <t>③</t>
    <phoneticPr fontId="3"/>
  </si>
  <si>
    <r>
      <rPr>
        <sz val="10"/>
        <rFont val="ＭＳ ゴシック"/>
        <family val="3"/>
        <charset val="128"/>
      </rPr>
      <t>建築物（街区横断）に関する取組みがある（スマート化例：データプラットフォーム、</t>
    </r>
    <r>
      <rPr>
        <sz val="10"/>
        <rFont val="Arial"/>
        <family val="2"/>
      </rPr>
      <t>API</t>
    </r>
    <r>
      <rPr>
        <sz val="10"/>
        <rFont val="ＭＳ ゴシック"/>
        <family val="3"/>
        <charset val="128"/>
      </rPr>
      <t>・横展開、アプリ・</t>
    </r>
    <r>
      <rPr>
        <sz val="10"/>
        <rFont val="Arial"/>
        <family val="2"/>
      </rPr>
      <t>ICT</t>
    </r>
    <r>
      <rPr>
        <sz val="10"/>
        <rFont val="ＭＳ ゴシック"/>
        <family val="3"/>
        <charset val="128"/>
      </rPr>
      <t>個別技術　など）</t>
    </r>
    <phoneticPr fontId="3"/>
  </si>
  <si>
    <t>④</t>
    <phoneticPr fontId="3"/>
  </si>
  <si>
    <r>
      <rPr>
        <sz val="10"/>
        <rFont val="ＭＳ ゴシック"/>
        <family val="3"/>
        <charset val="128"/>
      </rPr>
      <t>その他の</t>
    </r>
    <r>
      <rPr>
        <sz val="10"/>
        <rFont val="Arial"/>
        <family val="2"/>
      </rPr>
      <t>ICT</t>
    </r>
    <r>
      <rPr>
        <sz val="10"/>
        <rFont val="ＭＳ ゴシック"/>
        <family val="3"/>
        <charset val="128"/>
      </rPr>
      <t>やデータを活用した先進的な取組みがある</t>
    </r>
    <phoneticPr fontId="3"/>
  </si>
  <si>
    <t>① 夜間照明灯の設置水準</t>
    <phoneticPr fontId="3"/>
  </si>
  <si>
    <t>十分に設置されている</t>
    <phoneticPr fontId="3"/>
  </si>
  <si>
    <t>② 周辺からの監視性</t>
    <phoneticPr fontId="3"/>
  </si>
  <si>
    <t>周辺からほぼ見渡せ死角がない（区域内や周辺の建物から監視しやすい）</t>
    <phoneticPr fontId="3"/>
  </si>
  <si>
    <t>③ 監視カメラの配備</t>
    <phoneticPr fontId="3"/>
  </si>
  <si>
    <t>監視カメラが配備されている</t>
    <phoneticPr fontId="3"/>
  </si>
  <si>
    <t>④ 警備員</t>
    <phoneticPr fontId="3"/>
  </si>
  <si>
    <t>警備員による巡回体制がある</t>
    <phoneticPr fontId="3"/>
  </si>
  <si>
    <t>① 歴史的遺構、建造物の保全、復元　　</t>
    <phoneticPr fontId="3"/>
  </si>
  <si>
    <t>保全、復元している</t>
    <phoneticPr fontId="3"/>
  </si>
  <si>
    <t>② 歴史、文化資産等の保存、継承　　</t>
    <phoneticPr fontId="3"/>
  </si>
  <si>
    <t>保存、継承の為のソフト的取組みがある</t>
    <phoneticPr fontId="3"/>
  </si>
  <si>
    <t>③ その他の取組み　　</t>
    <phoneticPr fontId="3"/>
  </si>
  <si>
    <t>新たな文化創造の取組みがある</t>
    <phoneticPr fontId="3"/>
  </si>
  <si>
    <t>ガバナンスに関する取組みがある（スマート化例：データプラットフォーム、データ利活用型まちづくり、グリーンインフラ機能管理、インフラ点検、道路管理、橋梁点検、除雪・消雪、河川水位モニタリング　など）</t>
    <phoneticPr fontId="3"/>
  </si>
  <si>
    <t>生活利便に関する取組みがある（スマート化例：パーソナルデータ利活用、ロボット導入　など）</t>
    <phoneticPr fontId="3"/>
  </si>
  <si>
    <t>健康福祉に関する取組みがある（スマート化例：外出促進、遠隔医療、健幸ポイント　など）</t>
    <phoneticPr fontId="3"/>
  </si>
  <si>
    <t>安全安心に関する取組みがある（スマート化例：防災情報システム、防災情報提供サービス、防災通信・センサー　など）</t>
    <phoneticPr fontId="3"/>
  </si>
  <si>
    <t>⑤</t>
    <phoneticPr fontId="3"/>
  </si>
  <si>
    <t>包摂性に関する取組みがある（スマート化例：見守り、高齢者支援、サービスロボット、支援・介護ロボット　など）</t>
    <phoneticPr fontId="3"/>
  </si>
  <si>
    <t>⑥</t>
    <phoneticPr fontId="3"/>
  </si>
  <si>
    <t>その他のICTやデータを活用した先進的な取組みがある</t>
    <phoneticPr fontId="3"/>
  </si>
  <si>
    <t>①公共交通の利用促進</t>
    <phoneticPr fontId="3"/>
  </si>
  <si>
    <t>TFPの実施やパークアンドライドシステムの構築等を通じたモビリティ・マネジメントの推進がなされている</t>
    <phoneticPr fontId="3"/>
  </si>
  <si>
    <t>②運行形態・ルートの工夫</t>
    <phoneticPr fontId="3"/>
  </si>
  <si>
    <t>交通事業者との協議・連携により、地域のニーズに適した運行上の工夫がなされている</t>
    <phoneticPr fontId="3"/>
  </si>
  <si>
    <t>③交通結節点の工夫</t>
    <phoneticPr fontId="3"/>
  </si>
  <si>
    <t>交通モード間の移動の際に、人々が混雑することなく移動できる工夫がなされている</t>
    <phoneticPr fontId="3"/>
  </si>
  <si>
    <t>④公共交通の機能補完</t>
    <phoneticPr fontId="3"/>
  </si>
  <si>
    <t>レンタサイクル・シェアサイクリング等を活用し、公共交通の機能補完がなされている</t>
    <phoneticPr fontId="3"/>
  </si>
  <si>
    <t>⑤その他の取組み</t>
    <phoneticPr fontId="3"/>
  </si>
  <si>
    <t>その他公共交通機関との連携に関する取組みがなされている</t>
    <phoneticPr fontId="3"/>
  </si>
  <si>
    <t>①就学前教育プログラム</t>
    <phoneticPr fontId="3"/>
  </si>
  <si>
    <t>次世代を担う就学前の子どもを対象とした教育プログラムがあり、複数の参加者を対象とし、定期的に開催されているか</t>
    <phoneticPr fontId="3"/>
  </si>
  <si>
    <t>職業実践力育成プログラムがあり、複数の参加者を対象とし、定期的に開催されているか</t>
    <phoneticPr fontId="3"/>
  </si>
  <si>
    <t>③リカレント教育プログラム</t>
    <phoneticPr fontId="3"/>
  </si>
  <si>
    <t>生涯学習を支援するために、リカレント教育プログラムがあり、複数の参加者を対象とし、定期的に開催されているか</t>
    <phoneticPr fontId="3"/>
  </si>
  <si>
    <t>④その他の教育プログラム</t>
    <phoneticPr fontId="3"/>
  </si>
  <si>
    <t>その他教育プログラムが開催されているか</t>
    <phoneticPr fontId="3"/>
  </si>
  <si>
    <r>
      <t>②職業実践</t>
    </r>
    <r>
      <rPr>
        <sz val="10"/>
        <rFont val="Microsoft JhengHei"/>
        <family val="2"/>
        <charset val="136"/>
      </rPr>
      <t>⼒</t>
    </r>
    <r>
      <rPr>
        <sz val="10"/>
        <rFont val="ＭＳ Ｐゴシック"/>
        <family val="3"/>
        <charset val="128"/>
      </rPr>
      <t>育成プログラム</t>
    </r>
    <phoneticPr fontId="3"/>
  </si>
  <si>
    <t>既存の地域産業や地域文化を生かし、新たなビジネスチャンスの創出に向けた取組みがなされている</t>
    <phoneticPr fontId="3"/>
  </si>
  <si>
    <t>地場の素材・資材等を利用した商品・サービスの展開がなされている</t>
    <phoneticPr fontId="3"/>
  </si>
  <si>
    <t>③インキュベーション施設の整備</t>
    <phoneticPr fontId="3"/>
  </si>
  <si>
    <t>ハード面・ソフト面の両面から起業家等を支援する施設が整備されている</t>
    <phoneticPr fontId="3"/>
  </si>
  <si>
    <t>UIJターン支援策を整備し、UIJターン参加者獲得に向けた取組みがなされている</t>
    <phoneticPr fontId="3"/>
  </si>
  <si>
    <t>⑤キャリア教育の推進</t>
    <phoneticPr fontId="3"/>
  </si>
  <si>
    <t>キャリア教育を推進し、次世代を担う人材の確保・育成に向けた取組みがなされている</t>
    <phoneticPr fontId="3"/>
  </si>
  <si>
    <t>⑥その他の取組み</t>
    <phoneticPr fontId="3"/>
  </si>
  <si>
    <t>その他の先進的な取組みがある</t>
    <phoneticPr fontId="3"/>
  </si>
  <si>
    <r>
      <t>①地域産業や地域</t>
    </r>
    <r>
      <rPr>
        <sz val="10"/>
        <rFont val="Microsoft JhengHei"/>
        <family val="2"/>
        <charset val="136"/>
      </rPr>
      <t>⽂</t>
    </r>
    <r>
      <rPr>
        <sz val="10"/>
        <rFont val="ＭＳ Ｐゴシック"/>
        <family val="3"/>
        <charset val="128"/>
      </rPr>
      <t>化を生かした新たなビジネスチャンスの創出</t>
    </r>
    <phoneticPr fontId="3"/>
  </si>
  <si>
    <r>
      <t>②地場産材等の活</t>
    </r>
    <r>
      <rPr>
        <sz val="10"/>
        <rFont val="Microsoft JhengHei"/>
        <family val="2"/>
        <charset val="136"/>
      </rPr>
      <t>⽤</t>
    </r>
    <phoneticPr fontId="3"/>
  </si>
  <si>
    <r>
      <t>④UIJターン</t>
    </r>
    <r>
      <rPr>
        <sz val="10"/>
        <rFont val="Microsoft JhengHei"/>
        <family val="2"/>
        <charset val="136"/>
      </rPr>
      <t>⽀</t>
    </r>
    <r>
      <rPr>
        <sz val="10"/>
        <rFont val="ＭＳ Ｐゴシック"/>
        <family val="3"/>
        <charset val="128"/>
      </rPr>
      <t>援策の整備</t>
    </r>
    <phoneticPr fontId="3"/>
  </si>
  <si>
    <t>取組んでいる項目がない</t>
  </si>
  <si>
    <t>取組んでいる項目が１つ</t>
  </si>
  <si>
    <t>取組んでいる項目が２つ以上</t>
  </si>
  <si>
    <t>①企業進出・投資</t>
    <phoneticPr fontId="3"/>
  </si>
  <si>
    <t>地域への企業進出や投資を誘引する組織がある</t>
  </si>
  <si>
    <t>②共同販売・イベント等</t>
    <phoneticPr fontId="3"/>
  </si>
  <si>
    <t>共同販売促進・イベント等を組織的・計画的に実施している</t>
    <phoneticPr fontId="3"/>
  </si>
  <si>
    <t>③地場企業支援</t>
    <phoneticPr fontId="3"/>
  </si>
  <si>
    <t>地場企業等から計画的に購買している</t>
    <phoneticPr fontId="3"/>
  </si>
  <si>
    <t>④地域との共同事業</t>
    <phoneticPr fontId="3"/>
  </si>
  <si>
    <t>地域との共同事業を実施している</t>
    <phoneticPr fontId="3"/>
  </si>
  <si>
    <t>⑤地域運営</t>
    <phoneticPr fontId="3"/>
  </si>
  <si>
    <t>地域運営の財政基盤確立を意図してファイナンス等の事業スキームを設定している</t>
    <phoneticPr fontId="3"/>
  </si>
  <si>
    <t>取組んでいる項目が６つ以上</t>
  </si>
  <si>
    <t>まちなかへ多様な人を集める取組みをしている</t>
    <phoneticPr fontId="3"/>
  </si>
  <si>
    <t>官民のパブリックな空間をウォーカブルな人中心の空間にする取組みをしている</t>
    <phoneticPr fontId="3"/>
  </si>
  <si>
    <t>量に加え、交流・滞在などの活動の質も重視する取組みをしている</t>
    <phoneticPr fontId="3"/>
  </si>
  <si>
    <t>官か民かでなく、中間領域（空間、組織）を活用する取組みをしている</t>
    <phoneticPr fontId="3"/>
  </si>
  <si>
    <t>仮設・暫定利用、実験などLQCアプローチに力を込める取組みをしている</t>
    <phoneticPr fontId="3"/>
  </si>
  <si>
    <t>完成・成熟を求めず、育成・更新を続ける取組みをしている</t>
    <phoneticPr fontId="3"/>
  </si>
  <si>
    <t>⑦</t>
    <phoneticPr fontId="3"/>
  </si>
  <si>
    <t>多様性を共存させる取組みをしている</t>
    <phoneticPr fontId="3"/>
  </si>
  <si>
    <t>⑧</t>
    <phoneticPr fontId="3"/>
  </si>
  <si>
    <t>場所性や界隈に根差し、本物のオンリーワンが生まれる取組みをしている</t>
    <phoneticPr fontId="3"/>
  </si>
  <si>
    <t xml:space="preserve"> 経済基盤に関する取組みがある（スマート化例：3D都市モデル、ダイナミックマップ、データ利活用型まちづくり、オンデマンド交通、自動運転車、MaaSアプリ、交通データ収集、交通情報提供、カーシェアリング、パーソナルモビリティ等新交通、貨客混載、ドローン利活用、配送ロボット　など）</t>
    <phoneticPr fontId="3"/>
  </si>
  <si>
    <t xml:space="preserve">② </t>
    <phoneticPr fontId="3"/>
  </si>
  <si>
    <t>ヒューマンキャピタルに関する取組みがある（スマート化例：人材育成教育　など）</t>
    <phoneticPr fontId="3"/>
  </si>
  <si>
    <t xml:space="preserve"> 活性化方策に関する取組みがある（スマート化例：観光移動最適化、キャッシュレス、観光レコメンド、デジタルクーポン、エリアマーケティング、地域アプリ、地域通貨　など）</t>
    <phoneticPr fontId="3"/>
  </si>
  <si>
    <t xml:space="preserve"> その他のICTやデータを活用した先進的な取組みがある</t>
    <phoneticPr fontId="3"/>
  </si>
  <si>
    <t>①エネルギー使用量監視システムの導入</t>
    <phoneticPr fontId="3"/>
  </si>
  <si>
    <t>街区全体のエネルギー使用量の状態監視を行うことができるシステムを導入している。</t>
    <phoneticPr fontId="3"/>
  </si>
  <si>
    <t>②エネルギー需要予測</t>
    <phoneticPr fontId="3"/>
  </si>
  <si>
    <t>街区のエネルギー需要予測を実施している。</t>
    <phoneticPr fontId="3"/>
  </si>
  <si>
    <t>③エネルギー最適制御</t>
    <phoneticPr fontId="3"/>
  </si>
  <si>
    <t>②で予測した需要を活用した熱源機や空調機等の最適制御を行っている。</t>
    <phoneticPr fontId="3"/>
  </si>
  <si>
    <t>④エネルギーのピークシフト機能の導入</t>
    <phoneticPr fontId="3"/>
  </si>
  <si>
    <t>蓄熱槽や蓄電池等のエネルギー貯蔵設備や、燃料の異なる熱源機等を導入し、電気や熱のピーク負荷をシフトさせることでエネルギー会社からの要請に柔軟に対応する仕組みを構築している（デマンドレスポンス等）。</t>
    <phoneticPr fontId="3"/>
  </si>
  <si>
    <t>その他の先進的な取組みや事業スキームがある。</t>
    <phoneticPr fontId="3"/>
  </si>
  <si>
    <t>①エネルギー供給設備の更新・増設スペース確保</t>
    <phoneticPr fontId="3"/>
  </si>
  <si>
    <t>エネルギー供給設備更新時の更新・増設用スペースを設けている。</t>
    <phoneticPr fontId="3"/>
  </si>
  <si>
    <t>②エネルギー供給設備更新時の搬入ルートの確保</t>
    <phoneticPr fontId="3"/>
  </si>
  <si>
    <t>エネルギー供給設備更新時の余裕のある搬入ルートの確保を行っている。</t>
    <phoneticPr fontId="3"/>
  </si>
  <si>
    <t>③エネルギー供給設備更新時のバックアップ体制</t>
    <phoneticPr fontId="3"/>
  </si>
  <si>
    <t>エネルギー供給設備更新時に、バックアップでエネルギー供給が継続できるようになっている。</t>
    <phoneticPr fontId="3"/>
  </si>
  <si>
    <t>④熱導管・自営線</t>
    <phoneticPr fontId="3"/>
  </si>
  <si>
    <t>更新期間が長い配管・配線材料が選択され、更新・拡張延長可能なスペースを設けている。</t>
    <phoneticPr fontId="3"/>
  </si>
  <si>
    <t>⑤共同溝</t>
    <phoneticPr fontId="3"/>
  </si>
  <si>
    <t>更新もしくは拡張のために必要なスペースを有する共同溝がある。</t>
    <phoneticPr fontId="3"/>
  </si>
  <si>
    <t>水栓類の節水を行っている（節水コマ、定流量弁、節水バルブ、泡末水栓等）</t>
    <phoneticPr fontId="3"/>
  </si>
  <si>
    <t>節水型便器を採用している（大便器は6L/回程度、自動洗浄）</t>
    <phoneticPr fontId="3"/>
  </si>
  <si>
    <t>節湯器具を採用している（節水シャワーヘッド、クリックシャワー、など）</t>
    <phoneticPr fontId="3"/>
  </si>
  <si>
    <t>食器洗浄機を設置し節水を図っている</t>
    <phoneticPr fontId="3"/>
  </si>
  <si>
    <t>棟全体で雨水利用を採用している</t>
    <phoneticPr fontId="3"/>
  </si>
  <si>
    <t>2）街区内の浸透面積に
　　よって評価</t>
  </si>
  <si>
    <t>1) 調整池/遊水池/雨水貯留槽等の容量を評価</t>
    <phoneticPr fontId="3"/>
  </si>
  <si>
    <t>2) 浸透面積による評価</t>
    <phoneticPr fontId="3"/>
  </si>
  <si>
    <t>利用なし</t>
    <rPh sb="0" eb="2">
      <t>リヨウ</t>
    </rPh>
    <phoneticPr fontId="3"/>
  </si>
  <si>
    <r>
      <t xml:space="preserve">3.3.2 </t>
    </r>
    <r>
      <rPr>
        <b/>
        <sz val="12"/>
        <color rgb="FF000000"/>
        <rFont val="Yu Gothic"/>
        <family val="2"/>
        <charset val="128"/>
      </rPr>
      <t>対象区域</t>
    </r>
    <r>
      <rPr>
        <b/>
        <sz val="12"/>
        <color theme="1"/>
        <rFont val="ＭＳ Ｐゴシック"/>
        <family val="3"/>
        <charset val="128"/>
      </rPr>
      <t>外に対する大気汚染の防止</t>
    </r>
    <rPh sb="6" eb="8">
      <t>タイショウ</t>
    </rPh>
    <rPh sb="8" eb="10">
      <t>クイキ</t>
    </rPh>
    <phoneticPr fontId="3"/>
  </si>
  <si>
    <t>①植物による大気浄化</t>
    <phoneticPr fontId="3"/>
  </si>
  <si>
    <t>対象区域に対する緑化率20％以上</t>
    <phoneticPr fontId="3"/>
  </si>
  <si>
    <t>②大気浄化に適した樹木の採用　</t>
    <phoneticPr fontId="3"/>
  </si>
  <si>
    <t>一部（10％以上）で使用している</t>
    <phoneticPr fontId="3"/>
  </si>
  <si>
    <t>①発生源対策</t>
    <phoneticPr fontId="3"/>
  </si>
  <si>
    <t>悪臭発生源における対策を行っている</t>
    <phoneticPr fontId="3"/>
  </si>
  <si>
    <t xml:space="preserve">②悪臭発生源となる場所の配慮	</t>
    <phoneticPr fontId="3"/>
  </si>
  <si>
    <t>悪臭発生源の設置場所について配慮をしている</t>
    <phoneticPr fontId="3"/>
  </si>
  <si>
    <t>⑨</t>
    <phoneticPr fontId="3"/>
  </si>
  <si>
    <t>⑩</t>
    <phoneticPr fontId="3"/>
  </si>
  <si>
    <t>⑪</t>
    <phoneticPr fontId="3"/>
  </si>
  <si>
    <t>⑫</t>
    <phoneticPr fontId="3"/>
  </si>
  <si>
    <t>その他の節水を行っている（環境配慮概要欄に明記要）</t>
    <rPh sb="13" eb="15">
      <t>カンキョウ</t>
    </rPh>
    <rPh sb="15" eb="17">
      <t>ハイリョ</t>
    </rPh>
    <rPh sb="17" eb="19">
      <t>ガイヨウ</t>
    </rPh>
    <rPh sb="19" eb="20">
      <t>ラン</t>
    </rPh>
    <phoneticPr fontId="3"/>
  </si>
  <si>
    <t>対象外</t>
    <rPh sb="0" eb="3">
      <t>タイショウガイ</t>
    </rPh>
    <phoneticPr fontId="3"/>
  </si>
  <si>
    <t>緑陰を形成する緑など、日射を遮る取組みを適切に配置している</t>
    <phoneticPr fontId="3"/>
  </si>
  <si>
    <t>対象外の選択→</t>
    <rPh sb="0" eb="3">
      <t>タイショウガイ</t>
    </rPh>
    <rPh sb="4" eb="6">
      <t>センタク</t>
    </rPh>
    <phoneticPr fontId="3"/>
  </si>
  <si>
    <t>Q1.2.3.　都市景観</t>
    <rPh sb="8" eb="10">
      <t>トシ</t>
    </rPh>
    <phoneticPr fontId="3"/>
  </si>
  <si>
    <r>
      <t xml:space="preserve">2.3.2.3 </t>
    </r>
    <r>
      <rPr>
        <b/>
        <sz val="10"/>
        <rFont val="ＭＳ ゴシック"/>
        <family val="3"/>
        <charset val="128"/>
      </rPr>
      <t>食品系のリサイクル・廃棄物削減</t>
    </r>
    <phoneticPr fontId="3"/>
  </si>
  <si>
    <r>
      <t xml:space="preserve">3.3.2.3 </t>
    </r>
    <r>
      <rPr>
        <b/>
        <sz val="10"/>
        <rFont val="ＭＳ Ｐゴシック"/>
        <family val="3"/>
        <charset val="128"/>
      </rPr>
      <t>大気浄化に対する取組み</t>
    </r>
    <phoneticPr fontId="3"/>
  </si>
  <si>
    <r>
      <t xml:space="preserve">3.3.3 </t>
    </r>
    <r>
      <rPr>
        <b/>
        <sz val="10"/>
        <rFont val="ＭＳ Ｐゴシック"/>
        <family val="3"/>
        <charset val="128"/>
      </rPr>
      <t>対象区域外に対する騒音・振動・悪臭の防止</t>
    </r>
    <rPh sb="6" eb="8">
      <t>タイショウ</t>
    </rPh>
    <rPh sb="8" eb="10">
      <t>クイキ</t>
    </rPh>
    <phoneticPr fontId="3"/>
  </si>
  <si>
    <r>
      <t xml:space="preserve">1.2.3 </t>
    </r>
    <r>
      <rPr>
        <b/>
        <sz val="12"/>
        <color indexed="8"/>
        <rFont val="ＭＳ Ｐゴシック"/>
        <family val="3"/>
        <charset val="128"/>
      </rPr>
      <t>都市景観</t>
    </r>
    <rPh sb="6" eb="8">
      <t>トシ</t>
    </rPh>
    <rPh sb="8" eb="10">
      <t>ケイカン</t>
    </rPh>
    <phoneticPr fontId="3"/>
  </si>
  <si>
    <r>
      <t xml:space="preserve">2.1 </t>
    </r>
    <r>
      <rPr>
        <b/>
        <sz val="12"/>
        <color indexed="8"/>
        <rFont val="ＭＳ Ｐゴシック"/>
        <family val="3"/>
        <charset val="128"/>
      </rPr>
      <t>ガバナンス</t>
    </r>
    <phoneticPr fontId="3"/>
  </si>
  <si>
    <r>
      <t xml:space="preserve">2.1.2.1 </t>
    </r>
    <r>
      <rPr>
        <b/>
        <sz val="10"/>
        <rFont val="ＭＳ Ｐゴシック"/>
        <family val="3"/>
        <charset val="128"/>
      </rPr>
      <t>運営・組織体制</t>
    </r>
    <phoneticPr fontId="3"/>
  </si>
  <si>
    <r>
      <t xml:space="preserve">2.1.2.2 </t>
    </r>
    <r>
      <rPr>
        <b/>
        <sz val="10"/>
        <rFont val="ＭＳ Ｐゴシック"/>
        <family val="3"/>
        <charset val="128"/>
      </rPr>
      <t>資金力</t>
    </r>
    <phoneticPr fontId="3"/>
  </si>
  <si>
    <r>
      <t xml:space="preserve">2.1.2.3 </t>
    </r>
    <r>
      <rPr>
        <b/>
        <sz val="10"/>
        <rFont val="ＭＳ Ｐゴシック"/>
        <family val="3"/>
        <charset val="128"/>
      </rPr>
      <t>維持管理</t>
    </r>
    <phoneticPr fontId="3"/>
  </si>
  <si>
    <r>
      <rPr>
        <b/>
        <sz val="10"/>
        <rFont val="ＭＳ Ｐゴシック"/>
        <family val="3"/>
        <charset val="128"/>
      </rPr>
      <t>１</t>
    </r>
    <r>
      <rPr>
        <b/>
        <sz val="10"/>
        <rFont val="Arial"/>
        <family val="2"/>
      </rPr>
      <t xml:space="preserve">) </t>
    </r>
    <r>
      <rPr>
        <b/>
        <sz val="10"/>
        <rFont val="ＭＳ Ｐゴシック"/>
        <family val="3"/>
        <charset val="128"/>
      </rPr>
      <t>街区施設等の維持管理</t>
    </r>
    <phoneticPr fontId="3"/>
  </si>
  <si>
    <r>
      <t xml:space="preserve">2) </t>
    </r>
    <r>
      <rPr>
        <b/>
        <sz val="10"/>
        <rFont val="ＭＳ ゴシック"/>
        <family val="3"/>
        <charset val="128"/>
      </rPr>
      <t>グリーンインフラの維持管理</t>
    </r>
    <phoneticPr fontId="3"/>
  </si>
  <si>
    <r>
      <t xml:space="preserve">2.2 </t>
    </r>
    <r>
      <rPr>
        <b/>
        <sz val="12"/>
        <color indexed="8"/>
        <rFont val="ＭＳ Ｐゴシック"/>
        <family val="3"/>
        <charset val="128"/>
      </rPr>
      <t>生活利便</t>
    </r>
    <phoneticPr fontId="3"/>
  </si>
  <si>
    <r>
      <t xml:space="preserve">2.2.1 </t>
    </r>
    <r>
      <rPr>
        <b/>
        <sz val="12"/>
        <color indexed="8"/>
        <rFont val="ＭＳ Ｐゴシック"/>
        <family val="3"/>
        <charset val="128"/>
      </rPr>
      <t>商業施設</t>
    </r>
    <phoneticPr fontId="3"/>
  </si>
  <si>
    <r>
      <t xml:space="preserve">2.2.2 </t>
    </r>
    <r>
      <rPr>
        <b/>
        <sz val="12"/>
        <rFont val="ＭＳ Ｐゴシック"/>
        <family val="3"/>
        <charset val="128"/>
      </rPr>
      <t>公共交通施設</t>
    </r>
    <phoneticPr fontId="3"/>
  </si>
  <si>
    <r>
      <t xml:space="preserve">2.2.3 </t>
    </r>
    <r>
      <rPr>
        <b/>
        <sz val="12"/>
        <rFont val="ＭＳ Ｐゴシック"/>
        <family val="3"/>
        <charset val="128"/>
      </rPr>
      <t>教育施設</t>
    </r>
    <phoneticPr fontId="3"/>
  </si>
  <si>
    <r>
      <t xml:space="preserve">2.2.4 </t>
    </r>
    <r>
      <rPr>
        <b/>
        <sz val="12"/>
        <rFont val="ＭＳ Ｐゴシック"/>
        <family val="3"/>
        <charset val="128"/>
      </rPr>
      <t>行政施設</t>
    </r>
    <phoneticPr fontId="3"/>
  </si>
  <si>
    <r>
      <t xml:space="preserve">2.3 </t>
    </r>
    <r>
      <rPr>
        <b/>
        <sz val="12"/>
        <color indexed="8"/>
        <rFont val="ＭＳ Ｐゴシック"/>
        <family val="3"/>
        <charset val="128"/>
      </rPr>
      <t>健康福祉</t>
    </r>
    <phoneticPr fontId="3"/>
  </si>
  <si>
    <r>
      <t xml:space="preserve">2.3.1 </t>
    </r>
    <r>
      <rPr>
        <b/>
        <sz val="12"/>
        <color indexed="8"/>
        <rFont val="ＭＳ Ｐゴシック"/>
        <family val="3"/>
        <charset val="128"/>
      </rPr>
      <t>健康増進施設</t>
    </r>
    <phoneticPr fontId="3"/>
  </si>
  <si>
    <r>
      <t xml:space="preserve">2.3.2 </t>
    </r>
    <r>
      <rPr>
        <b/>
        <sz val="12"/>
        <rFont val="ＭＳ Ｐゴシック"/>
        <family val="3"/>
        <charset val="128"/>
      </rPr>
      <t>福祉施設</t>
    </r>
    <phoneticPr fontId="3"/>
  </si>
  <si>
    <r>
      <t xml:space="preserve">2.3.3 </t>
    </r>
    <r>
      <rPr>
        <b/>
        <sz val="12"/>
        <rFont val="ＭＳ Ｐゴシック"/>
        <family val="3"/>
        <charset val="128"/>
      </rPr>
      <t>医療施設</t>
    </r>
    <phoneticPr fontId="3"/>
  </si>
  <si>
    <r>
      <t xml:space="preserve">2.3.4 </t>
    </r>
    <r>
      <rPr>
        <b/>
        <sz val="12"/>
        <rFont val="ＭＳ Ｐゴシック"/>
        <family val="3"/>
        <charset val="128"/>
      </rPr>
      <t>コミュニティ施設</t>
    </r>
    <phoneticPr fontId="3"/>
  </si>
  <si>
    <r>
      <t xml:space="preserve">2.4 </t>
    </r>
    <r>
      <rPr>
        <b/>
        <sz val="12"/>
        <color indexed="8"/>
        <rFont val="ＭＳ Ｐゴシック"/>
        <family val="3"/>
        <charset val="128"/>
      </rPr>
      <t>安全安心</t>
    </r>
    <phoneticPr fontId="3"/>
  </si>
  <si>
    <r>
      <t xml:space="preserve">2.4.3 </t>
    </r>
    <r>
      <rPr>
        <b/>
        <sz val="12"/>
        <rFont val="ＭＳ Ｐゴシック"/>
        <family val="3"/>
        <charset val="128"/>
      </rPr>
      <t>交通安全</t>
    </r>
    <phoneticPr fontId="3"/>
  </si>
  <si>
    <r>
      <t xml:space="preserve">2.4.4 </t>
    </r>
    <r>
      <rPr>
        <b/>
        <sz val="12"/>
        <rFont val="ＭＳ Ｐゴシック"/>
        <family val="3"/>
        <charset val="128"/>
      </rPr>
      <t>防犯</t>
    </r>
    <phoneticPr fontId="3"/>
  </si>
  <si>
    <r>
      <t xml:space="preserve">2.5 </t>
    </r>
    <r>
      <rPr>
        <b/>
        <sz val="12"/>
        <color indexed="8"/>
        <rFont val="ＭＳ Ｐゴシック"/>
        <family val="3"/>
        <charset val="128"/>
      </rPr>
      <t>包摂性</t>
    </r>
    <rPh sb="4" eb="6">
      <t>ホウセツ</t>
    </rPh>
    <rPh sb="6" eb="7">
      <t>セイ</t>
    </rPh>
    <phoneticPr fontId="3"/>
  </si>
  <si>
    <r>
      <t xml:space="preserve">2.5.1 </t>
    </r>
    <r>
      <rPr>
        <b/>
        <sz val="12"/>
        <rFont val="ＭＳ Ｐゴシック"/>
        <family val="3"/>
        <charset val="128"/>
      </rPr>
      <t>地域の歴史・文化との融和</t>
    </r>
    <rPh sb="6" eb="8">
      <t>チイキ</t>
    </rPh>
    <rPh sb="9" eb="11">
      <t>レキシ</t>
    </rPh>
    <rPh sb="12" eb="14">
      <t>ブンカ</t>
    </rPh>
    <rPh sb="16" eb="18">
      <t>ユウワ</t>
    </rPh>
    <phoneticPr fontId="3"/>
  </si>
  <si>
    <r>
      <t xml:space="preserve">2.5.2 </t>
    </r>
    <r>
      <rPr>
        <b/>
        <sz val="12"/>
        <rFont val="ＭＳ Ｐゴシック"/>
        <family val="3"/>
        <charset val="128"/>
      </rPr>
      <t>多様な住宅の供給</t>
    </r>
    <rPh sb="6" eb="8">
      <t>タヨウ</t>
    </rPh>
    <rPh sb="9" eb="11">
      <t>ジュウタク</t>
    </rPh>
    <rPh sb="12" eb="14">
      <t>キョウキュウ</t>
    </rPh>
    <phoneticPr fontId="3"/>
  </si>
  <si>
    <r>
      <t xml:space="preserve">2.5.3 </t>
    </r>
    <r>
      <rPr>
        <b/>
        <sz val="12"/>
        <rFont val="ＭＳ Ｐゴシック"/>
        <family val="3"/>
        <charset val="128"/>
      </rPr>
      <t>ユニバーサルデザイン</t>
    </r>
    <phoneticPr fontId="3"/>
  </si>
  <si>
    <r>
      <t xml:space="preserve">2.6 </t>
    </r>
    <r>
      <rPr>
        <b/>
        <sz val="12"/>
        <rFont val="ＭＳ Ｐゴシック"/>
        <family val="3"/>
        <charset val="128"/>
      </rPr>
      <t>社会性能に関するスマート化</t>
    </r>
    <phoneticPr fontId="3"/>
  </si>
  <si>
    <r>
      <t xml:space="preserve">3.1 </t>
    </r>
    <r>
      <rPr>
        <b/>
        <sz val="12"/>
        <color indexed="8"/>
        <rFont val="ＭＳ Ｐゴシック"/>
        <family val="3"/>
        <charset val="128"/>
      </rPr>
      <t>経済基盤</t>
    </r>
    <rPh sb="4" eb="6">
      <t>ケイザイ</t>
    </rPh>
    <rPh sb="6" eb="8">
      <t>キバン</t>
    </rPh>
    <phoneticPr fontId="3"/>
  </si>
  <si>
    <r>
      <t xml:space="preserve">3.1.1 </t>
    </r>
    <r>
      <rPr>
        <b/>
        <sz val="12"/>
        <color indexed="8"/>
        <rFont val="ＭＳ Ｐゴシック"/>
        <family val="3"/>
        <charset val="128"/>
      </rPr>
      <t>都市構造</t>
    </r>
    <rPh sb="6" eb="8">
      <t>トシ</t>
    </rPh>
    <rPh sb="8" eb="10">
      <t>コウゾウ</t>
    </rPh>
    <phoneticPr fontId="3"/>
  </si>
  <si>
    <r>
      <t xml:space="preserve">3.1.1.1 </t>
    </r>
    <r>
      <rPr>
        <b/>
        <sz val="10"/>
        <rFont val="ＭＳ Ｐゴシック"/>
        <family val="3"/>
        <charset val="128"/>
      </rPr>
      <t>周辺地域への貢献</t>
    </r>
    <rPh sb="8" eb="10">
      <t>シュウヘン</t>
    </rPh>
    <rPh sb="10" eb="12">
      <t>チイキ</t>
    </rPh>
    <rPh sb="14" eb="16">
      <t>コウケン</t>
    </rPh>
    <phoneticPr fontId="3"/>
  </si>
  <si>
    <r>
      <t xml:space="preserve">3.1.1.2 </t>
    </r>
    <r>
      <rPr>
        <b/>
        <sz val="10"/>
        <rFont val="ＭＳ Ｐゴシック"/>
        <family val="3"/>
        <charset val="128"/>
      </rPr>
      <t>スマートロケーション</t>
    </r>
    <phoneticPr fontId="3"/>
  </si>
  <si>
    <r>
      <t xml:space="preserve">3.1.1.3 </t>
    </r>
    <r>
      <rPr>
        <b/>
        <sz val="10"/>
        <rFont val="ＭＳ Ｐゴシック"/>
        <family val="3"/>
        <charset val="128"/>
      </rPr>
      <t>適正な開発規模</t>
    </r>
    <phoneticPr fontId="3"/>
  </si>
  <si>
    <r>
      <t xml:space="preserve">3.1.2 </t>
    </r>
    <r>
      <rPr>
        <b/>
        <sz val="12"/>
        <color indexed="8"/>
        <rFont val="ＭＳ Ｐゴシック"/>
        <family val="3"/>
        <charset val="128"/>
      </rPr>
      <t>交通インフラ</t>
    </r>
    <rPh sb="6" eb="8">
      <t>コウツウ</t>
    </rPh>
    <phoneticPr fontId="3"/>
  </si>
  <si>
    <r>
      <t xml:space="preserve">3.1.2.1 </t>
    </r>
    <r>
      <rPr>
        <b/>
        <sz val="10"/>
        <rFont val="ＭＳ Ｐゴシック"/>
        <family val="3"/>
        <charset val="128"/>
      </rPr>
      <t>交通施設整備</t>
    </r>
    <phoneticPr fontId="3"/>
  </si>
  <si>
    <r>
      <t xml:space="preserve">3.1.2.2 </t>
    </r>
    <r>
      <rPr>
        <b/>
        <sz val="10"/>
        <color theme="1"/>
        <rFont val="ＭＳ Ｐゴシック"/>
        <family val="3"/>
        <charset val="128"/>
      </rPr>
      <t>公共交通指向型開発</t>
    </r>
    <phoneticPr fontId="3"/>
  </si>
  <si>
    <r>
      <t xml:space="preserve">3.1.2.3 </t>
    </r>
    <r>
      <rPr>
        <b/>
        <sz val="10"/>
        <rFont val="ＭＳ Ｐゴシック"/>
        <family val="3"/>
        <charset val="128"/>
      </rPr>
      <t>モビリティサービス</t>
    </r>
    <phoneticPr fontId="3"/>
  </si>
  <si>
    <r>
      <t xml:space="preserve">3.1.2.4 </t>
    </r>
    <r>
      <rPr>
        <b/>
        <sz val="10"/>
        <rFont val="ＭＳ Ｐゴシック"/>
        <family val="3"/>
        <charset val="128"/>
      </rPr>
      <t>物流システム</t>
    </r>
    <rPh sb="8" eb="10">
      <t>ブツリュウ</t>
    </rPh>
    <phoneticPr fontId="3"/>
  </si>
  <si>
    <r>
      <t xml:space="preserve">3.2 </t>
    </r>
    <r>
      <rPr>
        <b/>
        <sz val="12"/>
        <color indexed="8"/>
        <rFont val="ＭＳ Ｐゴシック"/>
        <family val="3"/>
        <charset val="128"/>
      </rPr>
      <t>ヒューマンキャピタル</t>
    </r>
    <phoneticPr fontId="3"/>
  </si>
  <si>
    <r>
      <t xml:space="preserve">3.2.1 </t>
    </r>
    <r>
      <rPr>
        <b/>
        <sz val="12"/>
        <color indexed="8"/>
        <rFont val="ＭＳ Ｐゴシック"/>
        <family val="3"/>
        <charset val="128"/>
      </rPr>
      <t>人口</t>
    </r>
    <phoneticPr fontId="3"/>
  </si>
  <si>
    <r>
      <t xml:space="preserve">3.2.1.1 </t>
    </r>
    <r>
      <rPr>
        <b/>
        <sz val="10"/>
        <rFont val="ＭＳ Ｐゴシック"/>
        <family val="3"/>
        <charset val="128"/>
      </rPr>
      <t>常住人口（夜間人口）</t>
    </r>
    <phoneticPr fontId="3"/>
  </si>
  <si>
    <r>
      <t xml:space="preserve">3.2.1.2 </t>
    </r>
    <r>
      <rPr>
        <b/>
        <sz val="10"/>
        <rFont val="ＭＳ Ｐゴシック"/>
        <family val="3"/>
        <charset val="128"/>
      </rPr>
      <t>滞在人口（昼間人口）</t>
    </r>
    <phoneticPr fontId="3"/>
  </si>
  <si>
    <r>
      <t xml:space="preserve">3.2.2 </t>
    </r>
    <r>
      <rPr>
        <b/>
        <sz val="12"/>
        <color indexed="8"/>
        <rFont val="ＭＳ Ｐゴシック"/>
        <family val="3"/>
        <charset val="128"/>
      </rPr>
      <t>学習機会</t>
    </r>
    <rPh sb="6" eb="8">
      <t>ガクシュウ</t>
    </rPh>
    <rPh sb="8" eb="10">
      <t>キカイ</t>
    </rPh>
    <phoneticPr fontId="3"/>
  </si>
  <si>
    <r>
      <t xml:space="preserve">3.3 </t>
    </r>
    <r>
      <rPr>
        <b/>
        <sz val="12"/>
        <color indexed="8"/>
        <rFont val="ＭＳ Ｐゴシック"/>
        <family val="3"/>
        <charset val="128"/>
      </rPr>
      <t>活性化方策</t>
    </r>
    <rPh sb="4" eb="7">
      <t>カッセイカ</t>
    </rPh>
    <rPh sb="7" eb="9">
      <t>ホウサク</t>
    </rPh>
    <phoneticPr fontId="3"/>
  </si>
  <si>
    <r>
      <t xml:space="preserve">3.3.1 </t>
    </r>
    <r>
      <rPr>
        <b/>
        <sz val="12"/>
        <rFont val="ＭＳ Ｐゴシック"/>
        <family val="3"/>
        <charset val="128"/>
      </rPr>
      <t>雇用・働く場の創出</t>
    </r>
    <phoneticPr fontId="3"/>
  </si>
  <si>
    <r>
      <t xml:space="preserve">3.3.1.1 </t>
    </r>
    <r>
      <rPr>
        <b/>
        <sz val="10"/>
        <rFont val="ＭＳ Ｐゴシック"/>
        <family val="3"/>
        <charset val="128"/>
      </rPr>
      <t>雇用創出</t>
    </r>
    <phoneticPr fontId="3"/>
  </si>
  <si>
    <r>
      <t xml:space="preserve">3.3.1.2 </t>
    </r>
    <r>
      <rPr>
        <b/>
        <sz val="10"/>
        <rFont val="ＭＳ Ｐゴシック"/>
        <family val="3"/>
        <charset val="128"/>
      </rPr>
      <t>働き方の多様性</t>
    </r>
    <phoneticPr fontId="3"/>
  </si>
  <si>
    <r>
      <t xml:space="preserve">3.3.2 </t>
    </r>
    <r>
      <rPr>
        <b/>
        <sz val="12"/>
        <color indexed="8"/>
        <rFont val="ＭＳ Ｐゴシック"/>
        <family val="3"/>
        <charset val="128"/>
      </rPr>
      <t>地域産業力の強化</t>
    </r>
    <phoneticPr fontId="3"/>
  </si>
  <si>
    <r>
      <t xml:space="preserve">3.3.2.1 </t>
    </r>
    <r>
      <rPr>
        <b/>
        <sz val="10"/>
        <rFont val="ＭＳ ゴシック"/>
        <family val="3"/>
        <charset val="128"/>
      </rPr>
      <t>地域産業の振興</t>
    </r>
    <phoneticPr fontId="3"/>
  </si>
  <si>
    <r>
      <t xml:space="preserve">3.3.2.2 </t>
    </r>
    <r>
      <rPr>
        <b/>
        <sz val="10"/>
        <rFont val="ＭＳ Ｐゴシック"/>
        <family val="3"/>
        <charset val="128"/>
      </rPr>
      <t>魅力的なまちなかの形成</t>
    </r>
    <phoneticPr fontId="3"/>
  </si>
  <si>
    <r>
      <t xml:space="preserve">3.3.3 </t>
    </r>
    <r>
      <rPr>
        <b/>
        <sz val="12"/>
        <color rgb="FF000000"/>
        <rFont val="ＭＳ ゴシック"/>
        <family val="3"/>
        <charset val="128"/>
      </rPr>
      <t>多様な主体の連携</t>
    </r>
    <phoneticPr fontId="3"/>
  </si>
  <si>
    <r>
      <t xml:space="preserve">3.4 </t>
    </r>
    <r>
      <rPr>
        <b/>
        <sz val="12"/>
        <color rgb="FF000000"/>
        <rFont val="ＭＳ ゴシック"/>
        <family val="3"/>
        <charset val="128"/>
      </rPr>
      <t>経済性能に関するスマート化</t>
    </r>
    <phoneticPr fontId="3"/>
  </si>
  <si>
    <r>
      <t xml:space="preserve">1.1 </t>
    </r>
    <r>
      <rPr>
        <b/>
        <sz val="12"/>
        <color indexed="8"/>
        <rFont val="ＭＳ Ｐゴシック"/>
        <family val="3"/>
        <charset val="128"/>
      </rPr>
      <t>都市・街区エネルギーの効率化</t>
    </r>
    <rPh sb="4" eb="6">
      <t>トシ</t>
    </rPh>
    <rPh sb="7" eb="9">
      <t>ガイク</t>
    </rPh>
    <rPh sb="15" eb="17">
      <t>コウリツ</t>
    </rPh>
    <rPh sb="17" eb="18">
      <t>カ</t>
    </rPh>
    <phoneticPr fontId="3"/>
  </si>
  <si>
    <r>
      <t xml:space="preserve">1.2 </t>
    </r>
    <r>
      <rPr>
        <b/>
        <sz val="12"/>
        <rFont val="ＭＳ ゴシック"/>
        <family val="3"/>
        <charset val="128"/>
      </rPr>
      <t>再生可能エネルギーの利用</t>
    </r>
    <phoneticPr fontId="3"/>
  </si>
  <si>
    <r>
      <t xml:space="preserve">1.3 </t>
    </r>
    <r>
      <rPr>
        <b/>
        <sz val="12"/>
        <rFont val="ＭＳ ゴシック"/>
        <family val="3"/>
        <charset val="128"/>
      </rPr>
      <t>未利用エネルギーの利用</t>
    </r>
    <phoneticPr fontId="3"/>
  </si>
  <si>
    <r>
      <t xml:space="preserve">1.4 </t>
    </r>
    <r>
      <rPr>
        <b/>
        <sz val="12"/>
        <color indexed="8"/>
        <rFont val="ＭＳ Ｐゴシック"/>
        <family val="3"/>
        <charset val="128"/>
      </rPr>
      <t>エネルギーマネジメント</t>
    </r>
    <phoneticPr fontId="3"/>
  </si>
  <si>
    <r>
      <t xml:space="preserve">3.2 </t>
    </r>
    <r>
      <rPr>
        <b/>
        <sz val="12"/>
        <color theme="1"/>
        <rFont val="ＭＳ Ｐゴシック"/>
        <family val="3"/>
        <charset val="128"/>
      </rPr>
      <t>交通負荷の削減</t>
    </r>
    <phoneticPr fontId="3"/>
  </si>
  <si>
    <r>
      <t xml:space="preserve">3.2.1 </t>
    </r>
    <r>
      <rPr>
        <b/>
        <sz val="10"/>
        <rFont val="ＭＳ Ｐゴシック"/>
        <family val="3"/>
        <charset val="128"/>
      </rPr>
      <t>交通に関する広域的取組み</t>
    </r>
    <phoneticPr fontId="3"/>
  </si>
  <si>
    <r>
      <t xml:space="preserve">3.2.1.1 </t>
    </r>
    <r>
      <rPr>
        <b/>
        <sz val="10"/>
        <rFont val="ＭＳ Ｐゴシック"/>
        <family val="3"/>
        <charset val="128"/>
      </rPr>
      <t>交通施設整備に関する上位計画との整合</t>
    </r>
    <phoneticPr fontId="3"/>
  </si>
  <si>
    <r>
      <t xml:space="preserve">3.2.1.2 </t>
    </r>
    <r>
      <rPr>
        <b/>
        <sz val="10"/>
        <rFont val="ＭＳ Ｐゴシック"/>
        <family val="3"/>
        <charset val="128"/>
      </rPr>
      <t>交通需要マネジメント等の取組み</t>
    </r>
    <phoneticPr fontId="3"/>
  </si>
  <si>
    <r>
      <t xml:space="preserve">3.2.2 </t>
    </r>
    <r>
      <rPr>
        <b/>
        <sz val="12"/>
        <color rgb="FF000000"/>
        <rFont val="ＭＳ ゴシック"/>
        <family val="3"/>
        <charset val="128"/>
      </rPr>
      <t>自動車交通量に関する配慮</t>
    </r>
    <phoneticPr fontId="3"/>
  </si>
  <si>
    <r>
      <t xml:space="preserve">3.3 </t>
    </r>
    <r>
      <rPr>
        <b/>
        <sz val="12"/>
        <color indexed="8"/>
        <rFont val="ＭＳ Ｐゴシック"/>
        <family val="3"/>
        <charset val="128"/>
      </rPr>
      <t>環境阻害の削減</t>
    </r>
    <phoneticPr fontId="3"/>
  </si>
  <si>
    <r>
      <t xml:space="preserve">3.3.2.1 </t>
    </r>
    <r>
      <rPr>
        <b/>
        <sz val="10"/>
        <rFont val="ＭＳ Ｐゴシック"/>
        <family val="3"/>
        <charset val="128"/>
      </rPr>
      <t>発生源における対策</t>
    </r>
    <phoneticPr fontId="3"/>
  </si>
  <si>
    <r>
      <t xml:space="preserve">3.3.2.2 </t>
    </r>
    <r>
      <rPr>
        <b/>
        <sz val="10"/>
        <rFont val="ＭＳ Ｐゴシック"/>
        <family val="3"/>
        <charset val="128"/>
      </rPr>
      <t>交通手段における対策</t>
    </r>
    <phoneticPr fontId="3"/>
  </si>
  <si>
    <r>
      <t xml:space="preserve">3.3.4 </t>
    </r>
    <r>
      <rPr>
        <b/>
        <sz val="10"/>
        <rFont val="ＭＳ Ｐゴシック"/>
        <family val="2"/>
        <charset val="128"/>
      </rPr>
      <t>対象区域外に対する風害の抑制</t>
    </r>
    <phoneticPr fontId="3"/>
  </si>
  <si>
    <r>
      <t xml:space="preserve">3.3.5 </t>
    </r>
    <r>
      <rPr>
        <b/>
        <sz val="10"/>
        <rFont val="ＭＳ Ｐゴシック"/>
        <family val="2"/>
        <charset val="128"/>
      </rPr>
      <t>対象区域外に対する日照阻害の抑制</t>
    </r>
    <phoneticPr fontId="3"/>
  </si>
  <si>
    <r>
      <t xml:space="preserve">3.3.6 </t>
    </r>
    <r>
      <rPr>
        <b/>
        <sz val="12"/>
        <color rgb="FF000000"/>
        <rFont val="ＭＳ ゴシック"/>
        <family val="3"/>
        <charset val="128"/>
      </rPr>
      <t>対象区域外に対する光害の抑制</t>
    </r>
    <rPh sb="6" eb="8">
      <t>タイショウ</t>
    </rPh>
    <rPh sb="8" eb="10">
      <t>クイキ</t>
    </rPh>
    <phoneticPr fontId="3"/>
  </si>
  <si>
    <r>
      <t xml:space="preserve">2.4.1.2 </t>
    </r>
    <r>
      <rPr>
        <b/>
        <sz val="10"/>
        <rFont val="ＭＳ Ｐゴシック"/>
        <family val="3"/>
        <charset val="128"/>
      </rPr>
      <t>各種インフラの防災性能</t>
    </r>
    <phoneticPr fontId="3"/>
  </si>
  <si>
    <t>■使用マニュアル：</t>
    <rPh sb="1" eb="3">
      <t>ｼﾖｳ</t>
    </rPh>
    <phoneticPr fontId="18" type="noConversion"/>
  </si>
  <si>
    <r>
      <t>1-1</t>
    </r>
    <r>
      <rPr>
        <b/>
        <sz val="12"/>
        <color indexed="9"/>
        <rFont val="ＭＳ Ｐゴシック"/>
        <family val="3"/>
        <charset val="128"/>
      </rPr>
      <t>　街区の概要</t>
    </r>
    <rPh sb="4" eb="6">
      <t>ｶﾞｲｸ</t>
    </rPh>
    <rPh sb="7" eb="9">
      <t>ｶﾞｲﾖｳ</t>
    </rPh>
    <phoneticPr fontId="18" type="noConversion"/>
  </si>
  <si>
    <t>開発名称</t>
    <rPh sb="0" eb="2">
      <t>ｶｲﾊﾂ</t>
    </rPh>
    <rPh sb="2" eb="4">
      <t>ﾒｲｼｮｳ</t>
    </rPh>
    <phoneticPr fontId="18" type="noConversion"/>
  </si>
  <si>
    <t>区域面積</t>
    <rPh sb="0" eb="2">
      <t>ｸｲｷ</t>
    </rPh>
    <rPh sb="2" eb="4">
      <t>ﾒﾝｾｷ</t>
    </rPh>
    <phoneticPr fontId="18" type="noConversion"/>
  </si>
  <si>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ｶﾞｲｸ</t>
    </rPh>
    <phoneticPr fontId="18" type="noConversion"/>
  </si>
  <si>
    <t>★★</t>
    <phoneticPr fontId="3"/>
  </si>
  <si>
    <t>★★★</t>
    <phoneticPr fontId="3"/>
  </si>
  <si>
    <t>★★★★</t>
    <phoneticPr fontId="3"/>
  </si>
  <si>
    <t>コミット表明</t>
    <rPh sb="4" eb="6">
      <t>ヒョウメイ</t>
    </rPh>
    <phoneticPr fontId="3"/>
  </si>
  <si>
    <t>開発段階</t>
    <rPh sb="0" eb="4">
      <t>カイハツダンカイ</t>
    </rPh>
    <phoneticPr fontId="3"/>
  </si>
  <si>
    <t>開発段階
and
運用段階</t>
    <rPh sb="0" eb="4">
      <t>カイハツダンカイ</t>
    </rPh>
    <rPh sb="9" eb="11">
      <t>ウンヨウ</t>
    </rPh>
    <rPh sb="11" eb="13">
      <t>ダンカイ</t>
    </rPh>
    <phoneticPr fontId="3"/>
  </si>
  <si>
    <t>全段階
具体的ｼﾅﾘｵ
公開</t>
    <rPh sb="0" eb="3">
      <t>ゼンダンカイ</t>
    </rPh>
    <rPh sb="4" eb="7">
      <t>グタイテキ</t>
    </rPh>
    <rPh sb="12" eb="14">
      <t>コウカイ</t>
    </rPh>
    <phoneticPr fontId="3"/>
  </si>
  <si>
    <t>部分的把握</t>
    <rPh sb="0" eb="5">
      <t>ブブンテキハアク</t>
    </rPh>
    <phoneticPr fontId="3"/>
  </si>
  <si>
    <t>or</t>
    <phoneticPr fontId="3"/>
  </si>
  <si>
    <t>抑制策実施</t>
    <rPh sb="0" eb="5">
      <t>ヨクセイサクジッシ</t>
    </rPh>
    <phoneticPr fontId="3"/>
  </si>
  <si>
    <t>運用段階</t>
    <rPh sb="0" eb="2">
      <t>ウンヨウ</t>
    </rPh>
    <rPh sb="2" eb="4">
      <t>ダンカイ</t>
    </rPh>
    <phoneticPr fontId="3"/>
  </si>
  <si>
    <r>
      <t>温室効果ガス排出量（単位：kg-CO</t>
    </r>
    <r>
      <rPr>
        <b/>
        <vertAlign val="subscript"/>
        <sz val="10"/>
        <color theme="0"/>
        <rFont val="ＭＳ Ｐゴシック"/>
        <family val="3"/>
        <charset val="128"/>
        <scheme val="minor"/>
      </rPr>
      <t>2</t>
    </r>
    <r>
      <rPr>
        <b/>
        <sz val="10"/>
        <color theme="0"/>
        <rFont val="ＭＳ Ｐゴシック"/>
        <family val="3"/>
        <charset val="128"/>
        <scheme val="minor"/>
      </rPr>
      <t>eq/年㎡）</t>
    </r>
    <rPh sb="0" eb="4">
      <t>オンシツコウカ</t>
    </rPh>
    <rPh sb="6" eb="9">
      <t>ハイシュツリョウ</t>
    </rPh>
    <phoneticPr fontId="3"/>
  </si>
  <si>
    <t>ステージ（TOP5）</t>
    <phoneticPr fontId="3"/>
  </si>
  <si>
    <t>CO2</t>
    <phoneticPr fontId="3"/>
  </si>
  <si>
    <t>CH4</t>
    <phoneticPr fontId="3"/>
  </si>
  <si>
    <t>温室効果ガス排出量の推計範囲</t>
    <rPh sb="0" eb="4">
      <t>オンシツコウカ</t>
    </rPh>
    <rPh sb="6" eb="9">
      <t>ハイシュツリョウ</t>
    </rPh>
    <rPh sb="10" eb="12">
      <t>スイケイ</t>
    </rPh>
    <rPh sb="12" eb="14">
      <t>ハンイ</t>
    </rPh>
    <phoneticPr fontId="3"/>
  </si>
  <si>
    <t>N2O</t>
    <phoneticPr fontId="3"/>
  </si>
  <si>
    <t>その他の温室効果ガス</t>
    <rPh sb="2" eb="3">
      <t>ホカ</t>
    </rPh>
    <rPh sb="4" eb="8">
      <t>オンシツコウカ</t>
    </rPh>
    <phoneticPr fontId="3"/>
  </si>
  <si>
    <t>国内消費支出</t>
    <rPh sb="0" eb="6">
      <t>コクナイショウヒシシュツ</t>
    </rPh>
    <phoneticPr fontId="3"/>
  </si>
  <si>
    <t>国内資本形成</t>
    <rPh sb="0" eb="6">
      <t>コクナイシホンケイセイ</t>
    </rPh>
    <phoneticPr fontId="3"/>
  </si>
  <si>
    <t>海外消費支出</t>
    <rPh sb="0" eb="2">
      <t>カイガイ</t>
    </rPh>
    <rPh sb="2" eb="6">
      <t>ショウヒシシュツ</t>
    </rPh>
    <phoneticPr fontId="3"/>
  </si>
  <si>
    <t>海外資本形成</t>
    <rPh sb="0" eb="2">
      <t>カイガイ</t>
    </rPh>
    <rPh sb="2" eb="6">
      <t>シホンケイセイ</t>
    </rPh>
    <phoneticPr fontId="3"/>
  </si>
  <si>
    <t>建築敷地</t>
    <rPh sb="0" eb="4">
      <t>ケンチクシキチ</t>
    </rPh>
    <phoneticPr fontId="3"/>
  </si>
  <si>
    <t>非建築敷地</t>
    <rPh sb="0" eb="1">
      <t>ヒ</t>
    </rPh>
    <rPh sb="1" eb="3">
      <t>ケンチク</t>
    </rPh>
    <rPh sb="3" eb="5">
      <t>シキチ</t>
    </rPh>
    <phoneticPr fontId="3"/>
  </si>
  <si>
    <t>取組</t>
    <rPh sb="0" eb="2">
      <t>トリクミ</t>
    </rPh>
    <phoneticPr fontId="3"/>
  </si>
  <si>
    <t>温室効果ガス排出量の削減に向けてコミットする旨を表明している</t>
    <phoneticPr fontId="3"/>
  </si>
  <si>
    <t>温室効果ガス排出量を何らかの形で部分的に把握している</t>
  </si>
  <si>
    <t>温室効果ガス排出量を抑制する対策が既に講じられている</t>
  </si>
  <si>
    <t>開発段階における温室効果ガス排出量を推計、把握した上でさらに将来の削減目標を設定している</t>
    <phoneticPr fontId="3"/>
  </si>
  <si>
    <t>運用段階における温室効果ガス排出量を推計、把握した上でさらに将来の削減目標を設定している</t>
    <phoneticPr fontId="3"/>
  </si>
  <si>
    <r>
      <t>3.1</t>
    </r>
    <r>
      <rPr>
        <b/>
        <sz val="12"/>
        <color indexed="8"/>
        <rFont val="ＭＳ Ｐゴシック"/>
        <family val="3"/>
        <charset val="128"/>
      </rPr>
      <t>　地球温暖化への配慮</t>
    </r>
    <rPh sb="4" eb="6">
      <t>チキュウ</t>
    </rPh>
    <rPh sb="6" eb="9">
      <t>オンダンカ</t>
    </rPh>
    <rPh sb="11" eb="13">
      <t>ハイリョ</t>
    </rPh>
    <phoneticPr fontId="3"/>
  </si>
  <si>
    <t>-</t>
  </si>
  <si>
    <t>街区の開発、運用、解体等の各段階における温室効果ガス排出量を推計、
把握した上でさらにカーボンニュートラル達成に向けた具体的な道筋を計画、公開している</t>
    <phoneticPr fontId="3"/>
  </si>
  <si>
    <t>排出量推計の範囲</t>
    <rPh sb="0" eb="3">
      <t>ハイシュツリョウ</t>
    </rPh>
    <rPh sb="3" eb="5">
      <t>スイケイ</t>
    </rPh>
    <rPh sb="6" eb="8">
      <t>ハンイ</t>
    </rPh>
    <phoneticPr fontId="3"/>
  </si>
  <si>
    <r>
      <t xml:space="preserve">Q-1 </t>
    </r>
    <r>
      <rPr>
        <b/>
        <sz val="14"/>
        <color indexed="8"/>
        <rFont val="ＭＳ Ｐゴシック"/>
        <family val="3"/>
        <charset val="128"/>
      </rPr>
      <t>環境</t>
    </r>
    <phoneticPr fontId="3"/>
  </si>
  <si>
    <r>
      <t xml:space="preserve">Q-2 </t>
    </r>
    <r>
      <rPr>
        <b/>
        <sz val="14"/>
        <color indexed="8"/>
        <rFont val="ＭＳ Ｐゴシック"/>
        <family val="3"/>
        <charset val="128"/>
      </rPr>
      <t>社会</t>
    </r>
    <rPh sb="4" eb="6">
      <t>シャカイ</t>
    </rPh>
    <phoneticPr fontId="3"/>
  </si>
  <si>
    <r>
      <t xml:space="preserve">Q-3 </t>
    </r>
    <r>
      <rPr>
        <b/>
        <sz val="14"/>
        <color indexed="8"/>
        <rFont val="ＭＳ Ｐゴシック"/>
        <family val="3"/>
        <charset val="128"/>
      </rPr>
      <t>経済</t>
    </r>
    <rPh sb="4" eb="6">
      <t>ケイザイ</t>
    </rPh>
    <phoneticPr fontId="3"/>
  </si>
  <si>
    <r>
      <t xml:space="preserve">LR-1 </t>
    </r>
    <r>
      <rPr>
        <b/>
        <sz val="14"/>
        <color indexed="8"/>
        <rFont val="ＭＳ Ｐゴシック"/>
        <family val="3"/>
        <charset val="128"/>
      </rPr>
      <t>エネルギー</t>
    </r>
    <phoneticPr fontId="3"/>
  </si>
  <si>
    <t>M マネジメント性能</t>
    <rPh sb="8" eb="10">
      <t>セイノウ</t>
    </rPh>
    <phoneticPr fontId="3"/>
  </si>
  <si>
    <t>S スマート性能</t>
    <rPh sb="6" eb="8">
      <t>セイノウ</t>
    </rPh>
    <phoneticPr fontId="3"/>
  </si>
  <si>
    <r>
      <t>LR</t>
    </r>
    <r>
      <rPr>
        <b/>
        <vertAlign val="subscript"/>
        <sz val="12"/>
        <color rgb="FFFFFFFF"/>
        <rFont val="ＭＳ Ｐゴシック"/>
        <family val="3"/>
        <charset val="128"/>
      </rPr>
      <t>UD</t>
    </r>
    <r>
      <rPr>
        <b/>
        <sz val="12"/>
        <color indexed="9"/>
        <rFont val="ＭＳ Ｐゴシック"/>
        <family val="3"/>
        <charset val="128"/>
      </rPr>
      <t xml:space="preserve"> 街区における環境負荷低減性</t>
    </r>
    <rPh sb="5" eb="7">
      <t>ガイク</t>
    </rPh>
    <rPh sb="11" eb="13">
      <t>カンキョウ</t>
    </rPh>
    <rPh sb="13" eb="15">
      <t>フカ</t>
    </rPh>
    <rPh sb="15" eb="18">
      <t>テイゲンセイ</t>
    </rPh>
    <phoneticPr fontId="3"/>
  </si>
  <si>
    <r>
      <t>Q</t>
    </r>
    <r>
      <rPr>
        <b/>
        <vertAlign val="subscript"/>
        <sz val="12"/>
        <color rgb="FFFFFFFF"/>
        <rFont val="ＭＳ Ｐゴシック"/>
        <family val="3"/>
        <charset val="128"/>
      </rPr>
      <t>UD</t>
    </r>
    <r>
      <rPr>
        <b/>
        <sz val="12"/>
        <color indexed="9"/>
        <rFont val="ＭＳ Ｐゴシック"/>
        <family val="3"/>
        <charset val="128"/>
      </rPr>
      <t xml:space="preserve"> 街区に関わる環境品質</t>
    </r>
    <rPh sb="4" eb="6">
      <t>ガイク</t>
    </rPh>
    <rPh sb="7" eb="8">
      <t>カカ</t>
    </rPh>
    <phoneticPr fontId="3"/>
  </si>
  <si>
    <t>汲み上げをしていない</t>
    <phoneticPr fontId="3"/>
  </si>
  <si>
    <r>
      <t>Q</t>
    </r>
    <r>
      <rPr>
        <b/>
        <i/>
        <sz val="14"/>
        <color indexed="9"/>
        <rFont val="ＭＳ Ｐゴシック"/>
        <family val="3"/>
        <charset val="128"/>
      </rPr>
      <t>のスコア</t>
    </r>
    <r>
      <rPr>
        <b/>
        <i/>
        <sz val="14"/>
        <color indexed="9"/>
        <rFont val="Arial"/>
        <family val="2"/>
      </rPr>
      <t>=</t>
    </r>
    <phoneticPr fontId="3"/>
  </si>
  <si>
    <r>
      <t>LR</t>
    </r>
    <r>
      <rPr>
        <b/>
        <i/>
        <sz val="14"/>
        <color indexed="9"/>
        <rFont val="ＭＳ Ｐゴシック"/>
        <family val="3"/>
        <charset val="128"/>
      </rPr>
      <t>のスコア</t>
    </r>
    <r>
      <rPr>
        <b/>
        <i/>
        <sz val="14"/>
        <color indexed="9"/>
        <rFont val="Arial"/>
        <family val="2"/>
      </rPr>
      <t>=</t>
    </r>
    <phoneticPr fontId="3"/>
  </si>
  <si>
    <r>
      <t xml:space="preserve">Q </t>
    </r>
    <r>
      <rPr>
        <b/>
        <sz val="11"/>
        <color indexed="26"/>
        <rFont val="ＭＳ Ｐゴシック"/>
        <family val="3"/>
        <charset val="128"/>
      </rPr>
      <t>環境品質</t>
    </r>
    <rPh sb="2" eb="4">
      <t>カンキョウ</t>
    </rPh>
    <rPh sb="4" eb="6">
      <t>ヒンシツ</t>
    </rPh>
    <phoneticPr fontId="3"/>
  </si>
  <si>
    <r>
      <t xml:space="preserve">LR </t>
    </r>
    <r>
      <rPr>
        <b/>
        <sz val="11"/>
        <color indexed="42"/>
        <rFont val="ＭＳ Ｐゴシック"/>
        <family val="3"/>
        <charset val="128"/>
      </rPr>
      <t>環境負荷低減性</t>
    </r>
    <rPh sb="3" eb="5">
      <t>カンキョウ</t>
    </rPh>
    <phoneticPr fontId="3"/>
  </si>
  <si>
    <t>5)平19.都土木技術センター年報 C.E.C., TMG 2007, 3．野川流域の長期流出特性の解析, ISSN 1882-2657, 技術調査課 高崎忠勝</t>
    <phoneticPr fontId="3"/>
  </si>
  <si>
    <t>4)給排水衛生設備学　中級編水まわりの実務／紀谷文樹　TOTO出版　P60表-3備考欄「湯沸し」より</t>
    <rPh sb="2" eb="3">
      <t>キュウ</t>
    </rPh>
    <rPh sb="5" eb="7">
      <t>エイセイ</t>
    </rPh>
    <rPh sb="7" eb="9">
      <t>セツビ</t>
    </rPh>
    <rPh sb="9" eb="10">
      <t>ガク</t>
    </rPh>
    <rPh sb="11" eb="13">
      <t>チュウキュウ</t>
    </rPh>
    <rPh sb="13" eb="14">
      <t>ヘン</t>
    </rPh>
    <rPh sb="14" eb="15">
      <t>ミズ</t>
    </rPh>
    <rPh sb="19" eb="21">
      <t>ジツム</t>
    </rPh>
    <rPh sb="22" eb="24">
      <t>キヤ</t>
    </rPh>
    <rPh sb="24" eb="26">
      <t>フミキ</t>
    </rPh>
    <rPh sb="31" eb="33">
      <t>シュッパン</t>
    </rPh>
    <rPh sb="37" eb="38">
      <t>ヒョウ</t>
    </rPh>
    <rPh sb="40" eb="42">
      <t>ビコウ</t>
    </rPh>
    <rPh sb="42" eb="43">
      <t>ラン</t>
    </rPh>
    <rPh sb="44" eb="46">
      <t>ユワカシ</t>
    </rPh>
    <phoneticPr fontId="3"/>
  </si>
  <si>
    <t>3)同上　P35 表2.3.1　社員食堂の下限値を採用　</t>
    <rPh sb="2" eb="4">
      <t>ドウジョウ</t>
    </rPh>
    <rPh sb="16" eb="18">
      <t>シャイン</t>
    </rPh>
    <rPh sb="18" eb="20">
      <t>ショクドウ</t>
    </rPh>
    <rPh sb="21" eb="23">
      <t>カゲン</t>
    </rPh>
    <rPh sb="23" eb="24">
      <t>チ</t>
    </rPh>
    <rPh sb="25" eb="27">
      <t>サイヨウ</t>
    </rPh>
    <phoneticPr fontId="3"/>
  </si>
  <si>
    <t>2)同上　P60 表3.4.26</t>
    <rPh sb="2" eb="4">
      <t>ドウジョウ</t>
    </rPh>
    <rPh sb="9" eb="10">
      <t>ヒョウ</t>
    </rPh>
    <phoneticPr fontId="3"/>
  </si>
  <si>
    <t>「水使用行為を基にした使用水量計算法（新しい設計給水量原単位の提案）」シンポジウム資料　P48、表3.3.2</t>
    <rPh sb="41" eb="43">
      <t>シリョウ</t>
    </rPh>
    <rPh sb="48" eb="49">
      <t>ヒョウ</t>
    </rPh>
    <phoneticPr fontId="3"/>
  </si>
  <si>
    <t>1)（社）空気調和・衛生工学会　給排水衛生設備委員会／設計データ見直し小委員会</t>
    <rPh sb="3" eb="4">
      <t>シャ</t>
    </rPh>
    <rPh sb="5" eb="7">
      <t>クウキ</t>
    </rPh>
    <rPh sb="7" eb="9">
      <t>チョウワ</t>
    </rPh>
    <rPh sb="10" eb="12">
      <t>エイセイ</t>
    </rPh>
    <rPh sb="12" eb="14">
      <t>コウガク</t>
    </rPh>
    <rPh sb="14" eb="15">
      <t>カイ</t>
    </rPh>
    <rPh sb="16" eb="19">
      <t>キュウハイスイ</t>
    </rPh>
    <rPh sb="19" eb="21">
      <t>エイセイ</t>
    </rPh>
    <rPh sb="21" eb="23">
      <t>セツビ</t>
    </rPh>
    <rPh sb="23" eb="26">
      <t>イインカイ</t>
    </rPh>
    <rPh sb="27" eb="29">
      <t>セッケイ</t>
    </rPh>
    <rPh sb="32" eb="34">
      <t>ミナオ</t>
    </rPh>
    <rPh sb="35" eb="36">
      <t>ショウ</t>
    </rPh>
    <rPh sb="36" eb="39">
      <t>イインカイ</t>
    </rPh>
    <phoneticPr fontId="3"/>
  </si>
  <si>
    <t>出典）</t>
    <rPh sb="0" eb="2">
      <t>シュッテン</t>
    </rPh>
    <phoneticPr fontId="3"/>
  </si>
  <si>
    <t>L/㎡・年）</t>
    <rPh sb="4" eb="5">
      <t>ネン</t>
    </rPh>
    <phoneticPr fontId="3"/>
  </si>
  <si>
    <t>(</t>
    <phoneticPr fontId="3"/>
  </si>
  <si>
    <t>L/年</t>
    <rPh sb="2" eb="3">
      <t>ネン</t>
    </rPh>
    <phoneticPr fontId="3"/>
  </si>
  <si>
    <t>⑥：②-⑤</t>
    <phoneticPr fontId="3"/>
  </si>
  <si>
    <t>雑用水（上水補給分）</t>
    <rPh sb="0" eb="3">
      <t>ザツヨウスイ</t>
    </rPh>
    <rPh sb="4" eb="6">
      <t>ジョウスイ</t>
    </rPh>
    <rPh sb="6" eb="8">
      <t>ホキュウ</t>
    </rPh>
    <rPh sb="8" eb="9">
      <t>ブン</t>
    </rPh>
    <phoneticPr fontId="3"/>
  </si>
  <si>
    <t>上水</t>
    <rPh sb="0" eb="2">
      <t>ジョウスイ</t>
    </rPh>
    <phoneticPr fontId="3"/>
  </si>
  <si>
    <t>⑤：④&lt;②が条件</t>
    <rPh sb="6" eb="8">
      <t>ジョウケン</t>
    </rPh>
    <phoneticPr fontId="3"/>
  </si>
  <si>
    <t>上限チェック</t>
    <rPh sb="0" eb="2">
      <t>ジョウゲン</t>
    </rPh>
    <phoneticPr fontId="3"/>
  </si>
  <si>
    <t>(水使用量の合計値に対する割合）</t>
    <rPh sb="1" eb="2">
      <t>ミズ</t>
    </rPh>
    <rPh sb="2" eb="5">
      <t>シヨウリョウ</t>
    </rPh>
    <rPh sb="6" eb="8">
      <t>ゴウケイ</t>
    </rPh>
    <rPh sb="8" eb="9">
      <t>チ</t>
    </rPh>
    <rPh sb="10" eb="11">
      <t>タイ</t>
    </rPh>
    <rPh sb="13" eb="15">
      <t>ワリアイ</t>
    </rPh>
    <phoneticPr fontId="3"/>
  </si>
  <si>
    <t>④=③×%</t>
    <phoneticPr fontId="3"/>
  </si>
  <si>
    <t>再利用量</t>
    <rPh sb="0" eb="3">
      <t>サイリヨウ</t>
    </rPh>
    <rPh sb="3" eb="4">
      <t>リョウ</t>
    </rPh>
    <phoneticPr fontId="3"/>
  </si>
  <si>
    <t>雨水・排水再利用による上水代替率もしくは再利用率</t>
    <rPh sb="13" eb="15">
      <t>ダイタイ</t>
    </rPh>
    <rPh sb="15" eb="16">
      <t>リツ</t>
    </rPh>
    <rPh sb="20" eb="23">
      <t>サイリヨウ</t>
    </rPh>
    <rPh sb="23" eb="24">
      <t>リツ</t>
    </rPh>
    <phoneticPr fontId="3"/>
  </si>
  <si>
    <t>雨水・排水再利用による上水使用量削減</t>
    <rPh sb="13" eb="15">
      <t>シヨウ</t>
    </rPh>
    <phoneticPr fontId="3"/>
  </si>
  <si>
    <t>6)</t>
    <phoneticPr fontId="3"/>
  </si>
  <si>
    <t>L/人・日</t>
    <rPh sb="2" eb="3">
      <t>ヒト</t>
    </rPh>
    <rPh sb="4" eb="5">
      <t>ヒ</t>
    </rPh>
    <phoneticPr fontId="3"/>
  </si>
  <si>
    <t>③=①+②</t>
    <phoneticPr fontId="3"/>
  </si>
  <si>
    <t>5)水使用量集計</t>
    <rPh sb="2" eb="3">
      <t>ミズ</t>
    </rPh>
    <rPh sb="3" eb="5">
      <t>シヨウ</t>
    </rPh>
    <rPh sb="5" eb="6">
      <t>リョウ</t>
    </rPh>
    <rPh sb="6" eb="8">
      <t>シュウケイ</t>
    </rPh>
    <phoneticPr fontId="3"/>
  </si>
  <si>
    <t>日/年＝</t>
    <rPh sb="0" eb="1">
      <t>ヒ</t>
    </rPh>
    <rPh sb="2" eb="3">
      <t>ネン</t>
    </rPh>
    <phoneticPr fontId="3"/>
  </si>
  <si>
    <t>L/日</t>
    <rPh sb="2" eb="3">
      <t>ヒ</t>
    </rPh>
    <phoneticPr fontId="3"/>
  </si>
  <si>
    <t>食＝</t>
    <rPh sb="0" eb="1">
      <t>ショク</t>
    </rPh>
    <phoneticPr fontId="3"/>
  </si>
  <si>
    <t>L/食・日×</t>
    <rPh sb="2" eb="3">
      <t>ショク</t>
    </rPh>
    <rPh sb="4" eb="5">
      <t>ヒ</t>
    </rPh>
    <phoneticPr fontId="3"/>
  </si>
  <si>
    <t>稼動日数</t>
    <rPh sb="0" eb="2">
      <t>カドウ</t>
    </rPh>
    <rPh sb="2" eb="4">
      <t>ニッスウ</t>
    </rPh>
    <phoneticPr fontId="3"/>
  </si>
  <si>
    <t>食数</t>
    <rPh sb="0" eb="1">
      <t>ショク</t>
    </rPh>
    <rPh sb="1" eb="2">
      <t>スウ</t>
    </rPh>
    <phoneticPr fontId="3"/>
  </si>
  <si>
    <t>1食あたりの水量*3)</t>
    <rPh sb="1" eb="2">
      <t>ショク</t>
    </rPh>
    <rPh sb="6" eb="8">
      <t>スイリョウ</t>
    </rPh>
    <phoneticPr fontId="3"/>
  </si>
  <si>
    <t>③食堂</t>
    <rPh sb="1" eb="3">
      <t>ショクドウ</t>
    </rPh>
    <phoneticPr fontId="3"/>
  </si>
  <si>
    <t>小計</t>
    <rPh sb="0" eb="1">
      <t>ショウ</t>
    </rPh>
    <rPh sb="1" eb="2">
      <t>ケイ</t>
    </rPh>
    <phoneticPr fontId="3"/>
  </si>
  <si>
    <t>L/日×</t>
    <rPh sb="2" eb="3">
      <t>ヒ</t>
    </rPh>
    <phoneticPr fontId="3"/>
  </si>
  <si>
    <t>小計</t>
    <rPh sb="0" eb="2">
      <t>ショウケイ</t>
    </rPh>
    <phoneticPr fontId="3"/>
  </si>
  <si>
    <t>回/日＝</t>
    <rPh sb="0" eb="1">
      <t>カイ</t>
    </rPh>
    <rPh sb="2" eb="3">
      <t>ヒ</t>
    </rPh>
    <phoneticPr fontId="3"/>
  </si>
  <si>
    <t>L/回×</t>
    <rPh sb="2" eb="3">
      <t>カイ</t>
    </rPh>
    <phoneticPr fontId="3"/>
  </si>
  <si>
    <t>個×</t>
    <rPh sb="0" eb="1">
      <t>コ</t>
    </rPh>
    <phoneticPr fontId="3"/>
  </si>
  <si>
    <t>洗面器</t>
    <rPh sb="0" eb="3">
      <t>センメンキ</t>
    </rPh>
    <phoneticPr fontId="3"/>
  </si>
  <si>
    <t>雑用水</t>
    <rPh sb="0" eb="3">
      <t>ザツヨウスイ</t>
    </rPh>
    <phoneticPr fontId="3"/>
  </si>
  <si>
    <t>小便器</t>
    <rPh sb="0" eb="3">
      <t>ショウベンキ</t>
    </rPh>
    <phoneticPr fontId="3"/>
  </si>
  <si>
    <t>大便器</t>
    <rPh sb="0" eb="3">
      <t>ダイベンキ</t>
    </rPh>
    <phoneticPr fontId="3"/>
  </si>
  <si>
    <t>洗浄時の回数</t>
    <rPh sb="0" eb="2">
      <t>センジョウ</t>
    </rPh>
    <rPh sb="2" eb="3">
      <t>ジ</t>
    </rPh>
    <rPh sb="4" eb="6">
      <t>カイスウ</t>
    </rPh>
    <phoneticPr fontId="3"/>
  </si>
  <si>
    <t>衛生器具吐水量</t>
    <rPh sb="0" eb="2">
      <t>エイセイ</t>
    </rPh>
    <rPh sb="2" eb="4">
      <t>キグ</t>
    </rPh>
    <rPh sb="4" eb="5">
      <t>ハ</t>
    </rPh>
    <rPh sb="5" eb="7">
      <t>スイリョウ</t>
    </rPh>
    <phoneticPr fontId="3"/>
  </si>
  <si>
    <t>器具数</t>
    <rPh sb="0" eb="2">
      <t>キグ</t>
    </rPh>
    <rPh sb="2" eb="3">
      <t>スウ</t>
    </rPh>
    <phoneticPr fontId="3"/>
  </si>
  <si>
    <t>個</t>
    <rPh sb="0" eb="1">
      <t>コ</t>
    </rPh>
    <phoneticPr fontId="3"/>
  </si>
  <si>
    <t>個/㎡＝</t>
    <rPh sb="0" eb="1">
      <t>コ</t>
    </rPh>
    <phoneticPr fontId="3"/>
  </si>
  <si>
    <t>㎡×</t>
    <phoneticPr fontId="3"/>
  </si>
  <si>
    <t>衛生器具数原単位*2)</t>
    <rPh sb="0" eb="2">
      <t>エイセイ</t>
    </rPh>
    <rPh sb="2" eb="4">
      <t>キグ</t>
    </rPh>
    <rPh sb="4" eb="5">
      <t>スウ</t>
    </rPh>
    <rPh sb="5" eb="8">
      <t>ゲンタンイ</t>
    </rPh>
    <phoneticPr fontId="3"/>
  </si>
  <si>
    <t>延床面積</t>
    <rPh sb="0" eb="2">
      <t>ノベユカ</t>
    </rPh>
    <rPh sb="2" eb="4">
      <t>メンセキ</t>
    </rPh>
    <phoneticPr fontId="3"/>
  </si>
  <si>
    <t>②器具清掃用</t>
    <rPh sb="1" eb="3">
      <t>キグ</t>
    </rPh>
    <rPh sb="3" eb="5">
      <t>セイソウ</t>
    </rPh>
    <rPh sb="5" eb="6">
      <t>ヨウ</t>
    </rPh>
    <phoneticPr fontId="3"/>
  </si>
  <si>
    <t>L/人・日）</t>
    <rPh sb="2" eb="3">
      <t>ニン</t>
    </rPh>
    <rPh sb="4" eb="5">
      <t>ヒ</t>
    </rPh>
    <phoneticPr fontId="3"/>
  </si>
  <si>
    <t>※洗面の使用回数は男子は大+小、女子は大と同じ</t>
    <rPh sb="1" eb="3">
      <t>センメン</t>
    </rPh>
    <rPh sb="4" eb="6">
      <t>シヨウ</t>
    </rPh>
    <rPh sb="6" eb="8">
      <t>カイスウ</t>
    </rPh>
    <rPh sb="9" eb="11">
      <t>ダンシ</t>
    </rPh>
    <rPh sb="12" eb="13">
      <t>ダイ</t>
    </rPh>
    <rPh sb="14" eb="15">
      <t>ショウ</t>
    </rPh>
    <rPh sb="16" eb="18">
      <t>ジョシ</t>
    </rPh>
    <rPh sb="19" eb="20">
      <t>ダイ</t>
    </rPh>
    <rPh sb="21" eb="22">
      <t>オナ</t>
    </rPh>
    <phoneticPr fontId="3"/>
  </si>
  <si>
    <t>L/日（飲用・茶器洗いなど）</t>
    <rPh sb="2" eb="3">
      <t>ヒ</t>
    </rPh>
    <rPh sb="4" eb="6">
      <t>インヨウ</t>
    </rPh>
    <rPh sb="7" eb="9">
      <t>チャキ</t>
    </rPh>
    <rPh sb="9" eb="10">
      <t>アラ</t>
    </rPh>
    <phoneticPr fontId="3"/>
  </si>
  <si>
    <t>人＝</t>
    <rPh sb="0" eb="1">
      <t>ヒト</t>
    </rPh>
    <phoneticPr fontId="3"/>
  </si>
  <si>
    <t>回/日×</t>
    <rPh sb="0" eb="1">
      <t>カイ</t>
    </rPh>
    <rPh sb="2" eb="3">
      <t>ヒ</t>
    </rPh>
    <phoneticPr fontId="3"/>
  </si>
  <si>
    <t>湯沸し*4)</t>
    <rPh sb="0" eb="2">
      <t>ユワカシ</t>
    </rPh>
    <phoneticPr fontId="3"/>
  </si>
  <si>
    <t>女子洗面器</t>
    <rPh sb="0" eb="2">
      <t>ジョシ</t>
    </rPh>
    <rPh sb="2" eb="5">
      <t>センメンキ</t>
    </rPh>
    <phoneticPr fontId="3"/>
  </si>
  <si>
    <t>女子大便器</t>
    <rPh sb="0" eb="2">
      <t>ジョシ</t>
    </rPh>
    <rPh sb="2" eb="5">
      <t>ダイベンキ</t>
    </rPh>
    <phoneticPr fontId="3"/>
  </si>
  <si>
    <t>男子洗面器</t>
    <rPh sb="0" eb="2">
      <t>ダンシ</t>
    </rPh>
    <rPh sb="2" eb="5">
      <t>センメンキ</t>
    </rPh>
    <phoneticPr fontId="3"/>
  </si>
  <si>
    <t>男子小便器</t>
    <rPh sb="0" eb="2">
      <t>ダンシ</t>
    </rPh>
    <rPh sb="2" eb="5">
      <t>ショウベンキ</t>
    </rPh>
    <phoneticPr fontId="3"/>
  </si>
  <si>
    <t>男子大便器</t>
    <rPh sb="0" eb="2">
      <t>ダンシ</t>
    </rPh>
    <rPh sb="2" eb="5">
      <t>ダイベンキ</t>
    </rPh>
    <phoneticPr fontId="3"/>
  </si>
  <si>
    <t>使用人員</t>
    <rPh sb="0" eb="2">
      <t>シヨウ</t>
    </rPh>
    <rPh sb="2" eb="4">
      <t>ジンイン</t>
    </rPh>
    <phoneticPr fontId="3"/>
  </si>
  <si>
    <t>器具使用回数*1)</t>
    <rPh sb="0" eb="2">
      <t>キグ</t>
    </rPh>
    <rPh sb="2" eb="4">
      <t>シヨウ</t>
    </rPh>
    <rPh sb="4" eb="6">
      <t>カイスウ</t>
    </rPh>
    <phoneticPr fontId="3"/>
  </si>
  <si>
    <t>①便所・洗面・湯沸かし</t>
    <rPh sb="1" eb="3">
      <t>ベンジョ</t>
    </rPh>
    <rPh sb="4" eb="6">
      <t>センメン</t>
    </rPh>
    <rPh sb="7" eb="9">
      <t>ユワ</t>
    </rPh>
    <phoneticPr fontId="3"/>
  </si>
  <si>
    <t>水使用量の算定</t>
    <rPh sb="0" eb="1">
      <t>ミズ</t>
    </rPh>
    <rPh sb="1" eb="3">
      <t>シヨウ</t>
    </rPh>
    <rPh sb="3" eb="4">
      <t>リョウ</t>
    </rPh>
    <rPh sb="5" eb="7">
      <t>サンテイ</t>
    </rPh>
    <phoneticPr fontId="3"/>
  </si>
  <si>
    <t>4)</t>
    <phoneticPr fontId="3"/>
  </si>
  <si>
    <t>女子</t>
    <rPh sb="0" eb="2">
      <t>ジョシ</t>
    </rPh>
    <phoneticPr fontId="3"/>
  </si>
  <si>
    <t>男子</t>
    <rPh sb="0" eb="2">
      <t>ダンシ</t>
    </rPh>
    <phoneticPr fontId="3"/>
  </si>
  <si>
    <t>男女比</t>
    <rPh sb="0" eb="2">
      <t>ダンジョ</t>
    </rPh>
    <rPh sb="2" eb="3">
      <t>ヒ</t>
    </rPh>
    <phoneticPr fontId="3"/>
  </si>
  <si>
    <t>3)</t>
    <phoneticPr fontId="3"/>
  </si>
  <si>
    <t>2)</t>
    <phoneticPr fontId="3"/>
  </si>
  <si>
    <t>収容人員</t>
    <rPh sb="0" eb="2">
      <t>シュウヨウ</t>
    </rPh>
    <rPh sb="2" eb="4">
      <t>ジンイン</t>
    </rPh>
    <phoneticPr fontId="3"/>
  </si>
  <si>
    <t>1)</t>
    <phoneticPr fontId="3"/>
  </si>
  <si>
    <t>：計算値</t>
    <rPh sb="1" eb="4">
      <t>ケイサンチ</t>
    </rPh>
    <phoneticPr fontId="3"/>
  </si>
  <si>
    <t>デフォルトで入力されている数値はサンプルです。入力の際には一度全て消去してから使用してください。</t>
    <rPh sb="6" eb="8">
      <t>ニュウリョク</t>
    </rPh>
    <rPh sb="13" eb="15">
      <t>スウチ</t>
    </rPh>
    <rPh sb="23" eb="25">
      <t>ニュウリョク</t>
    </rPh>
    <rPh sb="26" eb="27">
      <t>サイ</t>
    </rPh>
    <rPh sb="29" eb="31">
      <t>イチド</t>
    </rPh>
    <rPh sb="31" eb="32">
      <t>スベ</t>
    </rPh>
    <rPh sb="33" eb="35">
      <t>ショウキョ</t>
    </rPh>
    <rPh sb="39" eb="41">
      <t>シヨウ</t>
    </rPh>
    <phoneticPr fontId="3"/>
  </si>
  <si>
    <t>：文献等による規定値</t>
    <rPh sb="1" eb="3">
      <t>ブンケン</t>
    </rPh>
    <rPh sb="3" eb="4">
      <t>トウ</t>
    </rPh>
    <rPh sb="7" eb="10">
      <t>キテイチ</t>
    </rPh>
    <phoneticPr fontId="3"/>
  </si>
  <si>
    <t>使用する場合は、赤枠の欄に数値を入力してください。</t>
    <rPh sb="0" eb="2">
      <t>シヨウ</t>
    </rPh>
    <rPh sb="4" eb="6">
      <t>バアイ</t>
    </rPh>
    <rPh sb="8" eb="9">
      <t>アカ</t>
    </rPh>
    <rPh sb="9" eb="10">
      <t>ワク</t>
    </rPh>
    <rPh sb="11" eb="12">
      <t>ラン</t>
    </rPh>
    <rPh sb="13" eb="15">
      <t>スウチ</t>
    </rPh>
    <rPh sb="16" eb="18">
      <t>ニュウリョク</t>
    </rPh>
    <phoneticPr fontId="3"/>
  </si>
  <si>
    <t>：入力項目</t>
    <rPh sb="1" eb="3">
      <t>ニュウリョク</t>
    </rPh>
    <rPh sb="3" eb="5">
      <t>コウモク</t>
    </rPh>
    <phoneticPr fontId="3"/>
  </si>
  <si>
    <t>（ご注意）</t>
    <rPh sb="2" eb="4">
      <t>チュウイ</t>
    </rPh>
    <phoneticPr fontId="3"/>
  </si>
  <si>
    <t>※空調用冷却塔補給水、植栽散水は計算から除外する</t>
    <rPh sb="1" eb="4">
      <t>クウチョウヨウ</t>
    </rPh>
    <rPh sb="4" eb="7">
      <t>レイキャクトウ</t>
    </rPh>
    <rPh sb="7" eb="9">
      <t>ホキュウ</t>
    </rPh>
    <rPh sb="9" eb="10">
      <t>スイ</t>
    </rPh>
    <rPh sb="11" eb="13">
      <t>ショクサイ</t>
    </rPh>
    <rPh sb="13" eb="15">
      <t>サンスイ</t>
    </rPh>
    <rPh sb="16" eb="18">
      <t>ケイサン</t>
    </rPh>
    <rPh sb="20" eb="22">
      <t>ジョガイ</t>
    </rPh>
    <phoneticPr fontId="3"/>
  </si>
  <si>
    <t>事務所ビルの水使用量算定</t>
    <rPh sb="0" eb="2">
      <t>ジム</t>
    </rPh>
    <rPh sb="2" eb="3">
      <t>ショ</t>
    </rPh>
    <rPh sb="6" eb="7">
      <t>ミズ</t>
    </rPh>
    <rPh sb="7" eb="9">
      <t>シヨウ</t>
    </rPh>
    <rPh sb="9" eb="10">
      <t>リョウ</t>
    </rPh>
    <rPh sb="10" eb="12">
      <t>サンテイ</t>
    </rPh>
    <phoneticPr fontId="3"/>
  </si>
  <si>
    <t>3)同上　P25 表2.2.9-9～14　各飲食用途の平均値を採用　</t>
    <rPh sb="2" eb="4">
      <t>ドウジョウ</t>
    </rPh>
    <rPh sb="21" eb="22">
      <t>カク</t>
    </rPh>
    <rPh sb="22" eb="24">
      <t>インショク</t>
    </rPh>
    <rPh sb="24" eb="26">
      <t>ヨウト</t>
    </rPh>
    <rPh sb="27" eb="29">
      <t>ヘイキン</t>
    </rPh>
    <rPh sb="29" eb="30">
      <t>チ</t>
    </rPh>
    <rPh sb="31" eb="33">
      <t>サイヨウ</t>
    </rPh>
    <phoneticPr fontId="3"/>
  </si>
  <si>
    <t>2)同上　P60 表3.4.26　「百貨店」の値を参照</t>
    <rPh sb="2" eb="4">
      <t>ドウジョウ</t>
    </rPh>
    <rPh sb="9" eb="10">
      <t>ヒョウ</t>
    </rPh>
    <rPh sb="18" eb="21">
      <t>ヒャッカテン</t>
    </rPh>
    <rPh sb="23" eb="24">
      <t>アタイ</t>
    </rPh>
    <rPh sb="25" eb="27">
      <t>サンショウ</t>
    </rPh>
    <phoneticPr fontId="3"/>
  </si>
  <si>
    <t>「水使用行為を基にした使用水量計算法（新しい設計給水量原単位の提案）」シンポジウム資料　P48、表3.3.2　「職場」（回/h）</t>
    <rPh sb="41" eb="43">
      <t>シリョウ</t>
    </rPh>
    <rPh sb="48" eb="49">
      <t>ヒョウ</t>
    </rPh>
    <rPh sb="56" eb="58">
      <t>ショクバ</t>
    </rPh>
    <rPh sb="60" eb="61">
      <t>カイ</t>
    </rPh>
    <phoneticPr fontId="3"/>
  </si>
  <si>
    <t>合計(上水)￥</t>
    <rPh sb="0" eb="2">
      <t>ゴウケイ</t>
    </rPh>
    <rPh sb="3" eb="5">
      <t>ジョウスイ</t>
    </rPh>
    <phoneticPr fontId="3"/>
  </si>
  <si>
    <t>7)</t>
    <phoneticPr fontId="3"/>
  </si>
  <si>
    <t>①+②+③+④</t>
    <phoneticPr fontId="3"/>
  </si>
  <si>
    <t>合計(全体)</t>
    <rPh sb="0" eb="2">
      <t>ゴウケイ</t>
    </rPh>
    <rPh sb="3" eb="5">
      <t>ゼンタイ</t>
    </rPh>
    <phoneticPr fontId="3"/>
  </si>
  <si>
    <t>検算</t>
    <rPh sb="0" eb="2">
      <t>ケンザン</t>
    </rPh>
    <phoneticPr fontId="3"/>
  </si>
  <si>
    <t>6)水使用量集計</t>
    <rPh sb="2" eb="3">
      <t>ミズ</t>
    </rPh>
    <rPh sb="3" eb="5">
      <t>シヨウ</t>
    </rPh>
    <rPh sb="5" eb="6">
      <t>リョウ</t>
    </rPh>
    <rPh sb="6" eb="8">
      <t>シュウケイ</t>
    </rPh>
    <phoneticPr fontId="3"/>
  </si>
  <si>
    <t>※客数が不明な場合には、客席数×回転数の計画値を入力しても良い。</t>
    <rPh sb="1" eb="3">
      <t>キャクスウ</t>
    </rPh>
    <rPh sb="4" eb="6">
      <t>フメイ</t>
    </rPh>
    <rPh sb="7" eb="9">
      <t>バアイ</t>
    </rPh>
    <rPh sb="12" eb="15">
      <t>キャクセキスウ</t>
    </rPh>
    <rPh sb="16" eb="18">
      <t>カイテン</t>
    </rPh>
    <rPh sb="18" eb="19">
      <t>スウ</t>
    </rPh>
    <rPh sb="20" eb="22">
      <t>ケイカク</t>
    </rPh>
    <rPh sb="22" eb="23">
      <t>アタイ</t>
    </rPh>
    <rPh sb="24" eb="26">
      <t>ニュウリョク</t>
    </rPh>
    <rPh sb="29" eb="30">
      <t>ヨ</t>
    </rPh>
    <phoneticPr fontId="3"/>
  </si>
  <si>
    <t>L/客数・日</t>
    <rPh sb="2" eb="4">
      <t>キャクスウ</t>
    </rPh>
    <rPh sb="5" eb="6">
      <t>ヒ</t>
    </rPh>
    <phoneticPr fontId="3"/>
  </si>
  <si>
    <t>L/人・日×</t>
    <rPh sb="2" eb="3">
      <t>ヒト</t>
    </rPh>
    <rPh sb="4" eb="5">
      <t>ヒ</t>
    </rPh>
    <phoneticPr fontId="3"/>
  </si>
  <si>
    <t>洋食</t>
    <rPh sb="0" eb="2">
      <t>ヨウショク</t>
    </rPh>
    <phoneticPr fontId="3"/>
  </si>
  <si>
    <t>和食</t>
    <rPh sb="0" eb="2">
      <t>ワショク</t>
    </rPh>
    <phoneticPr fontId="3"/>
  </si>
  <si>
    <t>中華・麺類・焼肉</t>
    <rPh sb="0" eb="2">
      <t>チュウカ</t>
    </rPh>
    <rPh sb="3" eb="5">
      <t>メンルイ</t>
    </rPh>
    <rPh sb="6" eb="8">
      <t>ヤキニク</t>
    </rPh>
    <phoneticPr fontId="3"/>
  </si>
  <si>
    <t>喫茶・軽食</t>
    <rPh sb="0" eb="2">
      <t>キッサ</t>
    </rPh>
    <rPh sb="3" eb="5">
      <t>ケイショク</t>
    </rPh>
    <phoneticPr fontId="3"/>
  </si>
  <si>
    <t>客数※</t>
    <rPh sb="0" eb="2">
      <t>キャクスウ</t>
    </rPh>
    <phoneticPr fontId="3"/>
  </si>
  <si>
    <t>客1人あたりの水量*3)</t>
    <rPh sb="0" eb="1">
      <t>キャク</t>
    </rPh>
    <rPh sb="2" eb="3">
      <t>ヒト</t>
    </rPh>
    <rPh sb="7" eb="9">
      <t>スイリョウ</t>
    </rPh>
    <phoneticPr fontId="3"/>
  </si>
  <si>
    <t>④飲食店舗</t>
    <rPh sb="1" eb="3">
      <t>インショク</t>
    </rPh>
    <rPh sb="3" eb="5">
      <t>テンポ</t>
    </rPh>
    <phoneticPr fontId="3"/>
  </si>
  <si>
    <t>①+②+③</t>
    <phoneticPr fontId="3"/>
  </si>
  <si>
    <t>③器具清掃用</t>
    <rPh sb="1" eb="3">
      <t>キグ</t>
    </rPh>
    <rPh sb="3" eb="5">
      <t>セイソウ</t>
    </rPh>
    <rPh sb="5" eb="6">
      <t>ヨウ</t>
    </rPh>
    <phoneticPr fontId="3"/>
  </si>
  <si>
    <t>h×</t>
    <phoneticPr fontId="3"/>
  </si>
  <si>
    <t>回/h×</t>
    <rPh sb="0" eb="1">
      <t>カイ</t>
    </rPh>
    <phoneticPr fontId="3"/>
  </si>
  <si>
    <t>滞在時間</t>
    <rPh sb="0" eb="2">
      <t>タイザイ</t>
    </rPh>
    <rPh sb="2" eb="4">
      <t>ジカン</t>
    </rPh>
    <phoneticPr fontId="3"/>
  </si>
  <si>
    <t>②来場者による便所・洗面</t>
    <rPh sb="1" eb="4">
      <t>ライジョウシャ</t>
    </rPh>
    <rPh sb="7" eb="9">
      <t>ベンジョ</t>
    </rPh>
    <rPh sb="10" eb="12">
      <t>センメン</t>
    </rPh>
    <phoneticPr fontId="3"/>
  </si>
  <si>
    <t>①常勤者による便所・洗面・湯沸かし</t>
    <rPh sb="1" eb="4">
      <t>ジョウキンシャ</t>
    </rPh>
    <rPh sb="7" eb="9">
      <t>ベンジョ</t>
    </rPh>
    <rPh sb="10" eb="12">
      <t>センメン</t>
    </rPh>
    <rPh sb="13" eb="15">
      <t>ユワ</t>
    </rPh>
    <phoneticPr fontId="3"/>
  </si>
  <si>
    <t>5)</t>
    <phoneticPr fontId="3"/>
  </si>
  <si>
    <t>(来場者）</t>
    <rPh sb="1" eb="4">
      <t>ライジョウシャ</t>
    </rPh>
    <phoneticPr fontId="3"/>
  </si>
  <si>
    <t>(常勤者）</t>
    <rPh sb="1" eb="4">
      <t>ジョウキンシャ</t>
    </rPh>
    <phoneticPr fontId="3"/>
  </si>
  <si>
    <t>日</t>
    <rPh sb="0" eb="1">
      <t>ヒ</t>
    </rPh>
    <phoneticPr fontId="3"/>
  </si>
  <si>
    <t>営業日数</t>
    <rPh sb="0" eb="2">
      <t>エイギョウ</t>
    </rPh>
    <rPh sb="2" eb="4">
      <t>ニッスウ</t>
    </rPh>
    <phoneticPr fontId="3"/>
  </si>
  <si>
    <t>延床面積(駐車場除く)</t>
    <rPh sb="0" eb="2">
      <t>ノベユカ</t>
    </rPh>
    <rPh sb="2" eb="4">
      <t>メンセキ</t>
    </rPh>
    <rPh sb="5" eb="8">
      <t>チュウシャジョウ</t>
    </rPh>
    <rPh sb="8" eb="9">
      <t>ノゾ</t>
    </rPh>
    <phoneticPr fontId="3"/>
  </si>
  <si>
    <t>来場者</t>
    <rPh sb="0" eb="3">
      <t>ライジョウシャ</t>
    </rPh>
    <phoneticPr fontId="3"/>
  </si>
  <si>
    <t>常勤者</t>
    <rPh sb="0" eb="3">
      <t>ジョウキンシャ</t>
    </rPh>
    <phoneticPr fontId="3"/>
  </si>
  <si>
    <t>店舗の水使用量算定</t>
    <rPh sb="0" eb="2">
      <t>テンポ</t>
    </rPh>
    <rPh sb="3" eb="4">
      <t>ミズ</t>
    </rPh>
    <rPh sb="4" eb="6">
      <t>シヨウ</t>
    </rPh>
    <rPh sb="6" eb="7">
      <t>リョウ</t>
    </rPh>
    <rPh sb="7" eb="9">
      <t>サンテイ</t>
    </rPh>
    <phoneticPr fontId="3"/>
  </si>
  <si>
    <r>
      <t xml:space="preserve">LR-2 </t>
    </r>
    <r>
      <rPr>
        <b/>
        <sz val="14"/>
        <color indexed="8"/>
        <rFont val="ＭＳ Ｐゴシック"/>
        <family val="3"/>
        <charset val="128"/>
      </rPr>
      <t>資源</t>
    </r>
    <rPh sb="5" eb="7">
      <t>シゲン</t>
    </rPh>
    <phoneticPr fontId="3"/>
  </si>
  <si>
    <r>
      <t xml:space="preserve">LR-3 </t>
    </r>
    <r>
      <rPr>
        <b/>
        <sz val="14"/>
        <color indexed="8"/>
        <rFont val="ＭＳ Ｐゴシック"/>
        <family val="3"/>
        <charset val="128"/>
      </rPr>
      <t>周辺環境</t>
    </r>
    <rPh sb="5" eb="7">
      <t>シュウヘン</t>
    </rPh>
    <rPh sb="7" eb="9">
      <t>カンキョウ</t>
    </rPh>
    <phoneticPr fontId="3"/>
  </si>
  <si>
    <r>
      <t>2-5</t>
    </r>
    <r>
      <rPr>
        <b/>
        <sz val="12"/>
        <color rgb="FFFFFFFF"/>
        <rFont val="Yu Gothic"/>
        <family val="3"/>
        <charset val="128"/>
      </rPr>
      <t>　ﾏﾈｼﾞﾒﾝﾄ</t>
    </r>
    <r>
      <rPr>
        <b/>
        <sz val="12"/>
        <color rgb="FFFFFFFF"/>
        <rFont val="ＭＳ ゴシック"/>
        <family val="3"/>
        <charset val="128"/>
      </rPr>
      <t>・ｽﾏｰﾄ性能</t>
    </r>
    <rPh sb="16" eb="18">
      <t>セイノウ</t>
    </rPh>
    <phoneticPr fontId="3"/>
  </si>
  <si>
    <r>
      <t xml:space="preserve">M </t>
    </r>
    <r>
      <rPr>
        <b/>
        <sz val="11"/>
        <color theme="8" tint="0.59999389629810485"/>
        <rFont val="ＭＳ Ｐゴシック"/>
        <family val="3"/>
        <charset val="128"/>
      </rPr>
      <t>マネジメント性能</t>
    </r>
  </si>
  <si>
    <r>
      <t xml:space="preserve">S </t>
    </r>
    <r>
      <rPr>
        <b/>
        <sz val="11"/>
        <color theme="8" tint="0.59999389629810485"/>
        <rFont val="ＭＳ Ｐゴシック"/>
        <family val="3"/>
        <charset val="128"/>
      </rPr>
      <t>スマート性能</t>
    </r>
  </si>
  <si>
    <t>建物全体</t>
    <rPh sb="0" eb="2">
      <t>タテモノ</t>
    </rPh>
    <rPh sb="2" eb="4">
      <t>ゼンタイ</t>
    </rPh>
    <phoneticPr fontId="3"/>
  </si>
  <si>
    <t>街区全体</t>
    <rPh sb="0" eb="2">
      <t>ガイク</t>
    </rPh>
    <rPh sb="2" eb="4">
      <t>ゼンタイ</t>
    </rPh>
    <phoneticPr fontId="3"/>
  </si>
  <si>
    <r>
      <t>1</t>
    </r>
    <r>
      <rPr>
        <sz val="10"/>
        <rFont val="ＭＳ ゴシック"/>
        <family val="3"/>
        <charset val="128"/>
      </rPr>
      <t>）街区内の調整池</t>
    </r>
    <r>
      <rPr>
        <sz val="10"/>
        <rFont val="Arial"/>
        <family val="3"/>
      </rPr>
      <t>/</t>
    </r>
    <r>
      <rPr>
        <sz val="10"/>
        <rFont val="ＭＳ ゴシック"/>
        <family val="3"/>
        <charset val="128"/>
      </rPr>
      <t>遊水池</t>
    </r>
    <r>
      <rPr>
        <sz val="10"/>
        <rFont val="Arial"/>
        <family val="3"/>
      </rPr>
      <t>/</t>
    </r>
    <r>
      <rPr>
        <sz val="10"/>
        <rFont val="ＭＳ ゴシック"/>
        <family val="3"/>
        <charset val="128"/>
      </rPr>
      <t>雨水貯留槽等の容量を評価</t>
    </r>
    <phoneticPr fontId="3"/>
  </si>
  <si>
    <t>　上水使用量原単位</t>
    <rPh sb="1" eb="3">
      <t>ジョウスイ</t>
    </rPh>
    <rPh sb="3" eb="6">
      <t>シヨウリョウ</t>
    </rPh>
    <rPh sb="6" eb="9">
      <t>ゲンタンイ</t>
    </rPh>
    <phoneticPr fontId="3"/>
  </si>
  <si>
    <t>教育施設（幼稚園、公立小学校等）までの道のりが、1500m以上</t>
    <phoneticPr fontId="3"/>
  </si>
  <si>
    <t>教育施設（幼稚園、公立小学校等）までの道のりが、800m以上　　1500m未満</t>
    <phoneticPr fontId="3"/>
  </si>
  <si>
    <t>教育施設（幼稚園、公立小学校等）までの道のりが、600m以上　　 800m未満</t>
    <phoneticPr fontId="3"/>
  </si>
  <si>
    <t>教育施設（幼稚園、公立小学校等）までの道のりが、300m以上　　 600m未満</t>
    <phoneticPr fontId="3"/>
  </si>
  <si>
    <t>教育施設（幼稚園、公立小学校等）までの道のりが、300m未満</t>
    <phoneticPr fontId="3"/>
  </si>
  <si>
    <t>LR1.4. エネルギーマネジメント</t>
    <phoneticPr fontId="3"/>
  </si>
  <si>
    <t>■Q: Quality （街区の環境品質）、L: Load （街区の環境負荷）、LR:Load Reduction （環境負荷低減性）、 BEE: Built Environment Efficiency  （街区の環境効率）</t>
    <rPh sb="59" eb="61">
      <t>カンキョウ</t>
    </rPh>
    <rPh sb="61" eb="63">
      <t>フカ</t>
    </rPh>
    <rPh sb="63" eb="66">
      <t>テイゲンセイ</t>
    </rPh>
    <phoneticPr fontId="3"/>
  </si>
  <si>
    <t>【対象外】保全すべき自然地形が把握されない場合、計画地が人工地盤等人工改変地の場合</t>
    <rPh sb="5" eb="7">
      <t>ホゼン</t>
    </rPh>
    <rPh sb="10" eb="12">
      <t>シゼン</t>
    </rPh>
    <rPh sb="12" eb="14">
      <t>チケイ</t>
    </rPh>
    <rPh sb="15" eb="17">
      <t>ハアク</t>
    </rPh>
    <rPh sb="21" eb="23">
      <t>バアイ</t>
    </rPh>
    <rPh sb="28" eb="30">
      <t>ジンコウ</t>
    </rPh>
    <rPh sb="30" eb="32">
      <t>ジバン</t>
    </rPh>
    <rPh sb="32" eb="33">
      <t>トウ</t>
    </rPh>
    <rPh sb="39" eb="41">
      <t>バアイ</t>
    </rPh>
    <phoneticPr fontId="3"/>
  </si>
  <si>
    <t>採点基準</t>
    <phoneticPr fontId="3"/>
  </si>
  <si>
    <r>
      <t xml:space="preserve">1.2.3.1 </t>
    </r>
    <r>
      <rPr>
        <b/>
        <sz val="10"/>
        <rFont val="ＭＳ ゴシック"/>
        <family val="3"/>
        <charset val="128"/>
      </rPr>
      <t>街並み・景観形成への配慮</t>
    </r>
    <phoneticPr fontId="3"/>
  </si>
  <si>
    <t>【対象外】調査をした上で保全するすべき動植物が認められなかった場合</t>
    <phoneticPr fontId="3"/>
  </si>
  <si>
    <r>
      <t>まとまって確保されている多様な生物の生息空間が対象区域面積の</t>
    </r>
    <r>
      <rPr>
        <sz val="10"/>
        <rFont val="Arial"/>
        <family val="2"/>
      </rPr>
      <t>10%</t>
    </r>
    <r>
      <rPr>
        <sz val="10"/>
        <rFont val="ＭＳ Ｐゴシック"/>
        <family val="3"/>
        <charset val="128"/>
      </rPr>
      <t>未満</t>
    </r>
    <phoneticPr fontId="3"/>
  </si>
  <si>
    <r>
      <t>まとまって確保されている多様な生物の生息空間が対象区域面積の</t>
    </r>
    <r>
      <rPr>
        <sz val="10"/>
        <rFont val="Arial"/>
        <family val="2"/>
      </rPr>
      <t>10%</t>
    </r>
    <r>
      <rPr>
        <sz val="10"/>
        <rFont val="ＭＳ Ｐゴシック"/>
        <family val="3"/>
        <charset val="128"/>
      </rPr>
      <t>以上１５</t>
    </r>
    <r>
      <rPr>
        <sz val="10"/>
        <rFont val="Arial"/>
        <family val="2"/>
      </rPr>
      <t>%</t>
    </r>
    <r>
      <rPr>
        <sz val="10"/>
        <rFont val="ＭＳ Ｐゴシック"/>
        <family val="3"/>
        <charset val="128"/>
      </rPr>
      <t>未満</t>
    </r>
    <phoneticPr fontId="3"/>
  </si>
  <si>
    <r>
      <t>まとまって確保されている多様な生物の生息空間が対象区域面積の</t>
    </r>
    <r>
      <rPr>
        <sz val="10"/>
        <rFont val="Arial"/>
        <family val="2"/>
      </rPr>
      <t>15%</t>
    </r>
    <r>
      <rPr>
        <sz val="10"/>
        <rFont val="ＭＳ Ｐゴシック"/>
        <family val="3"/>
        <charset val="128"/>
      </rPr>
      <t>以上</t>
    </r>
    <r>
      <rPr>
        <sz val="10"/>
        <rFont val="Arial"/>
        <family val="2"/>
      </rPr>
      <t>20%</t>
    </r>
    <r>
      <rPr>
        <sz val="10"/>
        <rFont val="ＭＳ Ｐゴシック"/>
        <family val="3"/>
        <charset val="128"/>
      </rPr>
      <t>未満</t>
    </r>
    <phoneticPr fontId="3"/>
  </si>
  <si>
    <r>
      <t>まとまって確保されている多様な生物の生息空間が対象区域面積の</t>
    </r>
    <r>
      <rPr>
        <sz val="10"/>
        <rFont val="Arial"/>
        <family val="2"/>
      </rPr>
      <t>20%</t>
    </r>
    <r>
      <rPr>
        <sz val="10"/>
        <rFont val="ＭＳ Ｐゴシック"/>
        <family val="3"/>
        <charset val="128"/>
      </rPr>
      <t>以上</t>
    </r>
    <r>
      <rPr>
        <sz val="10"/>
        <rFont val="Arial"/>
        <family val="2"/>
      </rPr>
      <t>30%</t>
    </r>
    <r>
      <rPr>
        <sz val="10"/>
        <rFont val="ＭＳ Ｐゴシック"/>
        <family val="3"/>
        <charset val="128"/>
      </rPr>
      <t>未満</t>
    </r>
    <phoneticPr fontId="3"/>
  </si>
  <si>
    <t>[BEI][BEIm] ＞ （A①×1.10 + A②×1.10 + A③×1.20） ÷ ΣA</t>
    <phoneticPr fontId="3"/>
  </si>
  <si>
    <t>[BEI][BEIm] ≦ （A①×1.00 + A②×1.00 + A③×1.10） ÷ ΣA</t>
    <phoneticPr fontId="3"/>
  </si>
  <si>
    <t>[BEI][BEIm] ≦ （A①×0.80 + A②×0.80 + A③×1.00） ÷ ΣA</t>
    <phoneticPr fontId="3"/>
  </si>
  <si>
    <t>[BEI][BEIm] ≦ （A①×0.70 + A②×0.75 + A③×0.90） ÷ ΣA</t>
    <phoneticPr fontId="3"/>
  </si>
  <si>
    <t>土壌汚染対策法における土壌汚染状況調査において、汚染状態に関する基準に適合している。または抵触する敷地がない</t>
    <rPh sb="4" eb="6">
      <t>タイサク</t>
    </rPh>
    <phoneticPr fontId="3"/>
  </si>
  <si>
    <t>土壌汚染対策法に抵触している街区において、拡散防止を図っている(計画届出を行い、措置を行っている)</t>
    <rPh sb="4" eb="6">
      <t>タイサク</t>
    </rPh>
    <phoneticPr fontId="3"/>
  </si>
  <si>
    <t>土壌汚染対策法に抵触している街区において、無害化を図っている(区域指定解除)</t>
    <rPh sb="4" eb="6">
      <t>タイサク</t>
    </rPh>
    <phoneticPr fontId="3"/>
  </si>
  <si>
    <t>上水使用量原単位が5,000L/㎡・年以上の範囲</t>
    <phoneticPr fontId="3"/>
  </si>
  <si>
    <t>上水使用量原単位大きい（下位10%未満）</t>
    <rPh sb="12" eb="14">
      <t>カイ</t>
    </rPh>
    <phoneticPr fontId="3"/>
  </si>
  <si>
    <t>上水使用量原単位大きい（下位10%以上－25%未満）</t>
    <phoneticPr fontId="3"/>
  </si>
  <si>
    <t>上水使用量原単位平均（下位25%以上－上位50%以下）</t>
    <phoneticPr fontId="3"/>
  </si>
  <si>
    <t>上水使用量原単位小さい（上位25%以上－50％未満）</t>
    <rPh sb="12" eb="14">
      <t>ジョウイ</t>
    </rPh>
    <phoneticPr fontId="3"/>
  </si>
  <si>
    <t>上水使用量原単位小さい（上位0%－25％未満）</t>
    <rPh sb="12" eb="14">
      <t>ジョウイ</t>
    </rPh>
    <phoneticPr fontId="3"/>
  </si>
  <si>
    <t>計画の場合</t>
    <rPh sb="0" eb="2">
      <t>ケイカク</t>
    </rPh>
    <rPh sb="3" eb="5">
      <t>バアイ</t>
    </rPh>
    <phoneticPr fontId="3"/>
  </si>
  <si>
    <t>計画で評価</t>
    <rPh sb="0" eb="2">
      <t>ケイカク</t>
    </rPh>
    <rPh sb="3" eb="5">
      <t>ヒョウカ</t>
    </rPh>
    <phoneticPr fontId="3"/>
  </si>
  <si>
    <t>実績で評価</t>
    <rPh sb="0" eb="2">
      <t>ジッセキ</t>
    </rPh>
    <rPh sb="3" eb="5">
      <t>ヒョウカ</t>
    </rPh>
    <phoneticPr fontId="3"/>
  </si>
  <si>
    <t>集合住宅の評価方法</t>
    <rPh sb="0" eb="2">
      <t>シュウゴウ</t>
    </rPh>
    <rPh sb="2" eb="4">
      <t>ジュウタク</t>
    </rPh>
    <rPh sb="5" eb="7">
      <t>ヒョウカ</t>
    </rPh>
    <rPh sb="7" eb="9">
      <t>ホウホウ</t>
    </rPh>
    <phoneticPr fontId="3"/>
  </si>
  <si>
    <t>＜計画の場合＞評価する取組</t>
    <rPh sb="1" eb="3">
      <t>ケイカク</t>
    </rPh>
    <rPh sb="4" eb="6">
      <t>バアイ</t>
    </rPh>
    <rPh sb="7" eb="9">
      <t>ヒョウカ</t>
    </rPh>
    <rPh sb="11" eb="13">
      <t>トリクミ</t>
    </rPh>
    <phoneticPr fontId="3"/>
  </si>
  <si>
    <t>＜実績の場合＞上水使用量原単位（共用部）</t>
    <rPh sb="1" eb="3">
      <t>ジッセキ</t>
    </rPh>
    <rPh sb="4" eb="6">
      <t>バアイ</t>
    </rPh>
    <rPh sb="7" eb="9">
      <t>ジョウスイ</t>
    </rPh>
    <rPh sb="9" eb="12">
      <t>シヨウリョウ</t>
    </rPh>
    <rPh sb="12" eb="15">
      <t>ゲンタンイ</t>
    </rPh>
    <rPh sb="16" eb="19">
      <t>キョウヨウブ</t>
    </rPh>
    <phoneticPr fontId="3"/>
  </si>
  <si>
    <t>実績の場合（共用部で評価）</t>
    <rPh sb="0" eb="2">
      <t>ジッセキ</t>
    </rPh>
    <rPh sb="3" eb="5">
      <t>バアイ</t>
    </rPh>
    <rPh sb="6" eb="9">
      <t>キョウヨウブ</t>
    </rPh>
    <rPh sb="10" eb="12">
      <t>ヒョウカ</t>
    </rPh>
    <phoneticPr fontId="3"/>
  </si>
  <si>
    <t>使用している建物（外構を含む、以下本項において同様）がある</t>
    <phoneticPr fontId="3"/>
  </si>
  <si>
    <t>床面積1㎡あたり0.005㎥の国産、地域の木材を使用している建物がある</t>
    <rPh sb="15" eb="17">
      <t>コクサン</t>
    </rPh>
    <rPh sb="18" eb="20">
      <t>チイキ</t>
    </rPh>
    <rPh sb="21" eb="23">
      <t>モクザイ</t>
    </rPh>
    <phoneticPr fontId="3"/>
  </si>
  <si>
    <t>容器包装、リターナブルコンテナ等の取組み</t>
    <phoneticPr fontId="3"/>
  </si>
  <si>
    <t>15%未満</t>
    <phoneticPr fontId="3"/>
  </si>
  <si>
    <t>10％未満</t>
    <phoneticPr fontId="3"/>
  </si>
  <si>
    <t>10%以上20%未満</t>
    <phoneticPr fontId="3"/>
  </si>
  <si>
    <t>20%以上30%未満</t>
  </si>
  <si>
    <t>30%以上40%未満</t>
  </si>
  <si>
    <t>40%以上</t>
  </si>
  <si>
    <t>15%以上20%未満</t>
    <phoneticPr fontId="3"/>
  </si>
  <si>
    <t>取組んでいる項⽬がない</t>
    <phoneticPr fontId="3"/>
  </si>
  <si>
    <t>コミュニティ施設（公民館、集会場、生涯学習施設等）までの道のりが、1500m以上</t>
    <phoneticPr fontId="3"/>
  </si>
  <si>
    <t>コミュニティ施設（公民館、集会場、生涯学習施設等）までの道のりが、800m以上　　1500m未満</t>
    <phoneticPr fontId="3"/>
  </si>
  <si>
    <t>コミュニティ施設（公民館、集会場、生涯学習施設等）までの道のりが、600m以上　　 800m未満</t>
    <phoneticPr fontId="3"/>
  </si>
  <si>
    <t>コミュニティ施設（公民館、集会場、生涯学習施設等）までの道のりが、300m以上　　 600m未満</t>
    <phoneticPr fontId="3"/>
  </si>
  <si>
    <t>コミュニティ施設（公民館、集会場、生涯学習施設等）までの道のりが、300m未満</t>
    <phoneticPr fontId="3"/>
  </si>
  <si>
    <t>【対象外】住宅系の場合は対象外としてよい。</t>
    <phoneticPr fontId="3"/>
  </si>
  <si>
    <t>取組んでいる項目が２つ以上</t>
    <phoneticPr fontId="3"/>
  </si>
  <si>
    <t>国産、地域の木材を使用している建物がある</t>
    <phoneticPr fontId="3"/>
  </si>
  <si>
    <r>
      <t>CASBEE-UD_2023</t>
    </r>
    <r>
      <rPr>
        <b/>
        <sz val="10"/>
        <rFont val="Yu Gothic"/>
        <family val="2"/>
        <charset val="128"/>
      </rPr>
      <t>版</t>
    </r>
    <r>
      <rPr>
        <b/>
        <sz val="10"/>
        <rFont val="Arial"/>
        <family val="2"/>
      </rPr>
      <t>(v.1.0)</t>
    </r>
    <rPh sb="14" eb="15">
      <t>バン</t>
    </rPh>
    <phoneticPr fontId="3"/>
  </si>
  <si>
    <r>
      <t>CASBEE-</t>
    </r>
    <r>
      <rPr>
        <b/>
        <sz val="10"/>
        <rFont val="ＭＳ Ｐゴシック"/>
        <family val="3"/>
        <charset val="128"/>
      </rPr>
      <t>街区（</t>
    </r>
    <r>
      <rPr>
        <b/>
        <sz val="10"/>
        <rFont val="Arial"/>
        <family val="2"/>
      </rPr>
      <t>2023</t>
    </r>
    <r>
      <rPr>
        <b/>
        <sz val="10"/>
        <rFont val="ＭＳ Ｐゴシック"/>
        <family val="3"/>
        <charset val="128"/>
      </rPr>
      <t>年版）</t>
    </r>
    <rPh sb="7" eb="9">
      <t>ガイク</t>
    </rPh>
    <rPh sb="15" eb="16">
      <t>バン</t>
    </rPh>
    <phoneticPr fontId="3"/>
  </si>
  <si>
    <t>取組んでいる項目が1つ</t>
  </si>
  <si>
    <t>取組んでいる項目が2つ</t>
  </si>
  <si>
    <t>取組んでいる項目が3つ</t>
  </si>
  <si>
    <t>取組んでいる項目が1つ～2つ</t>
  </si>
  <si>
    <t>取組んでいる項目が3つ～4つ</t>
  </si>
  <si>
    <t>取組んでいる項目が5つ～6つ</t>
  </si>
  <si>
    <t>取組んでいる項目が7つ～８つ</t>
  </si>
  <si>
    <t>取組んでいる項目が3つ以上</t>
    <rPh sb="11" eb="13">
      <t>イジョウ</t>
    </rPh>
    <phoneticPr fontId="3"/>
  </si>
  <si>
    <t>レベル3に加えて、周囲の地域コミュニティと連携して取組んでいる</t>
  </si>
  <si>
    <t>レベル４に加えて、周辺街区への貢献も含めた地域の防災性能を高める取組みを実施している</t>
  </si>
  <si>
    <t>周辺街区への貢献も含めた地域の防災性能を高める取組みを実施している</t>
  </si>
  <si>
    <t>レベル4の取組みに加え、周辺街区との連携する取組みがある</t>
  </si>
  <si>
    <t>取組んでいる項目がない</t>
    <rPh sb="6" eb="8">
      <t>コウモク</t>
    </rPh>
    <phoneticPr fontId="3"/>
  </si>
  <si>
    <t>取組んでいる項目数が1つ</t>
    <rPh sb="6" eb="8">
      <t>コウモク</t>
    </rPh>
    <rPh sb="8" eb="9">
      <t>スウ</t>
    </rPh>
    <phoneticPr fontId="3"/>
  </si>
  <si>
    <t>取組んでいる項目数が2つ</t>
    <rPh sb="6" eb="8">
      <t>コウモク</t>
    </rPh>
    <rPh sb="8" eb="9">
      <t>スウ</t>
    </rPh>
    <phoneticPr fontId="3"/>
  </si>
  <si>
    <t>取組んでいる項目数が3つ</t>
    <rPh sb="6" eb="8">
      <t>コウモク</t>
    </rPh>
    <rPh sb="8" eb="9">
      <t>スウ</t>
    </rPh>
    <phoneticPr fontId="3"/>
  </si>
  <si>
    <t>取組んでいる項目が4つ以上</t>
    <rPh sb="6" eb="8">
      <t>コウモク</t>
    </rPh>
    <rPh sb="11" eb="13">
      <t>イジョウ</t>
    </rPh>
    <phoneticPr fontId="3"/>
  </si>
  <si>
    <t>評価する取組みのうち、供用設備にていずれの手法も採用していない</t>
  </si>
  <si>
    <t>評価する取組みのうち、供用設備にていずれのかの手法を1つ採用している</t>
  </si>
  <si>
    <t>評価する取組みのうち、供用設備にていずれのかの手法を2つ以上採用している</t>
  </si>
  <si>
    <t>評価する取組みのうち、いずれの手法も採用していない</t>
  </si>
  <si>
    <t>評価する取組みのうち、いずれかの手法が1つ採用されている</t>
  </si>
  <si>
    <t>評価する取組みのうち、いずれかの手法が2つ以上採用されている</t>
  </si>
  <si>
    <t>レベル４を満たし、街区全体の省エネルギー目標を立て、その達成のために街区関係者参加型の継続的な取組みが実行されている（する計画がある）</t>
  </si>
  <si>
    <t>街区全体の省エネルギー目標を立て、その達成のために街区関係者参加型の継続的な取組みが実行されている（する計画がある）。</t>
  </si>
  <si>
    <t>取組んでいる項目が１つ</t>
    <rPh sb="6" eb="8">
      <t>コウモク</t>
    </rPh>
    <phoneticPr fontId="3"/>
  </si>
  <si>
    <t>取組んでいる項目が２つ</t>
    <rPh sb="6" eb="8">
      <t>コウモク</t>
    </rPh>
    <phoneticPr fontId="3"/>
  </si>
  <si>
    <t>取組んでいる項目が3つ以上</t>
    <rPh sb="6" eb="8">
      <t>コウモク</t>
    </rPh>
    <rPh sb="11" eb="13">
      <t>イジョウ</t>
    </rPh>
    <phoneticPr fontId="3"/>
  </si>
  <si>
    <t>温室効果ガス排出量を把握しておらず、カーボンニュートラル達成に向けて取組む旨の宣言や具体的な削減目標を打ち出していない</t>
  </si>
  <si>
    <t>取組んでいる項目が３つ以下</t>
  </si>
  <si>
    <t>取組んでいる項目が４～５つ</t>
  </si>
  <si>
    <t>取組んでいる項目が６～８つ</t>
  </si>
  <si>
    <t>取組んでいる項目が９つ～１０</t>
  </si>
  <si>
    <t>取組んでいる項目が１１～１２</t>
  </si>
  <si>
    <t>保全するべき動植物を把握するための調査を実施し、保全対象の存在を確認している</t>
    <phoneticPr fontId="3"/>
  </si>
  <si>
    <t>保全するべき地形を把握している</t>
  </si>
  <si>
    <t>保全するべき地形を把握し、その過半において自然地形の人工的改変を抑えている</t>
  </si>
  <si>
    <t>保全するべき地形を把握するための調査を実施していない</t>
    <phoneticPr fontId="3"/>
  </si>
  <si>
    <t>保全するべき地形を把握するための調査を行い、保全対象の存在を確認している</t>
    <phoneticPr fontId="3"/>
  </si>
  <si>
    <t>保全するべき土壌を把握し、その一部において有効な表土の保全を行っている</t>
  </si>
  <si>
    <t>保全するべき土壌を把握し、その過半において有効な表土の保全を行っている</t>
  </si>
  <si>
    <t>保全するべき土壌を把握するための調査を実施していない</t>
    <phoneticPr fontId="3"/>
  </si>
  <si>
    <t>保全するべき土壌を把握するための調査を行い、保全対象の存在を確認している</t>
    <phoneticPr fontId="3"/>
  </si>
  <si>
    <t>生物の生息空間が対象区域面積の30％以上まとまって確保されている</t>
    <phoneticPr fontId="3"/>
  </si>
  <si>
    <t>【対象外】非住宅系開発の場合は対象外とすることもできる。</t>
    <rPh sb="5" eb="6">
      <t>ヒ</t>
    </rPh>
    <rPh sb="6" eb="8">
      <t>ジュウタク</t>
    </rPh>
    <rPh sb="8" eb="9">
      <t>ケイ</t>
    </rPh>
    <rPh sb="9" eb="11">
      <t>カイハツ</t>
    </rPh>
    <rPh sb="12" eb="14">
      <t>バアイ</t>
    </rPh>
    <rPh sb="15" eb="18">
      <t>タイショウガイ</t>
    </rPh>
    <phoneticPr fontId="3"/>
  </si>
  <si>
    <t>取組んでいる項⽬が、①又は②</t>
    <phoneticPr fontId="3"/>
  </si>
  <si>
    <t>レベル3に加え、取組んでいる項⽬が、③又は④</t>
    <phoneticPr fontId="3"/>
  </si>
  <si>
    <t>レベル3に加え取組んでいる項⽬が、⑤</t>
    <phoneticPr fontId="3"/>
  </si>
  <si>
    <t>【対象外】住宅系の開発の場合は対象外とすることもできる。</t>
    <rPh sb="5" eb="7">
      <t>ジュウタク</t>
    </rPh>
    <rPh sb="7" eb="8">
      <t>ケイ</t>
    </rPh>
    <rPh sb="9" eb="11">
      <t>カイハツ</t>
    </rPh>
    <rPh sb="12" eb="14">
      <t>バアイ</t>
    </rPh>
    <rPh sb="15" eb="18">
      <t>タイショウガイ</t>
    </rPh>
    <phoneticPr fontId="3"/>
  </si>
  <si>
    <t>取組んでいる項目が２つ～３つ</t>
    <phoneticPr fontId="3"/>
  </si>
  <si>
    <t>取組んでいる項目が４つ～５つ</t>
    <phoneticPr fontId="3"/>
  </si>
  <si>
    <t>上水使用量原単位平均（下位25%以上－上位50%未満）</t>
    <rPh sb="24" eb="26">
      <t>ミマン</t>
    </rPh>
    <phoneticPr fontId="3"/>
  </si>
  <si>
    <t>非住宅系（コンビニエンス・ストア除く）</t>
    <rPh sb="0" eb="3">
      <t>ヒジュウタク</t>
    </rPh>
    <rPh sb="3" eb="4">
      <t>ケイ</t>
    </rPh>
    <rPh sb="16" eb="17">
      <t>ノゾ</t>
    </rPh>
    <phoneticPr fontId="3"/>
  </si>
  <si>
    <t>非住宅系（コンビニエンス・ストア）</t>
    <rPh sb="0" eb="3">
      <t>ヒジュウタク</t>
    </rPh>
    <rPh sb="3" eb="4">
      <t>ケイ</t>
    </rPh>
    <phoneticPr fontId="3"/>
  </si>
  <si>
    <t>過半が節水型トイレ(5L～6L台/回) 利用している</t>
    <phoneticPr fontId="3"/>
  </si>
  <si>
    <t>1～3品目使用している</t>
    <phoneticPr fontId="3"/>
  </si>
  <si>
    <t>自治体ルールに基づく分別に加え、自治体ルール+2品目以上かつ品目の処理ルールが確立されている</t>
    <rPh sb="26" eb="28">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</si>
</sst>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_ "/>
    <numFmt numFmtId="177" formatCode="0.00_ "/>
    <numFmt numFmtId="178" formatCode="0;0;&quot;－&quot;"/>
    <numFmt numFmtId="179" formatCode="#,##0_ "/>
    <numFmt numFmtId="180" formatCode="0.0"/>
    <numFmt numFmtId="181" formatCode="0.0;0.0;&quot;-&quot;\ "/>
    <numFmt numFmtId="182" formatCode="#,##0.0;[Red]\-#,##0.0"/>
    <numFmt numFmtId="183" formatCode="0.0;_Ā"/>
    <numFmt numFmtId="184" formatCode="0.00;0.00;&quot;-&quot;\ "/>
    <numFmt numFmtId="185" formatCode="0.0_);[Red]\(0.0\)"/>
    <numFmt numFmtId="186" formatCode="0_);[Red]\(0\)"/>
    <numFmt numFmtId="187" formatCode="[$-F800]dddd\,\ mmmm\ dd\,\ yyyy"/>
    <numFmt numFmtId="188" formatCode="0.0;[Red]0.0"/>
    <numFmt numFmtId="189" formatCode="#,##0.000000"/>
    <numFmt numFmtId="190" formatCode="#,##0.000000000"/>
    <numFmt numFmtId="191" formatCode="&quot;レベル &quot;#0.0;0.00;&quot;対象外&quot;"/>
    <numFmt numFmtId="192" formatCode="0.00_);[Red]\(0.00\)"/>
    <numFmt numFmtId="193" formatCode="0.000_);[Red]\(0.000\)"/>
    <numFmt numFmtId="194" formatCode="0;0;&quot;&quot;"/>
    <numFmt numFmtId="195" formatCode="0_ "/>
    <numFmt numFmtId="196" formatCode="#,##0_);[Red]\(#,##0\)"/>
  </numFmts>
  <fonts count="215">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9"/>
      <name val="ＭＳ Ｐゴシック"/>
      <family val="3"/>
      <charset val="128"/>
    </font>
    <font>
      <b/>
      <sz val="8"/>
      <color indexed="17"/>
      <name val="ＭＳ Ｐゴシック"/>
      <family val="3"/>
      <charset val="128"/>
    </font>
    <font>
      <b/>
      <sz val="11"/>
      <color indexed="17"/>
      <name val="ＭＳ Ｐゴシック"/>
      <family val="3"/>
      <charset val="128"/>
    </font>
    <font>
      <sz val="10"/>
      <name val="ＭＳ Ｐゴシック"/>
      <family val="3"/>
      <charset val="128"/>
    </font>
    <font>
      <b/>
      <sz val="11"/>
      <color indexed="9"/>
      <name val="ＭＳ Ｐゴシック"/>
      <family val="3"/>
      <charset val="128"/>
    </font>
    <font>
      <b/>
      <sz val="12"/>
      <color indexed="9"/>
      <name val="Arial"/>
      <family val="2"/>
    </font>
    <font>
      <sz val="9"/>
      <color indexed="9"/>
      <name val="ＭＳ Ｐゴシック"/>
      <family val="3"/>
      <charset val="128"/>
    </font>
    <font>
      <sz val="11"/>
      <color indexed="9"/>
      <name val="ＭＳ Ｐゴシック"/>
      <family val="3"/>
      <charset val="128"/>
    </font>
    <font>
      <b/>
      <sz val="10"/>
      <color indexed="9"/>
      <name val="ＭＳ Ｐゴシック"/>
      <family val="3"/>
      <charset val="128"/>
    </font>
    <font>
      <sz val="10"/>
      <name val="Arial"/>
      <family val="2"/>
    </font>
    <font>
      <b/>
      <sz val="10"/>
      <name val="Arial"/>
      <family val="2"/>
    </font>
    <font>
      <sz val="10"/>
      <color indexed="53"/>
      <name val="ＭＳ Ｐゴシック"/>
      <family val="3"/>
      <charset val="128"/>
    </font>
    <font>
      <sz val="11"/>
      <color indexed="10"/>
      <name val="ＭＳ Ｐゴシック"/>
      <family val="3"/>
      <charset val="128"/>
    </font>
    <font>
      <sz val="11"/>
      <color indexed="8"/>
      <name val="ＭＳ Ｐゴシック"/>
      <family val="3"/>
      <charset val="128"/>
    </font>
    <font>
      <sz val="10"/>
      <color indexed="22"/>
      <name val="ＭＳ Ｐゴシック"/>
      <family val="3"/>
      <charset val="128"/>
    </font>
    <font>
      <b/>
      <sz val="9"/>
      <name val="Arial"/>
      <family val="2"/>
    </font>
    <font>
      <sz val="10"/>
      <color indexed="61"/>
      <name val="ＭＳ Ｐゴシック"/>
      <family val="3"/>
      <charset val="128"/>
    </font>
    <font>
      <b/>
      <sz val="10"/>
      <name val="ＭＳ Ｐゴシック"/>
      <family val="3"/>
      <charset val="128"/>
    </font>
    <font>
      <sz val="9"/>
      <color indexed="81"/>
      <name val="ＭＳ Ｐゴシック"/>
      <family val="3"/>
      <charset val="128"/>
    </font>
    <font>
      <b/>
      <sz val="12"/>
      <color indexed="9"/>
      <name val="ＭＳ Ｐゴシック"/>
      <family val="3"/>
      <charset val="128"/>
    </font>
    <font>
      <b/>
      <sz val="9"/>
      <color indexed="9"/>
      <name val="ＭＳ Ｐゴシック"/>
      <family val="3"/>
      <charset val="128"/>
    </font>
    <font>
      <sz val="8"/>
      <color indexed="9"/>
      <name val="ＭＳ Ｐゴシック"/>
      <family val="3"/>
      <charset val="128"/>
    </font>
    <font>
      <sz val="9"/>
      <color indexed="17"/>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sz val="11"/>
      <name val="Arial"/>
      <family val="2"/>
    </font>
    <font>
      <sz val="12"/>
      <name val="ＭＳ Ｐゴシック"/>
      <family val="3"/>
      <charset val="128"/>
    </font>
    <font>
      <sz val="12"/>
      <name val="Arial"/>
      <family val="2"/>
    </font>
    <font>
      <b/>
      <sz val="18"/>
      <name val="Arial"/>
      <family val="2"/>
    </font>
    <font>
      <b/>
      <sz val="12"/>
      <name val="Arial"/>
      <family val="2"/>
    </font>
    <font>
      <b/>
      <sz val="18"/>
      <name val="ＭＳ Ｐゴシック"/>
      <family val="3"/>
      <charset val="128"/>
    </font>
    <font>
      <sz val="8"/>
      <color indexed="17"/>
      <name val="Arial"/>
      <family val="2"/>
    </font>
    <font>
      <b/>
      <sz val="8"/>
      <color indexed="17"/>
      <name val="Arial"/>
      <family val="2"/>
    </font>
    <font>
      <b/>
      <i/>
      <sz val="9"/>
      <name val="Arial"/>
      <family val="2"/>
    </font>
    <font>
      <b/>
      <i/>
      <sz val="26"/>
      <color indexed="17"/>
      <name val="Arial"/>
      <family val="2"/>
    </font>
    <font>
      <b/>
      <i/>
      <sz val="8"/>
      <color indexed="17"/>
      <name val="Arial"/>
      <family val="2"/>
    </font>
    <font>
      <b/>
      <sz val="14"/>
      <color indexed="9"/>
      <name val="ＭＳ Ｐゴシック"/>
      <family val="3"/>
      <charset val="128"/>
    </font>
    <font>
      <sz val="8"/>
      <color indexed="9"/>
      <name val="Arial"/>
      <family val="2"/>
    </font>
    <font>
      <sz val="8"/>
      <name val="Arial"/>
      <family val="2"/>
    </font>
    <font>
      <b/>
      <sz val="8"/>
      <name val="Arial"/>
      <family val="2"/>
    </font>
    <font>
      <b/>
      <sz val="6"/>
      <color indexed="9"/>
      <name val="ＭＳ Ｐゴシック"/>
      <family val="3"/>
      <charset val="128"/>
    </font>
    <font>
      <sz val="10"/>
      <color indexed="9"/>
      <name val="Arial"/>
      <family val="2"/>
    </font>
    <font>
      <b/>
      <sz val="10"/>
      <color indexed="9"/>
      <name val="Arial"/>
      <family val="2"/>
    </font>
    <font>
      <sz val="11"/>
      <color indexed="9"/>
      <name val="Arial"/>
      <family val="2"/>
    </font>
    <font>
      <b/>
      <i/>
      <sz val="9"/>
      <color indexed="9"/>
      <name val="ＭＳ Ｐゴシック"/>
      <family val="3"/>
      <charset val="128"/>
    </font>
    <font>
      <b/>
      <sz val="11"/>
      <name val="Arial"/>
      <family val="2"/>
    </font>
    <font>
      <b/>
      <i/>
      <sz val="9"/>
      <name val="ＭＳ Ｐゴシック"/>
      <family val="3"/>
      <charset val="128"/>
    </font>
    <font>
      <b/>
      <i/>
      <sz val="10"/>
      <name val="Arial"/>
      <family val="2"/>
    </font>
    <font>
      <b/>
      <i/>
      <sz val="11"/>
      <name val="ＭＳ Ｐゴシック"/>
      <family val="3"/>
      <charset val="128"/>
    </font>
    <font>
      <b/>
      <i/>
      <sz val="11"/>
      <name val="Arial"/>
      <family val="2"/>
    </font>
    <font>
      <i/>
      <sz val="11"/>
      <name val="Arial"/>
      <family val="2"/>
    </font>
    <font>
      <b/>
      <sz val="11"/>
      <color indexed="8"/>
      <name val="ＭＳ Ｐゴシック"/>
      <family val="3"/>
      <charset val="128"/>
    </font>
    <font>
      <b/>
      <sz val="14"/>
      <name val="Arial"/>
      <family val="2"/>
    </font>
    <font>
      <sz val="11"/>
      <color indexed="10"/>
      <name val="Arial"/>
      <family val="2"/>
    </font>
    <font>
      <sz val="9"/>
      <name val="Arial"/>
      <family val="2"/>
    </font>
    <font>
      <sz val="8"/>
      <color indexed="22"/>
      <name val="Arial"/>
      <family val="2"/>
    </font>
    <font>
      <sz val="6"/>
      <color indexed="23"/>
      <name val="Arial"/>
      <family val="2"/>
    </font>
    <font>
      <sz val="11"/>
      <name val="ＭＳ Ｐゴシック"/>
      <family val="3"/>
      <charset val="128"/>
    </font>
    <font>
      <sz val="14"/>
      <name val="ＭＳ Ｐゴシック"/>
      <family val="3"/>
      <charset val="128"/>
    </font>
    <font>
      <b/>
      <sz val="14"/>
      <color indexed="8"/>
      <name val="ＭＳ Ｐゴシック"/>
      <family val="3"/>
      <charset val="128"/>
    </font>
    <font>
      <sz val="10"/>
      <color indexed="18"/>
      <name val="Arial"/>
      <family val="2"/>
    </font>
    <font>
      <sz val="9"/>
      <color indexed="63"/>
      <name val="Arial"/>
      <family val="2"/>
    </font>
    <font>
      <sz val="9"/>
      <color indexed="10"/>
      <name val="Arial"/>
      <family val="2"/>
    </font>
    <font>
      <b/>
      <sz val="12"/>
      <color indexed="18"/>
      <name val="Arial"/>
      <family val="2"/>
    </font>
    <font>
      <i/>
      <sz val="11"/>
      <name val="ＭＳ Ｐゴシック"/>
      <family val="3"/>
      <charset val="128"/>
    </font>
    <font>
      <i/>
      <sz val="9"/>
      <color indexed="8"/>
      <name val="ＭＳ Ｐゴシック"/>
      <family val="3"/>
      <charset val="128"/>
    </font>
    <font>
      <i/>
      <sz val="9"/>
      <name val="ＭＳ Ｐゴシック"/>
      <family val="3"/>
      <charset val="128"/>
    </font>
    <font>
      <b/>
      <i/>
      <sz val="24"/>
      <color indexed="17"/>
      <name val="ＭＳ Ｐ明朝"/>
      <family val="1"/>
      <charset val="128"/>
    </font>
    <font>
      <b/>
      <sz val="8"/>
      <color indexed="9"/>
      <name val="ＭＳ Ｐゴシック"/>
      <family val="3"/>
      <charset val="128"/>
    </font>
    <font>
      <sz val="10"/>
      <color indexed="63"/>
      <name val="ＭＳ Ｐゴシック"/>
      <family val="3"/>
      <charset val="128"/>
    </font>
    <font>
      <b/>
      <sz val="9"/>
      <color indexed="63"/>
      <name val="Arial"/>
      <family val="2"/>
    </font>
    <font>
      <b/>
      <sz val="20"/>
      <color indexed="17"/>
      <name val="ＭＳ Ｐゴシック"/>
      <family val="3"/>
      <charset val="128"/>
    </font>
    <font>
      <sz val="12"/>
      <color indexed="10"/>
      <name val="Arial"/>
      <family val="2"/>
    </font>
    <font>
      <sz val="10"/>
      <color indexed="55"/>
      <name val="ＭＳ Ｐゴシック"/>
      <family val="3"/>
      <charset val="128"/>
    </font>
    <font>
      <b/>
      <sz val="10"/>
      <color indexed="55"/>
      <name val="Arial"/>
      <family val="2"/>
    </font>
    <font>
      <sz val="11"/>
      <color indexed="55"/>
      <name val="Arial"/>
      <family val="2"/>
    </font>
    <font>
      <sz val="6"/>
      <name val="Arial"/>
      <family val="2"/>
    </font>
    <font>
      <sz val="12"/>
      <color indexed="9"/>
      <name val="Arial"/>
      <family val="2"/>
    </font>
    <font>
      <sz val="14"/>
      <color indexed="9"/>
      <name val="Arial"/>
      <family val="2"/>
    </font>
    <font>
      <b/>
      <sz val="12"/>
      <color indexed="8"/>
      <name val="Arial"/>
      <family val="2"/>
    </font>
    <font>
      <b/>
      <sz val="12"/>
      <color indexed="8"/>
      <name val="ＭＳ Ｐゴシック"/>
      <family val="3"/>
      <charset val="128"/>
    </font>
    <font>
      <b/>
      <sz val="11"/>
      <color indexed="26"/>
      <name val="Arial"/>
      <family val="2"/>
    </font>
    <font>
      <b/>
      <sz val="11"/>
      <color indexed="26"/>
      <name val="ＭＳ Ｐゴシック"/>
      <family val="3"/>
      <charset val="128"/>
    </font>
    <font>
      <b/>
      <sz val="11"/>
      <color indexed="42"/>
      <name val="Arial"/>
      <family val="2"/>
    </font>
    <font>
      <b/>
      <sz val="11"/>
      <color indexed="42"/>
      <name val="ＭＳ Ｐゴシック"/>
      <family val="3"/>
      <charset val="128"/>
    </font>
    <font>
      <sz val="10"/>
      <color indexed="81"/>
      <name val="ＭＳ Ｐゴシック"/>
      <family val="3"/>
      <charset val="128"/>
    </font>
    <font>
      <b/>
      <sz val="10"/>
      <color indexed="81"/>
      <name val="ＭＳ Ｐゴシック"/>
      <family val="3"/>
      <charset val="128"/>
    </font>
    <font>
      <b/>
      <sz val="9"/>
      <color indexed="81"/>
      <name val="ＭＳ Ｐゴシック"/>
      <family val="3"/>
      <charset val="128"/>
    </font>
    <font>
      <b/>
      <sz val="14"/>
      <color indexed="8"/>
      <name val="Arial"/>
      <family val="2"/>
    </font>
    <font>
      <b/>
      <i/>
      <sz val="9"/>
      <name val="ＭＳ Ｐ明朝"/>
      <family val="1"/>
      <charset val="128"/>
    </font>
    <font>
      <sz val="9"/>
      <color indexed="17"/>
      <name val="Arial"/>
      <family val="2"/>
    </font>
    <font>
      <b/>
      <sz val="9"/>
      <color indexed="17"/>
      <name val="Arial"/>
      <family val="2"/>
    </font>
    <font>
      <b/>
      <sz val="9"/>
      <color indexed="17"/>
      <name val="ＭＳ Ｐゴシック"/>
      <family val="3"/>
      <charset val="128"/>
    </font>
    <font>
      <b/>
      <i/>
      <sz val="10"/>
      <color indexed="9"/>
      <name val="ＭＳ Ｐゴシック"/>
      <family val="3"/>
      <charset val="128"/>
    </font>
    <font>
      <b/>
      <sz val="11"/>
      <color indexed="9"/>
      <name val="Arial"/>
      <family val="2"/>
    </font>
    <font>
      <sz val="11"/>
      <color indexed="63"/>
      <name val="Arial"/>
      <family val="2"/>
    </font>
    <font>
      <b/>
      <sz val="28"/>
      <name val="ＭＳ Ｐゴシック"/>
      <family val="3"/>
      <charset val="128"/>
    </font>
    <font>
      <b/>
      <sz val="20"/>
      <color indexed="9"/>
      <name val="ＭＳ Ｐゴシック"/>
      <family val="3"/>
      <charset val="128"/>
    </font>
    <font>
      <b/>
      <i/>
      <sz val="20"/>
      <color indexed="9"/>
      <name val="Times New Roman"/>
      <family val="1"/>
    </font>
    <font>
      <sz val="10"/>
      <color indexed="9"/>
      <name val="ＭＳ Ｐゴシック"/>
      <family val="3"/>
      <charset val="128"/>
    </font>
    <font>
      <b/>
      <i/>
      <sz val="14"/>
      <color indexed="26"/>
      <name val="Arial"/>
      <family val="2"/>
    </font>
    <font>
      <b/>
      <i/>
      <sz val="14"/>
      <color indexed="26"/>
      <name val="ＭＳ Ｐゴシック"/>
      <family val="3"/>
      <charset val="128"/>
    </font>
    <font>
      <b/>
      <i/>
      <sz val="14"/>
      <color indexed="42"/>
      <name val="Arial"/>
      <family val="2"/>
    </font>
    <font>
      <b/>
      <i/>
      <sz val="14"/>
      <color indexed="42"/>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9"/>
      <name val="Times New Roman"/>
      <family val="1"/>
    </font>
    <font>
      <sz val="11"/>
      <name val="ＭＳ 明朝"/>
      <family val="1"/>
      <charset val="128"/>
    </font>
    <font>
      <sz val="14.6"/>
      <name val="ＭＳ ゴシック"/>
      <family val="3"/>
      <charset val="128"/>
    </font>
    <font>
      <sz val="11"/>
      <color indexed="63"/>
      <name val="ＭＳ Ｐゴシック"/>
      <family val="3"/>
      <charset val="128"/>
    </font>
    <font>
      <sz val="6"/>
      <name val="ＭＳ Ｐゴシック"/>
      <family val="3"/>
      <charset val="128"/>
    </font>
    <font>
      <sz val="10"/>
      <color indexed="12"/>
      <name val="ＭＳ Ｐゴシック"/>
      <family val="3"/>
      <charset val="128"/>
    </font>
    <font>
      <sz val="11"/>
      <color theme="1"/>
      <name val="ＭＳ Ｐゴシック"/>
      <family val="3"/>
      <charset val="128"/>
      <scheme val="minor"/>
    </font>
    <font>
      <sz val="12"/>
      <color rgb="FFFF0000"/>
      <name val="Arial"/>
      <family val="2"/>
    </font>
    <font>
      <b/>
      <sz val="10"/>
      <color indexed="63"/>
      <name val="Arial"/>
      <family val="2"/>
    </font>
    <font>
      <b/>
      <sz val="10"/>
      <color theme="1"/>
      <name val="ＭＳ Ｐゴシック"/>
      <family val="3"/>
      <charset val="128"/>
    </font>
    <font>
      <b/>
      <sz val="10"/>
      <color indexed="8"/>
      <name val="ＭＳ Ｐゴシック"/>
      <family val="3"/>
      <charset val="128"/>
    </font>
    <font>
      <b/>
      <sz val="12"/>
      <color theme="1"/>
      <name val="Arial"/>
      <family val="2"/>
    </font>
    <font>
      <b/>
      <sz val="12"/>
      <color theme="1"/>
      <name val="ＭＳ Ｐゴシック"/>
      <family val="3"/>
      <charset val="128"/>
    </font>
    <font>
      <b/>
      <sz val="10"/>
      <name val="ＭＳ Ｐゴシック"/>
      <family val="2"/>
      <charset val="128"/>
    </font>
    <font>
      <sz val="8"/>
      <color rgb="FFFF0000"/>
      <name val="ＭＳ Ｐゴシック"/>
      <family val="3"/>
      <charset val="128"/>
    </font>
    <font>
      <b/>
      <sz val="11"/>
      <color indexed="18"/>
      <name val="Arial"/>
      <family val="2"/>
    </font>
    <font>
      <b/>
      <sz val="10"/>
      <color rgb="FFFF0000"/>
      <name val="ＭＳ Ｐゴシック"/>
      <family val="3"/>
      <charset val="128"/>
    </font>
    <font>
      <sz val="14"/>
      <name val="Arial"/>
      <family val="2"/>
    </font>
    <font>
      <sz val="10"/>
      <name val="ＭＳ ゴシック"/>
      <family val="3"/>
      <charset val="128"/>
    </font>
    <font>
      <sz val="10"/>
      <name val="Arial"/>
      <family val="3"/>
      <charset val="128"/>
    </font>
    <font>
      <b/>
      <sz val="9"/>
      <color indexed="81"/>
      <name val="MS P ゴシック"/>
      <family val="3"/>
      <charset val="128"/>
    </font>
    <font>
      <b/>
      <sz val="10"/>
      <color indexed="18"/>
      <name val="Arial"/>
      <family val="2"/>
    </font>
    <font>
      <sz val="9"/>
      <color indexed="81"/>
      <name val="MS P ゴシック"/>
      <family val="3"/>
      <charset val="128"/>
    </font>
    <font>
      <b/>
      <vertAlign val="subscript"/>
      <sz val="9"/>
      <name val="ＭＳ Ｐゴシック"/>
      <family val="3"/>
      <charset val="128"/>
    </font>
    <font>
      <vertAlign val="subscript"/>
      <sz val="9"/>
      <name val="ＭＳ Ｐゴシック"/>
      <family val="3"/>
      <charset val="128"/>
    </font>
    <font>
      <b/>
      <i/>
      <sz val="9"/>
      <name val="Times New Roman"/>
      <family val="1"/>
    </font>
    <font>
      <sz val="11"/>
      <color indexed="22"/>
      <name val="Arial"/>
      <family val="2"/>
    </font>
    <font>
      <b/>
      <sz val="8"/>
      <color indexed="22"/>
      <name val="Arial"/>
      <family val="2"/>
    </font>
    <font>
      <i/>
      <sz val="10"/>
      <color indexed="22"/>
      <name val="ＭＳ Ｐゴシック"/>
      <family val="3"/>
      <charset val="128"/>
    </font>
    <font>
      <b/>
      <vertAlign val="subscript"/>
      <sz val="12"/>
      <color indexed="9"/>
      <name val="ＭＳ Ｐゴシック"/>
      <family val="3"/>
      <charset val="128"/>
    </font>
    <font>
      <b/>
      <sz val="11"/>
      <color indexed="10"/>
      <name val="Arial"/>
      <family val="2"/>
    </font>
    <font>
      <b/>
      <i/>
      <sz val="14"/>
      <color indexed="9"/>
      <name val="Arial"/>
      <family val="2"/>
    </font>
    <font>
      <b/>
      <i/>
      <sz val="14"/>
      <color indexed="9"/>
      <name val="ＭＳ Ｐゴシック"/>
      <family val="3"/>
      <charset val="128"/>
    </font>
    <font>
      <b/>
      <sz val="12"/>
      <color indexed="9"/>
      <name val="ＭＳ Ｐゴシック"/>
      <family val="3"/>
      <charset val="128"/>
      <scheme val="minor"/>
    </font>
    <font>
      <sz val="8"/>
      <name val="ＭＳ Ｐゴシック"/>
      <family val="3"/>
      <charset val="128"/>
      <scheme val="minor"/>
    </font>
    <font>
      <sz val="11"/>
      <name val="ＭＳ Ｐゴシック"/>
      <family val="2"/>
      <charset val="128"/>
    </font>
    <font>
      <b/>
      <sz val="12"/>
      <color indexed="63"/>
      <name val="Arial"/>
      <family val="2"/>
    </font>
    <font>
      <b/>
      <sz val="9"/>
      <color rgb="FFFFFFCC"/>
      <name val="Arial"/>
      <family val="2"/>
    </font>
    <font>
      <b/>
      <sz val="9"/>
      <color rgb="FFCCFFCC"/>
      <name val="Arial"/>
      <family val="2"/>
    </font>
    <font>
      <b/>
      <sz val="11"/>
      <color theme="8" tint="0.59999389629810485"/>
      <name val="ＭＳ Ｐゴシック"/>
      <family val="3"/>
      <charset val="128"/>
    </font>
    <font>
      <sz val="10"/>
      <name val="ＭＳ Ｐゴシック"/>
      <family val="2"/>
      <charset val="128"/>
    </font>
    <font>
      <b/>
      <i/>
      <sz val="11"/>
      <color rgb="FFFFFFFF"/>
      <name val="Arial"/>
      <family val="2"/>
    </font>
    <font>
      <b/>
      <sz val="12"/>
      <color theme="0"/>
      <name val="Arial"/>
      <family val="2"/>
    </font>
    <font>
      <sz val="10"/>
      <name val="Arial"/>
      <family val="3"/>
    </font>
    <font>
      <sz val="11"/>
      <color rgb="FFFF0000"/>
      <name val="ＭＳ Ｐゴシック"/>
      <family val="2"/>
      <charset val="128"/>
    </font>
    <font>
      <b/>
      <sz val="11"/>
      <color rgb="FFFF0000"/>
      <name val="Yu Gothic"/>
      <family val="2"/>
      <charset val="128"/>
    </font>
    <font>
      <b/>
      <sz val="12"/>
      <color theme="6" tint="-0.499984740745262"/>
      <name val="Arial"/>
      <family val="2"/>
    </font>
    <font>
      <sz val="9"/>
      <color rgb="FFFF0000"/>
      <name val="Arial"/>
      <family val="2"/>
    </font>
    <font>
      <sz val="9"/>
      <color rgb="FFFF0000"/>
      <name val="ＭＳ Ｐゴシック"/>
      <family val="3"/>
      <charset val="128"/>
    </font>
    <font>
      <sz val="9"/>
      <name val="ＭＳ Ｐゴシック"/>
      <family val="2"/>
      <charset val="128"/>
    </font>
    <font>
      <sz val="10"/>
      <color rgb="FF0000FF"/>
      <name val="ＭＳ Ｐゴシック"/>
      <family val="3"/>
      <charset val="128"/>
    </font>
    <font>
      <b/>
      <sz val="9"/>
      <color theme="1"/>
      <name val="ＭＳ Ｐゴシック"/>
      <family val="3"/>
      <charset val="128"/>
    </font>
    <font>
      <sz val="9"/>
      <name val="Microsoft YaHei"/>
      <family val="2"/>
      <charset val="134"/>
    </font>
    <font>
      <sz val="9"/>
      <color theme="1"/>
      <name val="ＭＳ Ｐゴシック"/>
      <family val="3"/>
      <charset val="128"/>
    </font>
    <font>
      <b/>
      <sz val="9"/>
      <color indexed="10"/>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9"/>
      <color rgb="FF000080"/>
      <name val="Yu Gothic"/>
      <family val="3"/>
      <charset val="128"/>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2"/>
      <color rgb="FFFFFFFF"/>
      <name val="ＭＳ Ｐゴシック"/>
      <family val="3"/>
      <charset val="128"/>
    </font>
    <font>
      <b/>
      <sz val="10"/>
      <name val="ＭＳ ゴシック"/>
      <family val="3"/>
      <charset val="128"/>
    </font>
    <font>
      <sz val="10"/>
      <name val="Arial"/>
      <family val="1"/>
    </font>
    <font>
      <sz val="10"/>
      <name val="Microsoft JhengHei"/>
      <family val="2"/>
      <charset val="136"/>
    </font>
    <font>
      <b/>
      <sz val="12"/>
      <color rgb="FF000000"/>
      <name val="Yu Gothic"/>
      <family val="2"/>
      <charset val="128"/>
    </font>
    <font>
      <b/>
      <sz val="12"/>
      <color rgb="FF000000"/>
      <name val="ＭＳ ゴシック"/>
      <family val="3"/>
      <charset val="128"/>
    </font>
    <font>
      <b/>
      <sz val="10"/>
      <color rgb="FFFF0000"/>
      <name val="Arial"/>
      <family val="2"/>
    </font>
    <font>
      <b/>
      <sz val="10"/>
      <name val="Arial"/>
      <family val="3"/>
      <charset val="128"/>
    </font>
    <font>
      <b/>
      <sz val="12"/>
      <name val="ＭＳ ゴシック"/>
      <family val="3"/>
      <charset val="128"/>
    </font>
    <font>
      <sz val="11"/>
      <color theme="1"/>
      <name val="Arial"/>
      <family val="2"/>
    </font>
    <font>
      <sz val="11"/>
      <color theme="1"/>
      <name val="ＭＳ Ｐゴシック"/>
      <family val="3"/>
      <charset val="128"/>
    </font>
    <font>
      <sz val="12"/>
      <color theme="1"/>
      <name val="ＭＳ Ｐゴシック"/>
      <family val="3"/>
      <charset val="128"/>
    </font>
    <font>
      <b/>
      <sz val="10"/>
      <color theme="0"/>
      <name val="ＭＳ Ｐゴシック"/>
      <family val="3"/>
      <charset val="128"/>
      <scheme val="minor"/>
    </font>
    <font>
      <b/>
      <vertAlign val="subscript"/>
      <sz val="10"/>
      <color theme="0"/>
      <name val="ＭＳ Ｐゴシック"/>
      <family val="3"/>
      <charset val="128"/>
      <scheme val="minor"/>
    </font>
    <font>
      <sz val="10"/>
      <color theme="1"/>
      <name val="ＭＳ Ｐゴシック"/>
      <family val="3"/>
      <charset val="128"/>
    </font>
    <font>
      <sz val="11"/>
      <color rgb="FFFF0000"/>
      <name val="ＭＳ Ｐゴシック"/>
      <family val="3"/>
      <charset val="128"/>
      <scheme val="minor"/>
    </font>
    <font>
      <sz val="10"/>
      <color theme="1"/>
      <name val="Wingdings"/>
      <charset val="2"/>
    </font>
    <font>
      <b/>
      <vertAlign val="subscript"/>
      <sz val="12"/>
      <color rgb="FFFFFFFF"/>
      <name val="ＭＳ Ｐゴシック"/>
      <family val="3"/>
      <charset val="128"/>
    </font>
    <font>
      <sz val="9"/>
      <color indexed="60"/>
      <name val="ＭＳ Ｐゴシック"/>
      <family val="3"/>
      <charset val="128"/>
    </font>
    <font>
      <sz val="11"/>
      <color indexed="48"/>
      <name val="ＭＳ Ｐゴシック"/>
      <family val="3"/>
      <charset val="128"/>
    </font>
    <font>
      <sz val="9"/>
      <color indexed="48"/>
      <name val="ＭＳ Ｐゴシック"/>
      <family val="3"/>
      <charset val="128"/>
    </font>
    <font>
      <sz val="11"/>
      <color indexed="16"/>
      <name val="ＭＳ Ｐゴシック"/>
      <family val="3"/>
      <charset val="128"/>
    </font>
    <font>
      <sz val="16"/>
      <name val="ＭＳ Ｐゴシック"/>
      <family val="3"/>
      <charset val="128"/>
    </font>
    <font>
      <b/>
      <sz val="10"/>
      <name val="Yu Gothic"/>
      <family val="2"/>
      <charset val="128"/>
    </font>
    <font>
      <b/>
      <sz val="12"/>
      <color rgb="FFFFFFFF"/>
      <name val="ＭＳ ゴシック"/>
      <family val="3"/>
      <charset val="128"/>
    </font>
    <font>
      <b/>
      <sz val="12"/>
      <color rgb="FFFFFFFF"/>
      <name val="Yu Gothic"/>
      <family val="3"/>
      <charset val="128"/>
    </font>
    <font>
      <b/>
      <sz val="11"/>
      <color theme="8" tint="0.59999389629810485"/>
      <name val="Arial"/>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63"/>
        <bgColor indexed="64"/>
      </patternFill>
    </fill>
    <fill>
      <patternFill patternType="solid">
        <fgColor indexed="41"/>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17"/>
        <bgColor indexed="64"/>
      </patternFill>
    </fill>
    <fill>
      <patternFill patternType="solid">
        <fgColor indexed="27"/>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C0C0C0"/>
        <bgColor indexed="64"/>
      </patternFill>
    </fill>
    <fill>
      <patternFill patternType="solid">
        <fgColor indexed="40"/>
        <bgColor indexed="64"/>
      </patternFill>
    </fill>
    <fill>
      <patternFill patternType="solid">
        <fgColor theme="0" tint="-0.249977111117893"/>
        <bgColor indexed="64"/>
      </patternFill>
    </fill>
    <fill>
      <patternFill patternType="lightUp">
        <bgColor rgb="FFFFFFCC"/>
      </patternFill>
    </fill>
    <fill>
      <patternFill patternType="solid">
        <fgColor theme="0" tint="-0.14999847407452621"/>
        <bgColor indexed="64"/>
      </patternFill>
    </fill>
    <fill>
      <patternFill patternType="solid">
        <fgColor theme="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rgb="FF99CCFF"/>
        <bgColor indexed="64"/>
      </patternFill>
    </fill>
    <fill>
      <patternFill patternType="solid">
        <fgColor rgb="FFCCFFCC"/>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17"/>
      </left>
      <right/>
      <top/>
      <bottom/>
      <diagonal/>
    </border>
    <border>
      <left/>
      <right style="medium">
        <color indexed="17"/>
      </right>
      <top/>
      <bottom/>
      <diagonal/>
    </border>
    <border>
      <left/>
      <right/>
      <top/>
      <bottom style="hair">
        <color indexed="64"/>
      </bottom>
      <diagonal/>
    </border>
    <border>
      <left/>
      <right/>
      <top style="hair">
        <color indexed="64"/>
      </top>
      <bottom style="medium">
        <color indexed="17"/>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hair">
        <color indexed="64"/>
      </right>
      <top style="medium">
        <color indexed="64"/>
      </top>
      <bottom/>
      <diagonal/>
    </border>
    <border>
      <left/>
      <right style="hair">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style="medium">
        <color indexed="17"/>
      </right>
      <top style="thin">
        <color indexed="57"/>
      </top>
      <bottom style="thin">
        <color indexed="57"/>
      </bottom>
      <diagonal/>
    </border>
    <border>
      <left style="thin">
        <color indexed="64"/>
      </left>
      <right style="medium">
        <color indexed="17"/>
      </right>
      <top style="thin">
        <color indexed="64"/>
      </top>
      <bottom style="thin">
        <color indexed="64"/>
      </bottom>
      <diagonal/>
    </border>
    <border>
      <left/>
      <right style="medium">
        <color indexed="17"/>
      </right>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right style="medium">
        <color indexed="17"/>
      </right>
      <top style="hair">
        <color indexed="64"/>
      </top>
      <bottom style="medium">
        <color indexed="17"/>
      </bottom>
      <diagonal/>
    </border>
    <border>
      <left style="medium">
        <color indexed="17"/>
      </left>
      <right/>
      <top/>
      <bottom style="medium">
        <color indexed="17"/>
      </bottom>
      <diagonal/>
    </border>
    <border>
      <left style="medium">
        <color indexed="17"/>
      </left>
      <right style="medium">
        <color indexed="17"/>
      </right>
      <top style="thin">
        <color indexed="17"/>
      </top>
      <bottom style="medium">
        <color indexed="17"/>
      </bottom>
      <diagonal/>
    </border>
    <border>
      <left/>
      <right style="medium">
        <color indexed="17"/>
      </right>
      <top style="thin">
        <color indexed="17"/>
      </top>
      <bottom style="medium">
        <color indexed="17"/>
      </bottom>
      <diagonal/>
    </border>
    <border>
      <left/>
      <right/>
      <top style="thin">
        <color indexed="17"/>
      </top>
      <bottom style="thin">
        <color indexed="17"/>
      </bottom>
      <diagonal/>
    </border>
    <border>
      <left/>
      <right style="medium">
        <color indexed="17"/>
      </right>
      <top style="thin">
        <color indexed="17"/>
      </top>
      <bottom style="thin">
        <color indexed="17"/>
      </bottom>
      <diagonal/>
    </border>
    <border>
      <left style="medium">
        <color indexed="17"/>
      </left>
      <right style="medium">
        <color indexed="17"/>
      </right>
      <top style="thin">
        <color indexed="17"/>
      </top>
      <bottom style="thin">
        <color indexed="17"/>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17"/>
      </bottom>
      <diagonal/>
    </border>
    <border>
      <left/>
      <right/>
      <top style="thin">
        <color indexed="17"/>
      </top>
      <bottom/>
      <diagonal/>
    </border>
    <border>
      <left style="thin">
        <color indexed="64"/>
      </left>
      <right/>
      <top/>
      <bottom style="medium">
        <color indexed="17"/>
      </bottom>
      <diagonal/>
    </border>
    <border>
      <left/>
      <right style="medium">
        <color indexed="17"/>
      </right>
      <top style="thin">
        <color indexed="64"/>
      </top>
      <bottom style="thin">
        <color indexed="64"/>
      </bottom>
      <diagonal/>
    </border>
    <border>
      <left/>
      <right style="medium">
        <color indexed="17"/>
      </right>
      <top/>
      <bottom style="thin">
        <color indexed="64"/>
      </bottom>
      <diagonal/>
    </border>
    <border>
      <left style="thin">
        <color indexed="64"/>
      </left>
      <right/>
      <top style="thin">
        <color indexed="17"/>
      </top>
      <bottom/>
      <diagonal/>
    </border>
    <border>
      <left/>
      <right style="medium">
        <color indexed="17"/>
      </right>
      <top style="thin">
        <color indexed="17"/>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bottom/>
      <diagonal/>
    </border>
    <border>
      <left style="thin">
        <color indexed="64"/>
      </left>
      <right/>
      <top style="thin">
        <color indexed="57"/>
      </top>
      <bottom style="thin">
        <color indexed="64"/>
      </bottom>
      <diagonal/>
    </border>
    <border>
      <left/>
      <right style="thin">
        <color indexed="64"/>
      </right>
      <top style="thin">
        <color indexed="57"/>
      </top>
      <bottom style="thin">
        <color indexed="64"/>
      </bottom>
      <diagonal/>
    </border>
    <border>
      <left style="thin">
        <color indexed="64"/>
      </left>
      <right/>
      <top style="medium">
        <color indexed="17"/>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medium">
        <color indexed="64"/>
      </top>
      <bottom/>
      <diagonal/>
    </border>
    <border>
      <left style="dotted">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dotted">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left>
      <right style="thick">
        <color theme="0"/>
      </right>
      <top style="thick">
        <color indexed="10"/>
      </top>
      <bottom style="thin">
        <color indexed="9"/>
      </bottom>
      <diagonal/>
    </border>
    <border>
      <left/>
      <right style="thin">
        <color indexed="9"/>
      </right>
      <top style="thin">
        <color indexed="9"/>
      </top>
      <bottom style="thin">
        <color indexed="9"/>
      </bottom>
      <diagonal/>
    </border>
    <border>
      <left style="thick">
        <color indexed="10"/>
      </left>
      <right style="thin">
        <color theme="0"/>
      </right>
      <top style="thick">
        <color indexed="9"/>
      </top>
      <bottom style="thin">
        <color theme="0"/>
      </bottom>
      <diagonal/>
    </border>
    <border>
      <left/>
      <right style="thick">
        <color indexed="10"/>
      </right>
      <top style="thick">
        <color indexed="9"/>
      </top>
      <bottom style="thick">
        <color indexed="10"/>
      </bottom>
      <diagonal/>
    </border>
    <border>
      <left/>
      <right/>
      <top/>
      <bottom style="thick">
        <color indexed="10"/>
      </bottom>
      <diagonal/>
    </border>
    <border>
      <left style="thick">
        <color indexed="10"/>
      </left>
      <right/>
      <top/>
      <bottom style="thick">
        <color indexed="10"/>
      </bottom>
      <diagonal/>
    </border>
    <border>
      <left style="thick">
        <color indexed="10"/>
      </left>
      <right style="thin">
        <color theme="0"/>
      </right>
      <top style="thin">
        <color theme="0"/>
      </top>
      <bottom style="thick">
        <color indexed="9"/>
      </bottom>
      <diagonal/>
    </border>
    <border>
      <left/>
      <right style="thick">
        <color indexed="10"/>
      </right>
      <top style="thick">
        <color indexed="10"/>
      </top>
      <bottom style="thick">
        <color indexed="9"/>
      </bottom>
      <diagonal/>
    </border>
    <border>
      <left/>
      <right/>
      <top style="thick">
        <color indexed="10"/>
      </top>
      <bottom/>
      <diagonal/>
    </border>
    <border>
      <left style="thick">
        <color indexed="10"/>
      </left>
      <right/>
      <top style="thick">
        <color indexed="10"/>
      </top>
      <bottom style="thick">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ck">
        <color indexed="10"/>
      </left>
      <right style="thick">
        <color indexed="10"/>
      </right>
      <top style="thick">
        <color indexed="10"/>
      </top>
      <bottom style="thick">
        <color indexed="10"/>
      </bottom>
      <diagonal/>
    </border>
    <border>
      <left style="thick">
        <color indexed="12"/>
      </left>
      <right style="thin">
        <color theme="0"/>
      </right>
      <top style="thick">
        <color indexed="9"/>
      </top>
      <bottom style="thin">
        <color theme="0"/>
      </bottom>
      <diagonal/>
    </border>
    <border>
      <left/>
      <right style="thick">
        <color indexed="12"/>
      </right>
      <top style="thick">
        <color indexed="9"/>
      </top>
      <bottom style="thick">
        <color indexed="12"/>
      </bottom>
      <diagonal/>
    </border>
    <border>
      <left/>
      <right/>
      <top/>
      <bottom style="thick">
        <color indexed="12"/>
      </bottom>
      <diagonal/>
    </border>
    <border>
      <left style="thick">
        <color indexed="12"/>
      </left>
      <right/>
      <top/>
      <bottom style="thick">
        <color indexed="12"/>
      </bottom>
      <diagonal/>
    </border>
    <border>
      <left style="thick">
        <color indexed="9"/>
      </left>
      <right style="thick">
        <color indexed="12"/>
      </right>
      <top style="thick">
        <color indexed="9"/>
      </top>
      <bottom style="thick">
        <color indexed="9"/>
      </bottom>
      <diagonal/>
    </border>
    <border>
      <left style="thin">
        <color indexed="9"/>
      </left>
      <right/>
      <top style="thin">
        <color indexed="9"/>
      </top>
      <bottom style="thin">
        <color indexed="9"/>
      </bottom>
      <diagonal/>
    </border>
    <border>
      <left style="thick">
        <color indexed="12"/>
      </left>
      <right style="thin">
        <color theme="0"/>
      </right>
      <top style="thin">
        <color theme="0"/>
      </top>
      <bottom style="thick">
        <color indexed="9"/>
      </bottom>
      <diagonal/>
    </border>
    <border>
      <left/>
      <right style="thick">
        <color indexed="12"/>
      </right>
      <top style="thick">
        <color indexed="12"/>
      </top>
      <bottom style="thick">
        <color indexed="9"/>
      </bottom>
      <diagonal/>
    </border>
    <border>
      <left/>
      <right/>
      <top style="thick">
        <color indexed="12"/>
      </top>
      <bottom/>
      <diagonal/>
    </border>
    <border>
      <left style="thick">
        <color indexed="12"/>
      </left>
      <right/>
      <top style="thick">
        <color indexed="12"/>
      </top>
      <bottom style="thick">
        <color indexed="9"/>
      </bottom>
      <diagonal/>
    </border>
    <border>
      <left style="thin">
        <color theme="0"/>
      </left>
      <right style="thin">
        <color theme="0"/>
      </right>
      <top style="thin">
        <color theme="0"/>
      </top>
      <bottom style="thin">
        <color theme="0"/>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diagonal/>
    </border>
    <border>
      <left style="thin">
        <color indexed="64"/>
      </left>
      <right style="thin">
        <color indexed="64"/>
      </right>
      <top/>
      <bottom style="dotted">
        <color indexed="64"/>
      </bottom>
      <diagonal/>
    </border>
  </borders>
  <cellStyleXfs count="54">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14" fillId="0" borderId="0" applyNumberFormat="0" applyFill="0" applyBorder="0" applyAlignment="0" applyProtection="0">
      <alignment vertical="center"/>
    </xf>
    <xf numFmtId="0" fontId="13" fillId="20" borderId="1" applyNumberFormat="0" applyAlignment="0" applyProtection="0">
      <alignment vertical="center"/>
    </xf>
    <xf numFmtId="0" fontId="115" fillId="21" borderId="0" applyNumberFormat="0" applyBorder="0" applyAlignment="0" applyProtection="0">
      <alignment vertical="center"/>
    </xf>
    <xf numFmtId="9" fontId="1" fillId="0" borderId="0" applyFont="0" applyFill="0" applyBorder="0" applyAlignment="0" applyProtection="0">
      <alignment vertical="center"/>
    </xf>
    <xf numFmtId="0" fontId="70"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16" fillId="0" borderId="3" applyNumberFormat="0" applyFill="0" applyAlignment="0" applyProtection="0">
      <alignment vertical="center"/>
    </xf>
    <xf numFmtId="0" fontId="117" fillId="3" borderId="0" applyNumberFormat="0" applyBorder="0" applyAlignment="0" applyProtection="0">
      <alignment vertical="center"/>
    </xf>
    <xf numFmtId="0" fontId="118"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182" fontId="127" fillId="0" borderId="0" applyFill="0" applyBorder="0" applyProtection="0">
      <alignment horizontal="right" vertical="center"/>
    </xf>
    <xf numFmtId="0" fontId="119" fillId="0" borderId="5" applyNumberFormat="0" applyFill="0" applyAlignment="0" applyProtection="0">
      <alignment vertical="center"/>
    </xf>
    <xf numFmtId="0" fontId="120" fillId="0" borderId="6" applyNumberFormat="0" applyFill="0" applyAlignment="0" applyProtection="0">
      <alignment vertical="center"/>
    </xf>
    <xf numFmtId="0" fontId="121" fillId="0" borderId="7" applyNumberFormat="0" applyFill="0" applyAlignment="0" applyProtection="0">
      <alignment vertical="center"/>
    </xf>
    <xf numFmtId="0" fontId="121" fillId="0" borderId="0" applyNumberFormat="0" applyFill="0" applyBorder="0" applyAlignment="0" applyProtection="0">
      <alignment vertical="center"/>
    </xf>
    <xf numFmtId="0" fontId="128" fillId="0" borderId="0" applyFill="0" applyBorder="0">
      <alignment horizontal="center" vertical="center"/>
    </xf>
    <xf numFmtId="0" fontId="61" fillId="0" borderId="8" applyNumberFormat="0" applyFill="0" applyAlignment="0" applyProtection="0">
      <alignment vertical="center"/>
    </xf>
    <xf numFmtId="0" fontId="122" fillId="23" borderId="9" applyNumberFormat="0" applyAlignment="0" applyProtection="0">
      <alignment vertical="center"/>
    </xf>
    <xf numFmtId="0" fontId="123" fillId="0" borderId="0" applyNumberFormat="0" applyFill="0" applyBorder="0" applyAlignment="0" applyProtection="0">
      <alignment vertical="center"/>
    </xf>
    <xf numFmtId="0" fontId="124" fillId="7" borderId="4" applyNumberFormat="0" applyAlignment="0" applyProtection="0">
      <alignment vertical="center"/>
    </xf>
    <xf numFmtId="0" fontId="133" fillId="0" borderId="0">
      <alignment vertical="center"/>
    </xf>
    <xf numFmtId="0" fontId="1" fillId="0" borderId="0"/>
    <xf numFmtId="0" fontId="129" fillId="0" borderId="0" applyFill="0" applyBorder="0">
      <alignment horizontal="left" vertical="center"/>
    </xf>
    <xf numFmtId="0" fontId="125"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488">
    <xf numFmtId="0" fontId="0" fillId="0" borderId="0" xfId="0">
      <alignment vertical="center"/>
    </xf>
    <xf numFmtId="0" fontId="0" fillId="25" borderId="0" xfId="0" applyFill="1">
      <alignment vertical="center"/>
    </xf>
    <xf numFmtId="0" fontId="12" fillId="25" borderId="0" xfId="0" applyFont="1" applyFill="1">
      <alignment vertical="center"/>
    </xf>
    <xf numFmtId="0" fontId="0" fillId="25" borderId="0" xfId="0" applyFill="1" applyAlignment="1"/>
    <xf numFmtId="0" fontId="5" fillId="25" borderId="0" xfId="0" applyFont="1" applyFill="1">
      <alignment vertical="center"/>
    </xf>
    <xf numFmtId="0" fontId="2" fillId="24" borderId="0" xfId="0" applyFont="1" applyFill="1" applyProtection="1">
      <alignment vertical="center"/>
      <protection hidden="1"/>
    </xf>
    <xf numFmtId="0" fontId="4" fillId="24" borderId="0" xfId="0" applyFont="1" applyFill="1" applyProtection="1">
      <alignment vertical="center"/>
      <protection hidden="1"/>
    </xf>
    <xf numFmtId="0" fontId="68" fillId="0" borderId="0" xfId="0" applyFont="1" applyProtection="1">
      <alignment vertical="center"/>
      <protection hidden="1"/>
    </xf>
    <xf numFmtId="0" fontId="1" fillId="24" borderId="0" xfId="0" applyFont="1" applyFill="1" applyProtection="1">
      <alignment vertical="center"/>
      <protection hidden="1"/>
    </xf>
    <xf numFmtId="0" fontId="0" fillId="25" borderId="0" xfId="0" applyFill="1" applyProtection="1">
      <alignment vertical="center"/>
      <protection hidden="1"/>
    </xf>
    <xf numFmtId="0" fontId="43" fillId="24" borderId="0" xfId="0" applyFont="1" applyFill="1" applyProtection="1">
      <alignment vertical="center"/>
      <protection hidden="1"/>
    </xf>
    <xf numFmtId="0" fontId="41" fillId="24" borderId="0" xfId="0" applyFont="1" applyFill="1" applyAlignment="1" applyProtection="1">
      <alignment horizontal="left" vertical="center"/>
      <protection hidden="1"/>
    </xf>
    <xf numFmtId="0" fontId="41" fillId="24" borderId="0" xfId="0" applyFont="1" applyFill="1" applyAlignment="1" applyProtection="1">
      <alignment horizontal="right" vertical="center"/>
      <protection hidden="1"/>
    </xf>
    <xf numFmtId="0" fontId="41" fillId="24" borderId="0" xfId="0" applyFont="1" applyFill="1" applyProtection="1">
      <alignment vertical="center"/>
      <protection hidden="1"/>
    </xf>
    <xf numFmtId="0" fontId="42" fillId="24" borderId="0" xfId="0" applyFont="1" applyFill="1" applyProtection="1">
      <alignment vertical="center"/>
      <protection hidden="1"/>
    </xf>
    <xf numFmtId="0" fontId="42" fillId="24" borderId="0" xfId="0" applyFont="1" applyFill="1" applyAlignment="1" applyProtection="1">
      <alignment horizontal="center" vertical="center"/>
      <protection hidden="1"/>
    </xf>
    <xf numFmtId="0" fontId="44" fillId="24" borderId="0" xfId="0" applyFont="1" applyFill="1" applyAlignment="1" applyProtection="1">
      <alignment horizontal="center" vertical="center"/>
      <protection hidden="1"/>
    </xf>
    <xf numFmtId="0" fontId="45" fillId="24" borderId="0" xfId="0" applyFont="1" applyFill="1" applyProtection="1">
      <alignment vertical="center"/>
      <protection hidden="1"/>
    </xf>
    <xf numFmtId="0" fontId="48" fillId="24" borderId="0" xfId="0" applyFont="1" applyFill="1" applyProtection="1">
      <alignment vertical="center"/>
      <protection hidden="1"/>
    </xf>
    <xf numFmtId="3" fontId="19" fillId="24" borderId="0" xfId="0" applyNumberFormat="1" applyFont="1" applyFill="1" applyAlignment="1" applyProtection="1">
      <alignment horizontal="left" vertical="center"/>
      <protection hidden="1"/>
    </xf>
    <xf numFmtId="0" fontId="12" fillId="24" borderId="10" xfId="0" applyFont="1" applyFill="1" applyBorder="1" applyProtection="1">
      <alignment vertical="center"/>
      <protection hidden="1"/>
    </xf>
    <xf numFmtId="3" fontId="12" fillId="24" borderId="0" xfId="0" applyNumberFormat="1" applyFont="1" applyFill="1" applyAlignment="1" applyProtection="1">
      <alignment horizontal="left" vertical="center"/>
      <protection hidden="1"/>
    </xf>
    <xf numFmtId="0" fontId="55" fillId="24" borderId="0" xfId="0" applyFont="1" applyFill="1" applyProtection="1">
      <alignment vertical="center"/>
      <protection hidden="1"/>
    </xf>
    <xf numFmtId="180" fontId="55" fillId="24" borderId="0" xfId="0" applyNumberFormat="1" applyFont="1" applyFill="1" applyAlignment="1" applyProtection="1">
      <alignment horizontal="left" vertical="center"/>
      <protection hidden="1"/>
    </xf>
    <xf numFmtId="0" fontId="35" fillId="24" borderId="0" xfId="0" applyFont="1" applyFill="1" applyProtection="1">
      <alignment vertical="center"/>
      <protection hidden="1"/>
    </xf>
    <xf numFmtId="0" fontId="55" fillId="24" borderId="0" xfId="0" applyFont="1" applyFill="1" applyAlignment="1" applyProtection="1">
      <alignment horizontal="left" vertical="center"/>
      <protection hidden="1"/>
    </xf>
    <xf numFmtId="0" fontId="35" fillId="24" borderId="11" xfId="0" applyFont="1" applyFill="1" applyBorder="1" applyProtection="1">
      <alignment vertical="center"/>
      <protection hidden="1"/>
    </xf>
    <xf numFmtId="0" fontId="56" fillId="24" borderId="0" xfId="0" applyFont="1" applyFill="1" applyProtection="1">
      <alignment vertical="center"/>
      <protection hidden="1"/>
    </xf>
    <xf numFmtId="0" fontId="57" fillId="24" borderId="0" xfId="0" applyFont="1" applyFill="1" applyAlignment="1" applyProtection="1">
      <alignment horizontal="left" vertical="center"/>
      <protection hidden="1"/>
    </xf>
    <xf numFmtId="0" fontId="58" fillId="24" borderId="0" xfId="0" applyFont="1" applyFill="1" applyAlignment="1" applyProtection="1">
      <alignment horizontal="right" vertical="center"/>
      <protection hidden="1"/>
    </xf>
    <xf numFmtId="0" fontId="59" fillId="24" borderId="0" xfId="0" applyFont="1" applyFill="1" applyAlignment="1" applyProtection="1">
      <alignment horizontal="right" vertical="center"/>
      <protection hidden="1"/>
    </xf>
    <xf numFmtId="0" fontId="60" fillId="24" borderId="0" xfId="0" applyFont="1" applyFill="1" applyProtection="1">
      <alignment vertical="center"/>
      <protection hidden="1"/>
    </xf>
    <xf numFmtId="180" fontId="19" fillId="24" borderId="0" xfId="0" applyNumberFormat="1" applyFont="1" applyFill="1" applyAlignment="1" applyProtection="1">
      <alignment horizontal="left" vertical="center"/>
      <protection hidden="1"/>
    </xf>
    <xf numFmtId="0" fontId="18" fillId="24" borderId="12" xfId="0" applyFont="1" applyFill="1" applyBorder="1" applyProtection="1">
      <alignment vertical="center"/>
      <protection hidden="1"/>
    </xf>
    <xf numFmtId="0" fontId="42" fillId="24" borderId="12" xfId="0" applyFont="1" applyFill="1" applyBorder="1" applyAlignment="1" applyProtection="1">
      <alignment horizontal="center" vertical="center"/>
      <protection hidden="1"/>
    </xf>
    <xf numFmtId="0" fontId="42" fillId="24" borderId="12" xfId="0" applyFont="1" applyFill="1" applyBorder="1" applyProtection="1">
      <alignment vertical="center"/>
      <protection hidden="1"/>
    </xf>
    <xf numFmtId="0" fontId="35" fillId="24" borderId="12" xfId="0" applyFont="1" applyFill="1" applyBorder="1" applyProtection="1">
      <alignment vertical="center"/>
      <protection hidden="1"/>
    </xf>
    <xf numFmtId="0" fontId="35" fillId="24" borderId="13" xfId="0" applyFont="1" applyFill="1" applyBorder="1" applyProtection="1">
      <alignment vertical="center"/>
      <protection hidden="1"/>
    </xf>
    <xf numFmtId="0" fontId="19" fillId="24" borderId="0" xfId="0" applyFont="1" applyFill="1" applyAlignment="1" applyProtection="1">
      <alignment horizontal="left" vertical="center"/>
      <protection hidden="1"/>
    </xf>
    <xf numFmtId="0" fontId="65" fillId="24" borderId="0" xfId="0" applyFont="1" applyFill="1" applyProtection="1">
      <alignment vertical="center"/>
      <protection hidden="1"/>
    </xf>
    <xf numFmtId="0" fontId="19" fillId="24" borderId="0" xfId="0" applyFont="1" applyFill="1" applyAlignment="1" applyProtection="1">
      <alignment horizontal="right" vertical="center"/>
      <protection hidden="1"/>
    </xf>
    <xf numFmtId="0" fontId="53" fillId="24" borderId="0" xfId="0" applyFont="1" applyFill="1" applyProtection="1">
      <alignment vertical="center"/>
      <protection hidden="1"/>
    </xf>
    <xf numFmtId="49" fontId="12" fillId="25" borderId="15" xfId="0" applyNumberFormat="1" applyFont="1" applyFill="1" applyBorder="1" applyAlignment="1" applyProtection="1">
      <protection hidden="1"/>
    </xf>
    <xf numFmtId="0" fontId="2" fillId="25" borderId="16" xfId="0" applyFont="1" applyFill="1" applyBorder="1" applyAlignment="1" applyProtection="1">
      <alignment horizontal="left" vertical="center"/>
      <protection hidden="1"/>
    </xf>
    <xf numFmtId="0" fontId="12" fillId="25" borderId="15" xfId="0" applyFont="1" applyFill="1" applyBorder="1" applyAlignment="1" applyProtection="1">
      <protection hidden="1"/>
    </xf>
    <xf numFmtId="0" fontId="25" fillId="25" borderId="18" xfId="29" applyFont="1" applyFill="1" applyBorder="1" applyAlignment="1" applyProtection="1">
      <alignment horizontal="left" vertical="center" indent="1"/>
      <protection hidden="1"/>
    </xf>
    <xf numFmtId="0" fontId="0" fillId="25" borderId="0" xfId="0" applyFill="1" applyAlignment="1" applyProtection="1">
      <protection hidden="1"/>
    </xf>
    <xf numFmtId="0" fontId="6" fillId="25" borderId="15" xfId="0" applyFont="1" applyFill="1" applyBorder="1" applyProtection="1">
      <alignment vertical="center"/>
      <protection hidden="1"/>
    </xf>
    <xf numFmtId="0" fontId="0" fillId="25" borderId="16" xfId="0" applyFill="1" applyBorder="1" applyAlignment="1" applyProtection="1">
      <protection hidden="1"/>
    </xf>
    <xf numFmtId="0" fontId="2" fillId="0" borderId="0" xfId="0" applyFont="1" applyProtection="1">
      <alignment vertical="center"/>
      <protection hidden="1"/>
    </xf>
    <xf numFmtId="0" fontId="36" fillId="0" borderId="0" xfId="0" applyFont="1" applyProtection="1">
      <alignment vertical="center"/>
      <protection hidden="1"/>
    </xf>
    <xf numFmtId="0" fontId="1" fillId="24" borderId="11" xfId="0" applyFont="1" applyFill="1" applyBorder="1" applyProtection="1">
      <alignment vertical="center"/>
      <protection hidden="1"/>
    </xf>
    <xf numFmtId="0" fontId="2" fillId="24" borderId="0" xfId="0" applyFont="1" applyFill="1" applyAlignment="1" applyProtection="1">
      <alignment horizontal="left" vertical="center"/>
      <protection hidden="1"/>
    </xf>
    <xf numFmtId="178" fontId="6" fillId="24" borderId="0" xfId="0" applyNumberFormat="1" applyFont="1" applyFill="1" applyAlignment="1" applyProtection="1">
      <alignment horizontal="left"/>
      <protection hidden="1"/>
    </xf>
    <xf numFmtId="181" fontId="12" fillId="24" borderId="0" xfId="0" applyNumberFormat="1" applyFont="1" applyFill="1" applyProtection="1">
      <alignment vertical="center"/>
      <protection hidden="1"/>
    </xf>
    <xf numFmtId="0" fontId="9" fillId="24" borderId="0" xfId="0" applyFont="1" applyFill="1" applyAlignment="1" applyProtection="1">
      <alignment horizontal="center" vertical="center"/>
      <protection hidden="1"/>
    </xf>
    <xf numFmtId="0" fontId="73" fillId="24" borderId="0" xfId="0" applyFont="1" applyFill="1" applyAlignment="1" applyProtection="1">
      <alignment horizontal="center" vertical="center"/>
      <protection hidden="1"/>
    </xf>
    <xf numFmtId="0" fontId="1" fillId="0" borderId="0" xfId="0" applyFont="1">
      <alignment vertical="center"/>
    </xf>
    <xf numFmtId="0" fontId="82" fillId="0" borderId="0" xfId="0" applyFont="1" applyProtection="1">
      <alignment vertical="center"/>
      <protection hidden="1"/>
    </xf>
    <xf numFmtId="0" fontId="63" fillId="0" borderId="0" xfId="0" applyFont="1" applyProtection="1">
      <alignment vertical="center"/>
      <protection hidden="1"/>
    </xf>
    <xf numFmtId="0" fontId="14" fillId="28" borderId="20" xfId="0" applyFont="1" applyFill="1" applyBorder="1" applyAlignment="1" applyProtection="1">
      <alignment horizontal="left" vertical="center"/>
      <protection hidden="1"/>
    </xf>
    <xf numFmtId="0" fontId="14" fillId="28" borderId="21" xfId="0" applyFont="1" applyFill="1" applyBorder="1" applyAlignment="1" applyProtection="1">
      <alignment horizontal="left" vertical="center"/>
      <protection hidden="1"/>
    </xf>
    <xf numFmtId="0" fontId="35" fillId="0" borderId="0" xfId="0" applyFont="1" applyProtection="1">
      <alignment vertical="center"/>
      <protection hidden="1"/>
    </xf>
    <xf numFmtId="0" fontId="48" fillId="0" borderId="0" xfId="0" applyFont="1" applyProtection="1">
      <alignment vertical="center"/>
      <protection hidden="1"/>
    </xf>
    <xf numFmtId="0" fontId="48" fillId="0" borderId="11" xfId="0" applyFont="1" applyBorder="1" applyProtection="1">
      <alignment vertical="center"/>
      <protection hidden="1"/>
    </xf>
    <xf numFmtId="0" fontId="42" fillId="0" borderId="0" xfId="0" applyFont="1" applyProtection="1">
      <alignment vertical="center"/>
      <protection hidden="1"/>
    </xf>
    <xf numFmtId="0" fontId="49" fillId="0" borderId="0" xfId="0" applyFont="1" applyAlignment="1" applyProtection="1">
      <alignment horizontal="center" vertical="center"/>
      <protection hidden="1"/>
    </xf>
    <xf numFmtId="3" fontId="12" fillId="0" borderId="10" xfId="0" applyNumberFormat="1" applyFont="1" applyBorder="1" applyAlignment="1" applyProtection="1">
      <alignment horizontal="left" vertical="center"/>
      <protection hidden="1"/>
    </xf>
    <xf numFmtId="0" fontId="0" fillId="24" borderId="30" xfId="0" applyFill="1" applyBorder="1" applyProtection="1">
      <alignment vertical="center"/>
      <protection hidden="1"/>
    </xf>
    <xf numFmtId="0" fontId="0" fillId="24" borderId="31" xfId="0" applyFill="1" applyBorder="1" applyProtection="1">
      <alignment vertical="center"/>
      <protection hidden="1"/>
    </xf>
    <xf numFmtId="0" fontId="55" fillId="0" borderId="10" xfId="0" applyFont="1" applyBorder="1" applyAlignment="1" applyProtection="1">
      <alignment horizontal="left" vertical="center"/>
      <protection hidden="1"/>
    </xf>
    <xf numFmtId="0" fontId="55" fillId="0" borderId="0" xfId="0" applyFont="1" applyAlignment="1" applyProtection="1">
      <alignment horizontal="left" vertical="center"/>
      <protection hidden="1"/>
    </xf>
    <xf numFmtId="0" fontId="55" fillId="0" borderId="11" xfId="0" applyFont="1" applyBorder="1" applyAlignment="1" applyProtection="1">
      <alignment horizontal="left" vertical="center"/>
      <protection hidden="1"/>
    </xf>
    <xf numFmtId="0" fontId="48" fillId="0" borderId="10" xfId="0" applyFont="1" applyBorder="1" applyProtection="1">
      <alignmen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180" fontId="59" fillId="0" borderId="0" xfId="0" applyNumberFormat="1" applyFont="1" applyAlignment="1" applyProtection="1">
      <alignment horizontal="left" vertical="center"/>
      <protection hidden="1"/>
    </xf>
    <xf numFmtId="0" fontId="59"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1" fontId="18" fillId="0" borderId="0" xfId="0" applyNumberFormat="1" applyFont="1" applyProtection="1">
      <alignment vertical="center"/>
      <protection hidden="1"/>
    </xf>
    <xf numFmtId="0" fontId="18" fillId="0" borderId="0" xfId="0" applyFont="1" applyProtection="1">
      <alignment vertical="center"/>
      <protection hidden="1"/>
    </xf>
    <xf numFmtId="0" fontId="42" fillId="0" borderId="0" xfId="0" applyFont="1" applyAlignment="1" applyProtection="1">
      <alignment horizontal="center" vertical="center"/>
      <protection hidden="1"/>
    </xf>
    <xf numFmtId="0" fontId="48" fillId="0" borderId="0" xfId="0" applyFont="1" applyAlignment="1" applyProtection="1">
      <alignment horizontal="right" vertical="center"/>
      <protection hidden="1"/>
    </xf>
    <xf numFmtId="0" fontId="41" fillId="0" borderId="0" xfId="0" applyFont="1" applyProtection="1">
      <alignment vertical="center"/>
      <protection hidden="1"/>
    </xf>
    <xf numFmtId="0" fontId="19" fillId="0" borderId="0" xfId="0" applyFont="1" applyAlignment="1" applyProtection="1">
      <alignment horizontal="left" vertical="center"/>
      <protection hidden="1"/>
    </xf>
    <xf numFmtId="0" fontId="41" fillId="0" borderId="0" xfId="0" applyFont="1" applyAlignment="1" applyProtection="1">
      <alignment horizontal="left" vertical="center"/>
      <protection hidden="1"/>
    </xf>
    <xf numFmtId="0" fontId="41" fillId="0" borderId="0" xfId="0" applyFont="1" applyAlignment="1" applyProtection="1">
      <alignment horizontal="right" vertical="center"/>
      <protection hidden="1"/>
    </xf>
    <xf numFmtId="0" fontId="18" fillId="0" borderId="10" xfId="0" applyFont="1" applyBorder="1" applyProtection="1">
      <alignment vertical="center"/>
      <protection hidden="1"/>
    </xf>
    <xf numFmtId="0" fontId="18" fillId="0" borderId="25" xfId="0" applyFont="1" applyBorder="1" applyProtection="1">
      <alignment vertical="center"/>
      <protection hidden="1"/>
    </xf>
    <xf numFmtId="0" fontId="18" fillId="0" borderId="26" xfId="0" applyFont="1" applyBorder="1" applyProtection="1">
      <alignment vertical="center"/>
      <protection hidden="1"/>
    </xf>
    <xf numFmtId="0" fontId="18" fillId="0" borderId="26" xfId="0" applyFont="1" applyBorder="1" applyAlignment="1" applyProtection="1">
      <alignment horizontal="right" vertical="center"/>
      <protection hidden="1"/>
    </xf>
    <xf numFmtId="0" fontId="42" fillId="0" borderId="26" xfId="0" applyFont="1" applyBorder="1" applyProtection="1">
      <alignment vertical="center"/>
      <protection hidden="1"/>
    </xf>
    <xf numFmtId="0" fontId="19" fillId="0" borderId="26" xfId="0" applyFont="1" applyBorder="1" applyAlignment="1" applyProtection="1">
      <alignment horizontal="left" vertical="center"/>
      <protection hidden="1"/>
    </xf>
    <xf numFmtId="0" fontId="35" fillId="0" borderId="26" xfId="0" applyFont="1" applyBorder="1" applyProtection="1">
      <alignment vertical="center"/>
      <protection hidden="1"/>
    </xf>
    <xf numFmtId="0" fontId="48" fillId="0" borderId="26" xfId="0" applyFont="1" applyBorder="1" applyProtection="1">
      <alignment vertical="center"/>
      <protection hidden="1"/>
    </xf>
    <xf numFmtId="0" fontId="48" fillId="0" borderId="27" xfId="0" applyFont="1" applyBorder="1" applyProtection="1">
      <alignment vertical="center"/>
      <protection hidden="1"/>
    </xf>
    <xf numFmtId="0" fontId="0" fillId="0" borderId="0" xfId="0" applyProtection="1">
      <alignment vertical="center"/>
      <protection hidden="1"/>
    </xf>
    <xf numFmtId="0" fontId="14" fillId="28" borderId="22" xfId="0" applyFont="1" applyFill="1" applyBorder="1" applyProtection="1">
      <alignment vertical="center"/>
      <protection hidden="1"/>
    </xf>
    <xf numFmtId="0" fontId="51" fillId="28" borderId="23" xfId="0" applyFont="1" applyFill="1" applyBorder="1" applyProtection="1">
      <alignment vertical="center"/>
      <protection hidden="1"/>
    </xf>
    <xf numFmtId="0" fontId="51" fillId="28" borderId="23" xfId="0" applyFont="1" applyFill="1" applyBorder="1" applyAlignment="1" applyProtection="1">
      <alignment horizontal="right" vertical="center"/>
      <protection hidden="1"/>
    </xf>
    <xf numFmtId="0" fontId="47" fillId="28" borderId="23" xfId="0" applyFont="1" applyFill="1" applyBorder="1" applyAlignment="1" applyProtection="1">
      <alignment horizontal="right" vertical="top"/>
      <protection hidden="1"/>
    </xf>
    <xf numFmtId="0" fontId="42" fillId="28" borderId="23" xfId="0" applyFont="1" applyFill="1" applyBorder="1" applyAlignment="1" applyProtection="1">
      <alignment horizontal="center" vertical="center"/>
      <protection hidden="1"/>
    </xf>
    <xf numFmtId="0" fontId="48" fillId="28" borderId="23" xfId="0" applyFont="1" applyFill="1" applyBorder="1" applyProtection="1">
      <alignment vertical="center"/>
      <protection hidden="1"/>
    </xf>
    <xf numFmtId="0" fontId="14" fillId="28" borderId="14" xfId="0" applyFont="1" applyFill="1" applyBorder="1" applyProtection="1">
      <alignment vertical="center"/>
      <protection hidden="1"/>
    </xf>
    <xf numFmtId="0" fontId="51" fillId="28" borderId="20" xfId="0" applyFont="1" applyFill="1" applyBorder="1" applyProtection="1">
      <alignment vertical="center"/>
      <protection hidden="1"/>
    </xf>
    <xf numFmtId="0" fontId="51" fillId="28" borderId="20" xfId="0" applyFont="1" applyFill="1" applyBorder="1" applyAlignment="1" applyProtection="1">
      <alignment horizontal="right" vertical="center"/>
      <protection hidden="1"/>
    </xf>
    <xf numFmtId="0" fontId="30" fillId="28" borderId="20" xfId="0" applyFont="1" applyFill="1" applyBorder="1" applyAlignment="1" applyProtection="1">
      <alignment horizontal="right" vertical="top"/>
      <protection hidden="1"/>
    </xf>
    <xf numFmtId="0" fontId="42" fillId="28" borderId="20" xfId="0" applyFont="1" applyFill="1" applyBorder="1" applyAlignment="1" applyProtection="1">
      <alignment horizontal="center" vertical="center"/>
      <protection hidden="1"/>
    </xf>
    <xf numFmtId="0" fontId="48" fillId="28" borderId="20" xfId="0" applyFont="1" applyFill="1" applyBorder="1" applyProtection="1">
      <alignment vertical="center"/>
      <protection hidden="1"/>
    </xf>
    <xf numFmtId="0" fontId="30" fillId="28" borderId="21" xfId="0" applyFont="1" applyFill="1" applyBorder="1" applyAlignment="1" applyProtection="1">
      <alignment horizontal="right" vertical="center"/>
      <protection hidden="1"/>
    </xf>
    <xf numFmtId="0" fontId="12" fillId="25" borderId="15" xfId="0" applyFont="1" applyFill="1" applyBorder="1" applyAlignment="1" applyProtection="1">
      <alignment horizontal="right"/>
      <protection hidden="1"/>
    </xf>
    <xf numFmtId="0" fontId="14" fillId="28" borderId="23" xfId="0" applyFont="1" applyFill="1" applyBorder="1" applyAlignment="1" applyProtection="1">
      <alignment horizontal="left" vertical="center"/>
      <protection hidden="1"/>
    </xf>
    <xf numFmtId="0" fontId="50" fillId="28" borderId="23" xfId="0" applyFont="1" applyFill="1" applyBorder="1" applyAlignment="1" applyProtection="1">
      <alignment horizontal="right" vertical="top"/>
      <protection hidden="1"/>
    </xf>
    <xf numFmtId="0" fontId="37" fillId="24" borderId="0" xfId="0" applyFont="1" applyFill="1" applyProtection="1">
      <alignment vertical="center"/>
      <protection hidden="1"/>
    </xf>
    <xf numFmtId="0" fontId="37" fillId="24" borderId="0" xfId="0" applyFont="1" applyFill="1" applyAlignment="1" applyProtection="1">
      <alignment horizontal="left" vertical="center"/>
      <protection hidden="1"/>
    </xf>
    <xf numFmtId="0" fontId="38" fillId="24" borderId="0" xfId="0" applyFont="1" applyFill="1" applyAlignment="1" applyProtection="1">
      <alignment horizontal="left" vertical="center"/>
      <protection hidden="1"/>
    </xf>
    <xf numFmtId="0" fontId="37" fillId="24" borderId="0" xfId="0" applyFont="1" applyFill="1" applyAlignment="1" applyProtection="1">
      <alignment horizontal="right" vertical="center"/>
      <protection hidden="1"/>
    </xf>
    <xf numFmtId="0" fontId="39" fillId="24" borderId="0" xfId="0" applyFont="1" applyFill="1" applyProtection="1">
      <alignment vertical="center"/>
      <protection hidden="1"/>
    </xf>
    <xf numFmtId="0" fontId="39" fillId="24" borderId="0" xfId="0" applyFont="1" applyFill="1" applyAlignment="1" applyProtection="1">
      <alignment horizontal="center" vertical="center"/>
      <protection hidden="1"/>
    </xf>
    <xf numFmtId="14" fontId="35" fillId="24" borderId="0" xfId="0" applyNumberFormat="1" applyFont="1" applyFill="1" applyAlignment="1" applyProtection="1">
      <alignment horizontal="center" vertical="center"/>
      <protection hidden="1"/>
    </xf>
    <xf numFmtId="0" fontId="37" fillId="0" borderId="0" xfId="0" applyFont="1" applyProtection="1">
      <alignment vertical="center"/>
      <protection hidden="1"/>
    </xf>
    <xf numFmtId="0" fontId="48" fillId="0" borderId="0" xfId="0" applyFont="1" applyAlignment="1" applyProtection="1">
      <alignment horizontal="left" vertical="center"/>
      <protection hidden="1"/>
    </xf>
    <xf numFmtId="0" fontId="63" fillId="0" borderId="26" xfId="0" applyFont="1" applyBorder="1" applyProtection="1">
      <alignment vertical="center"/>
      <protection hidden="1"/>
    </xf>
    <xf numFmtId="0" fontId="63" fillId="0" borderId="10" xfId="0" applyFont="1" applyBorder="1" applyProtection="1">
      <alignment vertical="center"/>
      <protection hidden="1"/>
    </xf>
    <xf numFmtId="0" fontId="63" fillId="0" borderId="11" xfId="0" applyFont="1" applyBorder="1" applyProtection="1">
      <alignment vertical="center"/>
      <protection hidden="1"/>
    </xf>
    <xf numFmtId="0" fontId="63" fillId="0" borderId="27" xfId="0" applyFont="1" applyBorder="1" applyProtection="1">
      <alignment vertical="center"/>
      <protection hidden="1"/>
    </xf>
    <xf numFmtId="0" fontId="63" fillId="24" borderId="10" xfId="0" applyFont="1" applyFill="1" applyBorder="1" applyProtection="1">
      <alignment vertical="center"/>
      <protection hidden="1"/>
    </xf>
    <xf numFmtId="0" fontId="63" fillId="0" borderId="32" xfId="0" applyFont="1" applyBorder="1" applyProtection="1">
      <alignment vertical="center"/>
      <protection hidden="1"/>
    </xf>
    <xf numFmtId="0" fontId="63" fillId="0" borderId="12" xfId="0" applyFont="1" applyBorder="1" applyProtection="1">
      <alignment vertical="center"/>
      <protection hidden="1"/>
    </xf>
    <xf numFmtId="0" fontId="63" fillId="0" borderId="0" xfId="0" applyFont="1" applyAlignment="1" applyProtection="1">
      <alignment horizontal="centerContinuous" vertical="center"/>
      <protection hidden="1"/>
    </xf>
    <xf numFmtId="0" fontId="48" fillId="0" borderId="0" xfId="0" quotePrefix="1" applyFont="1" applyAlignment="1" applyProtection="1">
      <alignment horizontal="left" vertical="center"/>
      <protection hidden="1"/>
    </xf>
    <xf numFmtId="0" fontId="49" fillId="0" borderId="0" xfId="0" quotePrefix="1" applyFont="1" applyAlignment="1" applyProtection="1">
      <alignment horizontal="center" vertical="center"/>
      <protection hidden="1"/>
    </xf>
    <xf numFmtId="0" fontId="49" fillId="0" borderId="0" xfId="0" applyFont="1" applyProtection="1">
      <alignment vertical="center"/>
      <protection hidden="1"/>
    </xf>
    <xf numFmtId="0" fontId="66" fillId="0" borderId="0" xfId="0" quotePrefix="1" applyFont="1" applyAlignment="1" applyProtection="1">
      <alignment horizontal="left" vertical="center"/>
      <protection hidden="1"/>
    </xf>
    <xf numFmtId="0" fontId="86" fillId="0" borderId="0" xfId="0" quotePrefix="1" applyFont="1" applyAlignment="1" applyProtection="1">
      <alignment horizontal="left" vertical="center"/>
      <protection hidden="1"/>
    </xf>
    <xf numFmtId="0" fontId="86" fillId="0" borderId="0" xfId="0" quotePrefix="1" applyFont="1" applyAlignment="1" applyProtection="1">
      <alignment horizontal="right" vertical="center"/>
      <protection hidden="1"/>
    </xf>
    <xf numFmtId="0" fontId="66" fillId="0" borderId="0" xfId="0" quotePrefix="1" applyFont="1" applyAlignment="1" applyProtection="1">
      <alignment horizontal="right" vertical="center"/>
      <protection hidden="1"/>
    </xf>
    <xf numFmtId="0" fontId="12" fillId="0" borderId="0" xfId="0" applyFont="1" applyProtection="1">
      <alignment vertical="center"/>
      <protection hidden="1"/>
    </xf>
    <xf numFmtId="0" fontId="34" fillId="0" borderId="0" xfId="0" applyFont="1" applyProtection="1">
      <alignment vertical="center"/>
      <protection hidden="1"/>
    </xf>
    <xf numFmtId="0" fontId="40" fillId="0" borderId="0" xfId="0" applyFont="1" applyAlignment="1" applyProtection="1">
      <alignment horizontal="center" vertical="center"/>
      <protection hidden="1"/>
    </xf>
    <xf numFmtId="0" fontId="1" fillId="0" borderId="0" xfId="0" applyFont="1" applyProtection="1">
      <alignment vertical="center"/>
      <protection hidden="1"/>
    </xf>
    <xf numFmtId="0" fontId="4" fillId="0" borderId="0" xfId="0" applyFont="1" applyAlignment="1" applyProtection="1">
      <alignment horizontal="right" vertical="center"/>
      <protection hidden="1"/>
    </xf>
    <xf numFmtId="49" fontId="79" fillId="25" borderId="33" xfId="0" applyNumberFormat="1" applyFont="1" applyFill="1" applyBorder="1" applyProtection="1">
      <alignment vertical="center"/>
      <protection hidden="1"/>
    </xf>
    <xf numFmtId="0" fontId="12" fillId="25" borderId="34" xfId="0" applyFont="1" applyFill="1" applyBorder="1" applyAlignment="1" applyProtection="1">
      <alignment horizontal="left" vertical="center"/>
      <protection hidden="1"/>
    </xf>
    <xf numFmtId="0" fontId="79" fillId="25" borderId="35" xfId="0" applyFont="1" applyFill="1" applyBorder="1" applyAlignment="1" applyProtection="1">
      <alignment horizontal="left" vertical="center"/>
      <protection hidden="1"/>
    </xf>
    <xf numFmtId="0" fontId="79" fillId="25" borderId="34" xfId="0" applyFont="1" applyFill="1" applyBorder="1" applyAlignment="1" applyProtection="1">
      <alignment horizontal="left" vertical="center"/>
      <protection hidden="1"/>
    </xf>
    <xf numFmtId="31" fontId="18" fillId="25" borderId="34" xfId="0" applyNumberFormat="1" applyFont="1" applyFill="1" applyBorder="1" applyAlignment="1" applyProtection="1">
      <alignment horizontal="left" vertical="center"/>
      <protection hidden="1"/>
    </xf>
    <xf numFmtId="0" fontId="12" fillId="25" borderId="12" xfId="0" applyFont="1" applyFill="1" applyBorder="1" applyProtection="1">
      <alignment vertical="center"/>
      <protection hidden="1"/>
    </xf>
    <xf numFmtId="0" fontId="12" fillId="0" borderId="35" xfId="0" applyFont="1" applyBorder="1" applyProtection="1">
      <alignment vertical="center"/>
      <protection hidden="1"/>
    </xf>
    <xf numFmtId="0" fontId="12" fillId="0" borderId="35"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3" fontId="19" fillId="0" borderId="0" xfId="0" applyNumberFormat="1" applyFont="1" applyAlignment="1" applyProtection="1">
      <alignment horizontal="left" vertical="center"/>
      <protection hidden="1"/>
    </xf>
    <xf numFmtId="0" fontId="0" fillId="30" borderId="36" xfId="0" applyFill="1" applyBorder="1" applyAlignment="1" applyProtection="1">
      <alignment horizontal="center" vertical="center"/>
      <protection hidden="1"/>
    </xf>
    <xf numFmtId="0" fontId="0" fillId="30" borderId="37" xfId="0" applyFill="1" applyBorder="1" applyAlignment="1" applyProtection="1">
      <alignment horizontal="center" vertical="center"/>
      <protection hidden="1"/>
    </xf>
    <xf numFmtId="0" fontId="0" fillId="30" borderId="38" xfId="0" applyFill="1" applyBorder="1" applyProtection="1">
      <alignment vertical="center"/>
      <protection hidden="1"/>
    </xf>
    <xf numFmtId="0" fontId="0" fillId="25" borderId="39" xfId="0" applyFill="1" applyBorder="1" applyAlignment="1" applyProtection="1">
      <alignment horizontal="center" vertical="center"/>
      <protection hidden="1"/>
    </xf>
    <xf numFmtId="0" fontId="0" fillId="25" borderId="40" xfId="0" applyFill="1" applyBorder="1" applyAlignment="1" applyProtection="1">
      <alignment horizontal="center" vertical="center" wrapText="1"/>
      <protection hidden="1"/>
    </xf>
    <xf numFmtId="0" fontId="0" fillId="25" borderId="41" xfId="0" applyFill="1" applyBorder="1" applyAlignment="1" applyProtection="1">
      <alignment horizontal="center" vertical="center" wrapText="1"/>
      <protection hidden="1"/>
    </xf>
    <xf numFmtId="0" fontId="0" fillId="25" borderId="42" xfId="0"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14" fillId="28" borderId="22" xfId="0" applyFont="1" applyFill="1" applyBorder="1" applyAlignment="1" applyProtection="1">
      <alignment horizontal="left" vertical="center"/>
      <protection hidden="1"/>
    </xf>
    <xf numFmtId="49" fontId="12" fillId="24" borderId="22" xfId="0" applyNumberFormat="1" applyFont="1" applyFill="1" applyBorder="1" applyAlignment="1" applyProtection="1">
      <alignment horizontal="left" vertical="center"/>
      <protection hidden="1"/>
    </xf>
    <xf numFmtId="3" fontId="19" fillId="24" borderId="23" xfId="0" applyNumberFormat="1" applyFont="1" applyFill="1" applyBorder="1" applyAlignment="1" applyProtection="1">
      <alignment horizontal="left" vertical="center"/>
      <protection hidden="1"/>
    </xf>
    <xf numFmtId="56" fontId="19" fillId="0" borderId="0" xfId="0" applyNumberFormat="1" applyFont="1" applyAlignment="1" applyProtection="1">
      <alignment horizontal="left" vertical="center"/>
      <protection hidden="1"/>
    </xf>
    <xf numFmtId="0" fontId="67" fillId="0" borderId="0" xfId="0" applyFont="1" applyProtection="1">
      <alignment vertical="center"/>
      <protection hidden="1"/>
    </xf>
    <xf numFmtId="0" fontId="9" fillId="24" borderId="0" xfId="0" applyFont="1" applyFill="1" applyAlignment="1" applyProtection="1">
      <protection hidden="1"/>
    </xf>
    <xf numFmtId="0" fontId="99" fillId="24" borderId="0" xfId="0" applyFont="1" applyFill="1" applyAlignment="1" applyProtection="1">
      <alignment horizontal="left" vertical="center"/>
      <protection hidden="1"/>
    </xf>
    <xf numFmtId="0" fontId="100" fillId="24" borderId="0" xfId="0" applyFont="1" applyFill="1" applyAlignment="1" applyProtection="1">
      <alignment horizontal="right" vertical="center"/>
      <protection hidden="1"/>
    </xf>
    <xf numFmtId="0" fontId="100" fillId="24" borderId="0" xfId="0" applyFont="1" applyFill="1" applyProtection="1">
      <alignment vertical="center"/>
      <protection hidden="1"/>
    </xf>
    <xf numFmtId="0" fontId="72" fillId="0" borderId="0" xfId="0" applyFont="1" applyProtection="1">
      <alignment vertical="center"/>
      <protection hidden="1"/>
    </xf>
    <xf numFmtId="0" fontId="101" fillId="24" borderId="0" xfId="0" applyFont="1" applyFill="1" applyProtection="1">
      <alignment vertical="center"/>
      <protection hidden="1"/>
    </xf>
    <xf numFmtId="0" fontId="102" fillId="24" borderId="0" xfId="0" applyFont="1" applyFill="1" applyAlignment="1" applyProtection="1">
      <alignment horizontal="center" vertical="center"/>
      <protection hidden="1"/>
    </xf>
    <xf numFmtId="0" fontId="2" fillId="0" borderId="0" xfId="0" applyFont="1" applyAlignment="1" applyProtection="1">
      <alignment horizontal="left" vertical="center"/>
      <protection hidden="1"/>
    </xf>
    <xf numFmtId="0" fontId="102" fillId="24" borderId="0" xfId="0" applyFont="1" applyFill="1" applyAlignment="1" applyProtection="1">
      <alignment horizontal="right" vertical="center"/>
      <protection hidden="1"/>
    </xf>
    <xf numFmtId="0" fontId="2" fillId="0" borderId="0" xfId="0" applyFont="1" applyAlignment="1" applyProtection="1">
      <alignment horizontal="right" vertical="center"/>
      <protection hidden="1"/>
    </xf>
    <xf numFmtId="0" fontId="14" fillId="28" borderId="43" xfId="0" applyFont="1" applyFill="1" applyBorder="1" applyProtection="1">
      <alignment vertical="center"/>
      <protection hidden="1"/>
    </xf>
    <xf numFmtId="0" fontId="28" fillId="28" borderId="20" xfId="0" applyFont="1" applyFill="1" applyBorder="1" applyAlignment="1" applyProtection="1">
      <alignment horizontal="left" vertical="center"/>
      <protection hidden="1"/>
    </xf>
    <xf numFmtId="0" fontId="87" fillId="28" borderId="20" xfId="0" applyFont="1" applyFill="1" applyBorder="1" applyAlignment="1" applyProtection="1">
      <alignment horizontal="right" vertical="center"/>
      <protection hidden="1"/>
    </xf>
    <xf numFmtId="0" fontId="53" fillId="28" borderId="20" xfId="0" applyFont="1" applyFill="1" applyBorder="1" applyAlignment="1" applyProtection="1">
      <alignment horizontal="right" vertical="center"/>
      <protection hidden="1"/>
    </xf>
    <xf numFmtId="0" fontId="53" fillId="28" borderId="21" xfId="0" applyFont="1" applyFill="1" applyBorder="1" applyAlignment="1" applyProtection="1">
      <alignment horizontal="right" vertical="center"/>
      <protection hidden="1"/>
    </xf>
    <xf numFmtId="182" fontId="39" fillId="0" borderId="0" xfId="36" applyNumberFormat="1" applyFont="1" applyFill="1" applyBorder="1" applyAlignment="1" applyProtection="1">
      <alignment horizontal="right" vertical="center"/>
      <protection hidden="1"/>
    </xf>
    <xf numFmtId="0" fontId="63" fillId="0" borderId="25" xfId="0" applyFont="1" applyBorder="1" applyProtection="1">
      <alignment vertical="center"/>
      <protection hidden="1"/>
    </xf>
    <xf numFmtId="0" fontId="47" fillId="28" borderId="24" xfId="0" applyFont="1" applyFill="1" applyBorder="1" applyAlignment="1" applyProtection="1">
      <alignment horizontal="right" vertical="center"/>
      <protection hidden="1"/>
    </xf>
    <xf numFmtId="0" fontId="13" fillId="31" borderId="44" xfId="0" applyFont="1" applyFill="1" applyBorder="1" applyProtection="1">
      <alignment vertical="center"/>
      <protection hidden="1"/>
    </xf>
    <xf numFmtId="0" fontId="18" fillId="31" borderId="35" xfId="0" applyFont="1" applyFill="1" applyBorder="1" applyProtection="1">
      <alignment vertical="center"/>
      <protection hidden="1"/>
    </xf>
    <xf numFmtId="0" fontId="18" fillId="31" borderId="35" xfId="0" applyFont="1" applyFill="1" applyBorder="1" applyAlignment="1" applyProtection="1">
      <alignment horizontal="right" vertical="center"/>
      <protection hidden="1"/>
    </xf>
    <xf numFmtId="0" fontId="19" fillId="31" borderId="45" xfId="0" applyFont="1" applyFill="1" applyBorder="1" applyProtection="1">
      <alignment vertical="center"/>
      <protection hidden="1"/>
    </xf>
    <xf numFmtId="0" fontId="13" fillId="31" borderId="35" xfId="0" applyFont="1" applyFill="1" applyBorder="1" applyProtection="1">
      <alignment vertical="center"/>
      <protection hidden="1"/>
    </xf>
    <xf numFmtId="0" fontId="19" fillId="31" borderId="35" xfId="0" applyFont="1" applyFill="1" applyBorder="1" applyAlignment="1" applyProtection="1">
      <alignment horizontal="center" vertical="center"/>
      <protection hidden="1"/>
    </xf>
    <xf numFmtId="0" fontId="19" fillId="31" borderId="46" xfId="0" applyFont="1" applyFill="1" applyBorder="1" applyAlignment="1" applyProtection="1">
      <alignment horizontal="center" vertical="center"/>
      <protection hidden="1"/>
    </xf>
    <xf numFmtId="0" fontId="104" fillId="31" borderId="44" xfId="0" applyFont="1" applyFill="1" applyBorder="1" applyProtection="1">
      <alignment vertical="center"/>
      <protection hidden="1"/>
    </xf>
    <xf numFmtId="0" fontId="19" fillId="31" borderId="45" xfId="0" applyFont="1" applyFill="1" applyBorder="1" applyAlignment="1" applyProtection="1">
      <alignment horizontal="center" vertical="center"/>
      <protection hidden="1"/>
    </xf>
    <xf numFmtId="0" fontId="19" fillId="31" borderId="0" xfId="0" applyFont="1" applyFill="1" applyAlignment="1" applyProtection="1">
      <alignment horizontal="center" vertical="center"/>
      <protection hidden="1"/>
    </xf>
    <xf numFmtId="0" fontId="19" fillId="31" borderId="47" xfId="0" applyFont="1" applyFill="1" applyBorder="1" applyAlignment="1" applyProtection="1">
      <alignment horizontal="center" vertical="center"/>
      <protection hidden="1"/>
    </xf>
    <xf numFmtId="0" fontId="19" fillId="31" borderId="0" xfId="0" applyFont="1" applyFill="1" applyAlignment="1" applyProtection="1">
      <alignment horizontal="left" vertical="center"/>
      <protection hidden="1"/>
    </xf>
    <xf numFmtId="0" fontId="18" fillId="31" borderId="0" xfId="0" applyFont="1" applyFill="1" applyAlignment="1" applyProtection="1">
      <alignment horizontal="right" vertical="center"/>
      <protection hidden="1"/>
    </xf>
    <xf numFmtId="0" fontId="18" fillId="31" borderId="11" xfId="0" applyFont="1" applyFill="1" applyBorder="1" applyAlignment="1" applyProtection="1">
      <alignment horizontal="right" vertical="center"/>
      <protection hidden="1"/>
    </xf>
    <xf numFmtId="0" fontId="19" fillId="31" borderId="35" xfId="0" applyFont="1" applyFill="1" applyBorder="1" applyAlignment="1" applyProtection="1">
      <alignment horizontal="left" vertical="center"/>
      <protection hidden="1"/>
    </xf>
    <xf numFmtId="0" fontId="18" fillId="31" borderId="45" xfId="0" applyFont="1" applyFill="1" applyBorder="1" applyAlignment="1" applyProtection="1">
      <alignment horizontal="right" vertical="center"/>
      <protection hidden="1"/>
    </xf>
    <xf numFmtId="0" fontId="18" fillId="31" borderId="46" xfId="0" applyFont="1" applyFill="1" applyBorder="1" applyAlignment="1" applyProtection="1">
      <alignment horizontal="right" vertical="center"/>
      <protection hidden="1"/>
    </xf>
    <xf numFmtId="0" fontId="85" fillId="0" borderId="10" xfId="0" applyFont="1" applyBorder="1" applyProtection="1">
      <alignment vertical="center"/>
      <protection hidden="1"/>
    </xf>
    <xf numFmtId="0" fontId="63" fillId="0" borderId="24" xfId="0" applyFont="1" applyBorder="1" applyProtection="1">
      <alignment vertical="center"/>
      <protection hidden="1"/>
    </xf>
    <xf numFmtId="3" fontId="19" fillId="24" borderId="48" xfId="0" applyNumberFormat="1" applyFont="1" applyFill="1" applyBorder="1" applyAlignment="1" applyProtection="1">
      <alignment horizontal="left" vertical="center"/>
      <protection hidden="1"/>
    </xf>
    <xf numFmtId="3" fontId="19" fillId="24" borderId="49" xfId="0" applyNumberFormat="1" applyFont="1" applyFill="1" applyBorder="1" applyAlignment="1" applyProtection="1">
      <alignment horizontal="left" vertical="center"/>
      <protection hidden="1"/>
    </xf>
    <xf numFmtId="3" fontId="18" fillId="24" borderId="49" xfId="0" applyNumberFormat="1" applyFont="1" applyFill="1" applyBorder="1" applyAlignment="1" applyProtection="1">
      <alignment horizontal="left" vertical="center"/>
      <protection hidden="1"/>
    </xf>
    <xf numFmtId="0" fontId="63" fillId="0" borderId="49" xfId="0" applyFont="1" applyBorder="1" applyProtection="1">
      <alignment vertical="center"/>
      <protection hidden="1"/>
    </xf>
    <xf numFmtId="0" fontId="35" fillId="0" borderId="49" xfId="0" applyFont="1" applyBorder="1" applyProtection="1">
      <alignment vertical="center"/>
      <protection hidden="1"/>
    </xf>
    <xf numFmtId="2" fontId="18" fillId="24" borderId="49" xfId="0" applyNumberFormat="1" applyFont="1" applyFill="1" applyBorder="1" applyAlignment="1" applyProtection="1">
      <alignment horizontal="left" vertical="center"/>
      <protection hidden="1"/>
    </xf>
    <xf numFmtId="3" fontId="84" fillId="24" borderId="49" xfId="0" applyNumberFormat="1" applyFont="1" applyFill="1" applyBorder="1" applyAlignment="1" applyProtection="1">
      <alignment horizontal="left" vertical="center"/>
      <protection hidden="1"/>
    </xf>
    <xf numFmtId="0" fontId="12" fillId="24" borderId="10" xfId="0" applyFont="1" applyFill="1" applyBorder="1" applyAlignment="1" applyProtection="1">
      <alignment horizontal="left" vertical="center"/>
      <protection hidden="1"/>
    </xf>
    <xf numFmtId="0" fontId="64" fillId="0" borderId="11" xfId="0" applyFont="1" applyBorder="1" applyAlignment="1" applyProtection="1">
      <alignment horizontal="right" vertical="center"/>
      <protection hidden="1"/>
    </xf>
    <xf numFmtId="49" fontId="12" fillId="24" borderId="10" xfId="0" applyNumberFormat="1" applyFont="1" applyFill="1" applyBorder="1" applyAlignment="1" applyProtection="1">
      <alignment horizontal="left" vertical="center"/>
      <protection hidden="1"/>
    </xf>
    <xf numFmtId="0" fontId="18" fillId="24" borderId="0" xfId="0" applyFont="1" applyFill="1" applyAlignment="1" applyProtection="1">
      <alignment horizontal="left" vertical="center"/>
      <protection hidden="1"/>
    </xf>
    <xf numFmtId="37" fontId="18" fillId="24" borderId="0" xfId="0" applyNumberFormat="1" applyFont="1" applyFill="1" applyAlignment="1" applyProtection="1">
      <alignment horizontal="left" vertical="center"/>
      <protection hidden="1"/>
    </xf>
    <xf numFmtId="0" fontId="12" fillId="24" borderId="32" xfId="0" applyFont="1" applyFill="1" applyBorder="1" applyProtection="1">
      <alignment vertical="center"/>
      <protection hidden="1"/>
    </xf>
    <xf numFmtId="3" fontId="18" fillId="24" borderId="12" xfId="0" applyNumberFormat="1" applyFont="1" applyFill="1" applyBorder="1" applyAlignment="1" applyProtection="1">
      <alignment horizontal="left" vertical="center"/>
      <protection hidden="1"/>
    </xf>
    <xf numFmtId="180" fontId="59" fillId="0" borderId="0" xfId="0" applyNumberFormat="1" applyFont="1" applyAlignment="1" applyProtection="1">
      <alignment horizontal="right" vertical="center"/>
      <protection hidden="1"/>
    </xf>
    <xf numFmtId="180" fontId="59" fillId="24" borderId="11" xfId="0" applyNumberFormat="1" applyFont="1" applyFill="1" applyBorder="1" applyAlignment="1" applyProtection="1">
      <alignment horizontal="center" vertical="center"/>
      <protection hidden="1"/>
    </xf>
    <xf numFmtId="180" fontId="59" fillId="0" borderId="11" xfId="0" applyNumberFormat="1" applyFont="1" applyBorder="1" applyAlignment="1" applyProtection="1">
      <alignment horizontal="center" vertical="center"/>
      <protection hidden="1"/>
    </xf>
    <xf numFmtId="0" fontId="39" fillId="0" borderId="0" xfId="0" applyFont="1" applyAlignment="1" applyProtection="1">
      <protection hidden="1"/>
    </xf>
    <xf numFmtId="0" fontId="14" fillId="28" borderId="43" xfId="0" applyFont="1" applyFill="1" applyBorder="1" applyAlignment="1" applyProtection="1">
      <alignment horizontal="left" vertical="center"/>
      <protection hidden="1"/>
    </xf>
    <xf numFmtId="0" fontId="12" fillId="0" borderId="25" xfId="0" applyFont="1" applyBorder="1" applyProtection="1">
      <alignment vertical="center"/>
      <protection hidden="1"/>
    </xf>
    <xf numFmtId="0" fontId="22" fillId="0" borderId="0" xfId="0" applyFont="1" applyAlignment="1" applyProtection="1">
      <alignment horizontal="center" vertical="center"/>
      <protection hidden="1"/>
    </xf>
    <xf numFmtId="0" fontId="2" fillId="0" borderId="34" xfId="0" applyFont="1" applyBorder="1" applyAlignment="1" applyProtection="1">
      <alignment horizontal="right" vertical="center"/>
      <protection hidden="1"/>
    </xf>
    <xf numFmtId="0" fontId="77" fillId="25" borderId="0" xfId="0" applyFont="1" applyFill="1" applyAlignment="1" applyProtection="1">
      <alignment horizontal="left" vertical="center"/>
      <protection hidden="1"/>
    </xf>
    <xf numFmtId="0" fontId="81" fillId="25" borderId="0" xfId="0" applyFont="1" applyFill="1" applyAlignment="1" applyProtection="1">
      <alignment vertical="top"/>
      <protection hidden="1"/>
    </xf>
    <xf numFmtId="0" fontId="106" fillId="25" borderId="0" xfId="0" applyFont="1" applyFill="1" applyAlignment="1" applyProtection="1">
      <alignment horizontal="right"/>
      <protection hidden="1"/>
    </xf>
    <xf numFmtId="0" fontId="107" fillId="32" borderId="0" xfId="0" applyFont="1" applyFill="1" applyAlignment="1" applyProtection="1">
      <alignment horizontal="centerContinuous" vertical="center"/>
      <protection hidden="1"/>
    </xf>
    <xf numFmtId="0" fontId="108" fillId="32" borderId="0" xfId="0" applyFont="1" applyFill="1" applyAlignment="1" applyProtection="1">
      <alignment horizontal="centerContinuous" vertical="center"/>
      <protection hidden="1"/>
    </xf>
    <xf numFmtId="0" fontId="107" fillId="32" borderId="0" xfId="0" applyFont="1" applyFill="1" applyAlignment="1" applyProtection="1">
      <alignment horizontal="centerContinuous" vertical="top"/>
      <protection hidden="1"/>
    </xf>
    <xf numFmtId="0" fontId="9" fillId="25" borderId="0" xfId="0" applyFont="1" applyFill="1" applyAlignment="1">
      <alignment horizontal="left" vertical="center"/>
    </xf>
    <xf numFmtId="0" fontId="19" fillId="25" borderId="0" xfId="0" applyFont="1" applyFill="1" applyAlignment="1">
      <alignment horizontal="left" vertical="center"/>
    </xf>
    <xf numFmtId="0" fontId="81" fillId="25" borderId="0" xfId="0" applyFont="1" applyFill="1" applyAlignment="1" applyProtection="1">
      <alignment horizontal="left" vertical="top"/>
      <protection hidden="1"/>
    </xf>
    <xf numFmtId="0" fontId="2" fillId="25" borderId="0" xfId="0" applyFont="1" applyFill="1" applyAlignment="1">
      <alignment horizontal="left" vertical="center"/>
    </xf>
    <xf numFmtId="0" fontId="11" fillId="0" borderId="50" xfId="0" applyFont="1" applyBorder="1" applyProtection="1">
      <alignment vertical="center"/>
      <protection hidden="1"/>
    </xf>
    <xf numFmtId="0" fontId="0" fillId="24" borderId="51" xfId="0" applyFill="1" applyBorder="1" applyProtection="1">
      <alignment vertical="center"/>
      <protection hidden="1"/>
    </xf>
    <xf numFmtId="0" fontId="0" fillId="24" borderId="52" xfId="0" applyFill="1" applyBorder="1" applyProtection="1">
      <alignment vertical="center"/>
      <protection hidden="1"/>
    </xf>
    <xf numFmtId="0" fontId="17" fillId="32" borderId="53" xfId="0" applyFont="1" applyFill="1" applyBorder="1" applyProtection="1">
      <alignment vertical="center"/>
      <protection hidden="1"/>
    </xf>
    <xf numFmtId="0" fontId="109" fillId="32" borderId="54" xfId="0" applyFont="1" applyFill="1" applyBorder="1" applyProtection="1">
      <alignment vertical="center"/>
      <protection hidden="1"/>
    </xf>
    <xf numFmtId="0" fontId="20" fillId="24" borderId="55" xfId="0" applyFont="1" applyFill="1" applyBorder="1" applyAlignment="1" applyProtection="1">
      <alignment horizontal="center" vertical="center"/>
      <protection locked="0"/>
    </xf>
    <xf numFmtId="3" fontId="19" fillId="25" borderId="0" xfId="0" applyNumberFormat="1" applyFont="1" applyFill="1" applyAlignment="1" applyProtection="1">
      <alignment horizontal="left" vertical="center"/>
      <protection hidden="1"/>
    </xf>
    <xf numFmtId="0" fontId="0" fillId="25" borderId="0" xfId="0" applyFill="1" applyAlignment="1" applyProtection="1">
      <alignment horizontal="left"/>
      <protection hidden="1"/>
    </xf>
    <xf numFmtId="3" fontId="18" fillId="25" borderId="0" xfId="0" applyNumberFormat="1" applyFont="1" applyFill="1" applyAlignment="1" applyProtection="1">
      <alignment horizontal="left" vertical="center"/>
      <protection hidden="1"/>
    </xf>
    <xf numFmtId="180" fontId="2" fillId="25" borderId="0" xfId="0" applyNumberFormat="1" applyFont="1" applyFill="1" applyAlignment="1" applyProtection="1">
      <alignment horizontal="left" vertical="center"/>
      <protection hidden="1"/>
    </xf>
    <xf numFmtId="0" fontId="12" fillId="25" borderId="0" xfId="0" applyFont="1" applyFill="1" applyProtection="1">
      <alignment vertical="center"/>
      <protection hidden="1"/>
    </xf>
    <xf numFmtId="0" fontId="0" fillId="25" borderId="56" xfId="0" applyFill="1" applyBorder="1" applyAlignment="1" applyProtection="1">
      <protection hidden="1"/>
    </xf>
    <xf numFmtId="0" fontId="17" fillId="32" borderId="57" xfId="0" applyFont="1" applyFill="1" applyBorder="1" applyProtection="1">
      <alignment vertical="center"/>
      <protection hidden="1"/>
    </xf>
    <xf numFmtId="0" fontId="17" fillId="32" borderId="58" xfId="0" applyFont="1" applyFill="1" applyBorder="1" applyProtection="1">
      <alignment vertical="center"/>
      <protection hidden="1"/>
    </xf>
    <xf numFmtId="0" fontId="6" fillId="25" borderId="60" xfId="0" applyFont="1" applyFill="1" applyBorder="1" applyProtection="1">
      <alignment vertical="center"/>
      <protection hidden="1"/>
    </xf>
    <xf numFmtId="0" fontId="109" fillId="32" borderId="61" xfId="0" applyFont="1" applyFill="1" applyBorder="1" applyProtection="1">
      <alignment vertical="center"/>
      <protection hidden="1"/>
    </xf>
    <xf numFmtId="0" fontId="109" fillId="32" borderId="62" xfId="0" applyFont="1" applyFill="1" applyBorder="1" applyProtection="1">
      <alignment vertical="center"/>
      <protection hidden="1"/>
    </xf>
    <xf numFmtId="0" fontId="109" fillId="32" borderId="63" xfId="0" applyFont="1" applyFill="1" applyBorder="1" applyProtection="1">
      <alignment vertical="center"/>
      <protection hidden="1"/>
    </xf>
    <xf numFmtId="0" fontId="109" fillId="32" borderId="64" xfId="0" applyFont="1" applyFill="1" applyBorder="1" applyProtection="1">
      <alignment vertical="center"/>
      <protection hidden="1"/>
    </xf>
    <xf numFmtId="0" fontId="17" fillId="32" borderId="65" xfId="0" applyFont="1" applyFill="1" applyBorder="1" applyProtection="1">
      <alignment vertical="center"/>
      <protection hidden="1"/>
    </xf>
    <xf numFmtId="0" fontId="63" fillId="0" borderId="66" xfId="0" applyFont="1" applyBorder="1" applyProtection="1">
      <alignment vertical="center"/>
      <protection hidden="1"/>
    </xf>
    <xf numFmtId="0" fontId="12" fillId="0" borderId="32" xfId="0" applyFont="1" applyBorder="1" applyProtection="1">
      <alignment vertical="center"/>
      <protection hidden="1"/>
    </xf>
    <xf numFmtId="55" fontId="12" fillId="24" borderId="0" xfId="0" applyNumberFormat="1" applyFont="1" applyFill="1" applyAlignment="1" applyProtection="1">
      <alignment horizontal="left" vertical="center"/>
      <protection hidden="1"/>
    </xf>
    <xf numFmtId="187" fontId="12" fillId="24" borderId="11" xfId="0" applyNumberFormat="1" applyFont="1" applyFill="1" applyBorder="1" applyAlignment="1" applyProtection="1">
      <alignment horizontal="centerContinuous" vertical="center"/>
      <protection hidden="1"/>
    </xf>
    <xf numFmtId="0" fontId="12" fillId="24" borderId="32" xfId="0" applyFont="1" applyFill="1" applyBorder="1" applyAlignment="1" applyProtection="1">
      <alignment horizontal="left" vertical="center"/>
      <protection hidden="1"/>
    </xf>
    <xf numFmtId="37" fontId="18" fillId="24" borderId="12" xfId="0" applyNumberFormat="1" applyFont="1" applyFill="1" applyBorder="1" applyAlignment="1" applyProtection="1">
      <alignment horizontal="left" vertical="center"/>
      <protection hidden="1"/>
    </xf>
    <xf numFmtId="3" fontId="12" fillId="0" borderId="25" xfId="0" applyNumberFormat="1" applyFont="1" applyBorder="1" applyAlignment="1" applyProtection="1">
      <alignment horizontal="left" vertical="center"/>
      <protection hidden="1"/>
    </xf>
    <xf numFmtId="0" fontId="35" fillId="0" borderId="67" xfId="0" applyFont="1" applyBorder="1" applyProtection="1">
      <alignment vertical="center"/>
      <protection hidden="1"/>
    </xf>
    <xf numFmtId="0" fontId="87" fillId="28" borderId="20" xfId="0" applyFont="1" applyFill="1" applyBorder="1" applyProtection="1">
      <alignment vertical="center"/>
      <protection hidden="1"/>
    </xf>
    <xf numFmtId="0" fontId="88" fillId="28" borderId="20" xfId="0" applyFont="1" applyFill="1" applyBorder="1" applyProtection="1">
      <alignment vertical="center"/>
      <protection hidden="1"/>
    </xf>
    <xf numFmtId="55" fontId="12" fillId="24" borderId="11" xfId="0" applyNumberFormat="1" applyFont="1" applyFill="1" applyBorder="1" applyAlignment="1" applyProtection="1">
      <alignment horizontal="left" vertical="center"/>
      <protection hidden="1"/>
    </xf>
    <xf numFmtId="0" fontId="12" fillId="24" borderId="49" xfId="0" applyFont="1" applyFill="1" applyBorder="1" applyAlignment="1" applyProtection="1">
      <alignment horizontal="left" vertical="center" shrinkToFit="1"/>
      <protection hidden="1"/>
    </xf>
    <xf numFmtId="0" fontId="12" fillId="24" borderId="13" xfId="0" applyFont="1" applyFill="1" applyBorder="1" applyAlignment="1" applyProtection="1">
      <alignment horizontal="centerContinuous" vertical="center"/>
      <protection hidden="1"/>
    </xf>
    <xf numFmtId="31" fontId="12" fillId="0" borderId="27" xfId="0" applyNumberFormat="1" applyFont="1" applyBorder="1" applyAlignment="1" applyProtection="1">
      <alignment horizontal="centerContinuous" vertical="center"/>
      <protection hidden="1"/>
    </xf>
    <xf numFmtId="3" fontId="12" fillId="24" borderId="0" xfId="0" applyNumberFormat="1" applyFont="1" applyFill="1" applyAlignment="1" applyProtection="1">
      <alignment horizontal="centerContinuous" vertical="center"/>
      <protection hidden="1"/>
    </xf>
    <xf numFmtId="3" fontId="12" fillId="24" borderId="11" xfId="0" applyNumberFormat="1" applyFont="1" applyFill="1" applyBorder="1" applyAlignment="1" applyProtection="1">
      <alignment horizontal="centerContinuous" vertical="center"/>
      <protection hidden="1"/>
    </xf>
    <xf numFmtId="176" fontId="12" fillId="24" borderId="0" xfId="0" applyNumberFormat="1" applyFont="1" applyFill="1" applyAlignment="1" applyProtection="1">
      <alignment horizontal="left" vertical="center"/>
      <protection hidden="1"/>
    </xf>
    <xf numFmtId="0" fontId="12" fillId="0" borderId="10" xfId="0" applyFont="1" applyBorder="1" applyProtection="1">
      <alignment vertical="center"/>
      <protection hidden="1"/>
    </xf>
    <xf numFmtId="3" fontId="26" fillId="24" borderId="49" xfId="0" applyNumberFormat="1" applyFont="1" applyFill="1" applyBorder="1" applyAlignment="1" applyProtection="1">
      <alignment horizontal="left" vertical="center"/>
      <protection hidden="1"/>
    </xf>
    <xf numFmtId="0" fontId="63" fillId="0" borderId="13" xfId="0" applyFont="1" applyBorder="1" applyAlignment="1" applyProtection="1">
      <alignment horizontal="centerContinuous" vertical="center"/>
      <protection hidden="1"/>
    </xf>
    <xf numFmtId="0" fontId="0" fillId="0" borderId="11" xfId="0" applyBorder="1" applyAlignment="1" applyProtection="1">
      <alignment horizontal="left" vertical="center"/>
      <protection hidden="1"/>
    </xf>
    <xf numFmtId="0" fontId="104" fillId="31" borderId="68" xfId="0" applyFont="1" applyFill="1" applyBorder="1" applyProtection="1">
      <alignment vertical="center"/>
      <protection hidden="1"/>
    </xf>
    <xf numFmtId="0" fontId="104" fillId="31" borderId="69" xfId="0" applyFont="1" applyFill="1" applyBorder="1" applyProtection="1">
      <alignment vertical="center"/>
      <protection hidden="1"/>
    </xf>
    <xf numFmtId="0" fontId="104" fillId="31" borderId="0" xfId="0" applyFont="1" applyFill="1" applyProtection="1">
      <alignment vertical="center"/>
      <protection hidden="1"/>
    </xf>
    <xf numFmtId="0" fontId="104" fillId="31" borderId="35" xfId="0" applyFont="1" applyFill="1" applyBorder="1" applyProtection="1">
      <alignment vertical="center"/>
      <protection hidden="1"/>
    </xf>
    <xf numFmtId="0" fontId="64" fillId="0" borderId="10" xfId="0" applyFont="1" applyBorder="1" applyProtection="1">
      <alignment vertical="center"/>
      <protection locked="0"/>
    </xf>
    <xf numFmtId="0" fontId="64" fillId="0" borderId="0" xfId="0" applyFont="1" applyProtection="1">
      <alignment vertical="center"/>
      <protection locked="0"/>
    </xf>
    <xf numFmtId="0" fontId="24" fillId="0" borderId="0" xfId="0" applyFont="1" applyAlignment="1" applyProtection="1">
      <alignment horizontal="center" vertical="center"/>
      <protection locked="0"/>
    </xf>
    <xf numFmtId="0" fontId="63" fillId="0" borderId="0" xfId="0" applyFont="1" applyProtection="1">
      <alignment vertical="center"/>
      <protection locked="0"/>
    </xf>
    <xf numFmtId="0" fontId="63"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3" fontId="74" fillId="24" borderId="0" xfId="0" applyNumberFormat="1" applyFont="1" applyFill="1" applyAlignment="1" applyProtection="1">
      <alignment horizontal="left" vertical="center"/>
      <protection locked="0"/>
    </xf>
    <xf numFmtId="3" fontId="23" fillId="24" borderId="0" xfId="0" applyNumberFormat="1" applyFont="1" applyFill="1" applyAlignment="1" applyProtection="1">
      <alignment horizontal="left" vertical="center"/>
      <protection locked="0"/>
    </xf>
    <xf numFmtId="0" fontId="64" fillId="0" borderId="25" xfId="0" applyFont="1" applyBorder="1" applyProtection="1">
      <alignment vertical="center"/>
      <protection locked="0"/>
    </xf>
    <xf numFmtId="0" fontId="64" fillId="0" borderId="26" xfId="0" applyFont="1" applyBorder="1" applyProtection="1">
      <alignment vertical="center"/>
      <protection locked="0"/>
    </xf>
    <xf numFmtId="0" fontId="64" fillId="0" borderId="26" xfId="0" applyFont="1" applyBorder="1" applyAlignment="1" applyProtection="1">
      <alignment horizontal="center" vertical="center"/>
      <protection locked="0"/>
    </xf>
    <xf numFmtId="0" fontId="63" fillId="0" borderId="23" xfId="0" applyFont="1" applyBorder="1" applyProtection="1">
      <alignment vertical="center"/>
      <protection locked="0"/>
    </xf>
    <xf numFmtId="0" fontId="63" fillId="0" borderId="24" xfId="0" applyFont="1" applyBorder="1" applyProtection="1">
      <alignment vertical="center"/>
      <protection locked="0"/>
    </xf>
    <xf numFmtId="0" fontId="85" fillId="0" borderId="0" xfId="0" applyFont="1" applyProtection="1">
      <alignment vertical="center"/>
      <protection locked="0"/>
    </xf>
    <xf numFmtId="3" fontId="83" fillId="0" borderId="0" xfId="0" applyNumberFormat="1" applyFont="1" applyAlignment="1" applyProtection="1">
      <alignment horizontal="left" vertical="center"/>
      <protection locked="0"/>
    </xf>
    <xf numFmtId="0" fontId="35" fillId="0" borderId="0" xfId="0" applyFont="1" applyProtection="1">
      <alignment vertical="center"/>
      <protection locked="0"/>
    </xf>
    <xf numFmtId="0" fontId="35" fillId="0" borderId="11" xfId="0" applyFont="1" applyBorder="1" applyProtection="1">
      <alignment vertical="center"/>
      <protection locked="0"/>
    </xf>
    <xf numFmtId="0" fontId="85" fillId="0" borderId="26" xfId="0" applyFont="1" applyBorder="1" applyProtection="1">
      <alignment vertical="center"/>
      <protection locked="0"/>
    </xf>
    <xf numFmtId="3" fontId="83" fillId="0" borderId="26" xfId="0" applyNumberFormat="1" applyFont="1" applyBorder="1" applyAlignment="1" applyProtection="1">
      <alignment horizontal="left" vertical="center"/>
      <protection locked="0"/>
    </xf>
    <xf numFmtId="0" fontId="35" fillId="0" borderId="26" xfId="0" applyFont="1" applyBorder="1" applyProtection="1">
      <alignment vertical="center"/>
      <protection locked="0"/>
    </xf>
    <xf numFmtId="0" fontId="35" fillId="0" borderId="27" xfId="0" applyFont="1" applyBorder="1" applyProtection="1">
      <alignment vertical="center"/>
      <protection locked="0"/>
    </xf>
    <xf numFmtId="0" fontId="12" fillId="0" borderId="0" xfId="0" applyFont="1" applyAlignment="1" applyProtection="1">
      <alignment horizontal="left" vertical="center"/>
      <protection hidden="1"/>
    </xf>
    <xf numFmtId="0" fontId="2" fillId="25" borderId="0" xfId="0" applyFont="1" applyFill="1" applyAlignment="1" applyProtection="1">
      <alignment horizontal="right" vertical="center"/>
      <protection hidden="1"/>
    </xf>
    <xf numFmtId="0" fontId="12" fillId="24" borderId="34" xfId="0" applyFont="1" applyFill="1" applyBorder="1" applyAlignment="1" applyProtection="1">
      <alignment horizontal="right" vertical="center"/>
      <protection locked="0"/>
    </xf>
    <xf numFmtId="31" fontId="12" fillId="24" borderId="34" xfId="0" applyNumberFormat="1"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7" fillId="24" borderId="0" xfId="0" applyFont="1" applyFill="1" applyAlignment="1" applyProtection="1">
      <alignment horizontal="right"/>
      <protection hidden="1"/>
    </xf>
    <xf numFmtId="0" fontId="12" fillId="0" borderId="0" xfId="0" applyFont="1">
      <alignment vertical="center"/>
    </xf>
    <xf numFmtId="0" fontId="1" fillId="0" borderId="0" xfId="0" applyFont="1" applyAlignment="1">
      <alignment horizontal="left" vertical="center"/>
    </xf>
    <xf numFmtId="0" fontId="12" fillId="0" borderId="0" xfId="0" applyFont="1" applyAlignment="1" applyProtection="1">
      <protection hidden="1"/>
    </xf>
    <xf numFmtId="0" fontId="0" fillId="0" borderId="0" xfId="0" applyAlignment="1"/>
    <xf numFmtId="0" fontId="1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12" fillId="0" borderId="0" xfId="0" applyFont="1" applyAlignment="1">
      <alignment vertical="center" shrinkToFit="1"/>
    </xf>
    <xf numFmtId="0" fontId="0" fillId="25" borderId="16" xfId="0" applyFill="1" applyBorder="1">
      <alignment vertical="center"/>
    </xf>
    <xf numFmtId="31" fontId="12" fillId="24" borderId="72" xfId="0" applyNumberFormat="1" applyFont="1" applyFill="1" applyBorder="1" applyAlignment="1" applyProtection="1">
      <alignment horizontal="right" vertical="center"/>
      <protection locked="0"/>
    </xf>
    <xf numFmtId="0" fontId="109" fillId="32" borderId="73" xfId="0" applyFont="1" applyFill="1" applyBorder="1" applyProtection="1">
      <alignment vertical="center"/>
      <protection hidden="1"/>
    </xf>
    <xf numFmtId="0" fontId="64" fillId="24" borderId="0" xfId="0" applyFont="1" applyFill="1" applyAlignment="1" applyProtection="1">
      <alignment horizontal="right" vertical="center"/>
      <protection hidden="1"/>
    </xf>
    <xf numFmtId="0" fontId="64" fillId="24" borderId="0" xfId="0" applyFont="1" applyFill="1" applyProtection="1">
      <alignment vertical="center"/>
      <protection hidden="1"/>
    </xf>
    <xf numFmtId="0" fontId="64" fillId="0" borderId="0" xfId="0" applyFont="1" applyProtection="1">
      <alignment vertical="center"/>
      <protection hidden="1"/>
    </xf>
    <xf numFmtId="0" fontId="24" fillId="24" borderId="0" xfId="0" applyFont="1" applyFill="1" applyProtection="1">
      <alignment vertical="center"/>
      <protection hidden="1"/>
    </xf>
    <xf numFmtId="0" fontId="9" fillId="24" borderId="0" xfId="0" applyFont="1" applyFill="1" applyAlignment="1" applyProtection="1">
      <alignment horizontal="right" vertical="center"/>
      <protection hidden="1"/>
    </xf>
    <xf numFmtId="0" fontId="9" fillId="24" borderId="0" xfId="0" applyFont="1" applyFill="1" applyAlignment="1" applyProtection="1">
      <alignment horizontal="left" vertical="center"/>
      <protection hidden="1"/>
    </xf>
    <xf numFmtId="0" fontId="9" fillId="0" borderId="0" xfId="0" applyFont="1" applyAlignment="1" applyProtection="1">
      <alignment horizontal="right" vertical="center"/>
      <protection hidden="1"/>
    </xf>
    <xf numFmtId="0" fontId="0" fillId="25" borderId="74" xfId="0" applyFill="1" applyBorder="1" applyAlignment="1" applyProtection="1">
      <protection hidden="1"/>
    </xf>
    <xf numFmtId="37" fontId="18" fillId="24" borderId="0" xfId="0" quotePrefix="1" applyNumberFormat="1" applyFont="1" applyFill="1" applyAlignment="1" applyProtection="1">
      <alignment horizontal="right" vertical="center"/>
      <protection hidden="1"/>
    </xf>
    <xf numFmtId="37" fontId="18" fillId="0" borderId="66" xfId="0" quotePrefix="1" applyNumberFormat="1" applyFont="1" applyBorder="1" applyAlignment="1" applyProtection="1">
      <alignment horizontal="right" vertical="center"/>
      <protection hidden="1"/>
    </xf>
    <xf numFmtId="49" fontId="12" fillId="25" borderId="15" xfId="0" applyNumberFormat="1" applyFont="1" applyFill="1" applyBorder="1" applyAlignment="1" applyProtection="1">
      <alignment horizontal="left" vertical="center"/>
      <protection hidden="1"/>
    </xf>
    <xf numFmtId="0" fontId="12" fillId="24" borderId="55" xfId="0" applyFont="1" applyFill="1" applyBorder="1" applyAlignment="1" applyProtection="1">
      <alignment horizontal="right" vertical="center"/>
      <protection locked="0"/>
    </xf>
    <xf numFmtId="49" fontId="12" fillId="25" borderId="71" xfId="0" applyNumberFormat="1" applyFont="1" applyFill="1" applyBorder="1" applyAlignment="1" applyProtection="1">
      <alignment horizontal="right" vertical="center"/>
      <protection hidden="1"/>
    </xf>
    <xf numFmtId="49" fontId="12" fillId="25" borderId="75" xfId="0" applyNumberFormat="1" applyFont="1" applyFill="1" applyBorder="1" applyAlignment="1" applyProtection="1">
      <alignment horizontal="right" vertical="center"/>
      <protection hidden="1"/>
    </xf>
    <xf numFmtId="0" fontId="12" fillId="24" borderId="75" xfId="0" applyFont="1" applyFill="1" applyBorder="1" applyAlignment="1" applyProtection="1">
      <alignment horizontal="right" vertical="center"/>
      <protection locked="0"/>
    </xf>
    <xf numFmtId="49" fontId="12" fillId="25" borderId="69" xfId="0" applyNumberFormat="1" applyFont="1" applyFill="1" applyBorder="1" applyAlignment="1" applyProtection="1">
      <alignment horizontal="right" vertical="center"/>
      <protection hidden="1"/>
    </xf>
    <xf numFmtId="49" fontId="12" fillId="25" borderId="12" xfId="0" applyNumberFormat="1" applyFont="1" applyFill="1" applyBorder="1" applyAlignment="1" applyProtection="1">
      <alignment horizontal="right" vertical="center"/>
      <protection hidden="1"/>
    </xf>
    <xf numFmtId="49" fontId="12" fillId="25" borderId="76" xfId="0" applyNumberFormat="1" applyFont="1" applyFill="1" applyBorder="1" applyAlignment="1" applyProtection="1">
      <alignment horizontal="right" vertical="center"/>
      <protection hidden="1"/>
    </xf>
    <xf numFmtId="31" fontId="12" fillId="25" borderId="77" xfId="0" applyNumberFormat="1" applyFont="1" applyFill="1" applyBorder="1" applyProtection="1">
      <alignment vertical="center"/>
      <protection hidden="1"/>
    </xf>
    <xf numFmtId="0" fontId="0" fillId="25" borderId="78" xfId="0" applyFill="1" applyBorder="1" applyAlignment="1" applyProtection="1">
      <protection hidden="1"/>
    </xf>
    <xf numFmtId="0" fontId="12" fillId="0" borderId="0" xfId="0" applyFont="1" applyAlignment="1" applyProtection="1">
      <alignment horizontal="left" vertical="center" shrinkToFit="1"/>
      <protection hidden="1"/>
    </xf>
    <xf numFmtId="0" fontId="2" fillId="0" borderId="0" xfId="0" applyFont="1">
      <alignment vertical="center"/>
    </xf>
    <xf numFmtId="0" fontId="0" fillId="0" borderId="34" xfId="0" applyBorder="1">
      <alignment vertical="center"/>
    </xf>
    <xf numFmtId="180" fontId="59" fillId="24" borderId="0" xfId="0" applyNumberFormat="1" applyFont="1" applyFill="1" applyAlignment="1" applyProtection="1">
      <alignment horizontal="center" vertical="center"/>
      <protection hidden="1"/>
    </xf>
    <xf numFmtId="0" fontId="82" fillId="0" borderId="0" xfId="0" applyFont="1" applyAlignment="1" applyProtection="1">
      <alignment vertical="center" shrinkToFit="1"/>
      <protection hidden="1"/>
    </xf>
    <xf numFmtId="177" fontId="82" fillId="0" borderId="0" xfId="0" applyNumberFormat="1" applyFont="1" applyAlignment="1" applyProtection="1">
      <alignment vertical="center" shrinkToFit="1"/>
      <protection hidden="1"/>
    </xf>
    <xf numFmtId="0" fontId="63" fillId="0" borderId="0" xfId="0" applyFont="1" applyAlignment="1" applyProtection="1">
      <alignment vertical="center" shrinkToFit="1"/>
      <protection hidden="1"/>
    </xf>
    <xf numFmtId="0" fontId="35" fillId="0" borderId="0" xfId="0" applyFont="1" applyAlignment="1" applyProtection="1">
      <alignment vertical="center" shrinkToFit="1"/>
      <protection hidden="1"/>
    </xf>
    <xf numFmtId="0" fontId="55" fillId="0" borderId="0" xfId="0" applyFont="1" applyAlignment="1" applyProtection="1">
      <alignment vertical="center" shrinkToFit="1"/>
      <protection hidden="1"/>
    </xf>
    <xf numFmtId="0" fontId="35" fillId="0" borderId="34" xfId="0" applyFont="1" applyBorder="1" applyAlignment="1" applyProtection="1">
      <alignment vertical="center" shrinkToFit="1"/>
      <protection hidden="1"/>
    </xf>
    <xf numFmtId="0" fontId="1" fillId="0" borderId="34" xfId="47" applyFont="1" applyBorder="1" applyAlignment="1" applyProtection="1">
      <alignment vertical="center" shrinkToFit="1"/>
      <protection hidden="1"/>
    </xf>
    <xf numFmtId="0" fontId="105" fillId="0" borderId="34" xfId="47" applyFont="1" applyBorder="1" applyAlignment="1" applyProtection="1">
      <alignment vertical="center" shrinkToFit="1"/>
      <protection hidden="1"/>
    </xf>
    <xf numFmtId="0" fontId="130" fillId="0" borderId="34" xfId="47" applyFont="1" applyBorder="1" applyAlignment="1" applyProtection="1">
      <alignment vertical="center" shrinkToFit="1"/>
      <protection hidden="1"/>
    </xf>
    <xf numFmtId="0" fontId="35" fillId="0" borderId="34" xfId="47" applyFont="1" applyBorder="1" applyAlignment="1" applyProtection="1">
      <alignment horizontal="right" vertical="center" shrinkToFit="1"/>
      <protection hidden="1"/>
    </xf>
    <xf numFmtId="0" fontId="35" fillId="0" borderId="34" xfId="47" applyFont="1" applyBorder="1" applyAlignment="1" applyProtection="1">
      <alignment horizontal="left" vertical="center" shrinkToFit="1"/>
      <protection hidden="1"/>
    </xf>
    <xf numFmtId="176" fontId="35" fillId="0" borderId="34" xfId="47" applyNumberFormat="1" applyFont="1" applyBorder="1" applyAlignment="1" applyProtection="1">
      <alignment shrinkToFit="1"/>
      <protection hidden="1"/>
    </xf>
    <xf numFmtId="0" fontId="35" fillId="0" borderId="34" xfId="47" applyFont="1" applyBorder="1" applyAlignment="1" applyProtection="1">
      <alignment vertical="center" shrinkToFit="1"/>
      <protection hidden="1"/>
    </xf>
    <xf numFmtId="182" fontId="62" fillId="0" borderId="34" xfId="36" applyNumberFormat="1" applyFont="1" applyFill="1" applyBorder="1" applyAlignment="1" applyProtection="1">
      <alignment horizontal="center" vertical="center" shrinkToFit="1"/>
      <protection hidden="1"/>
    </xf>
    <xf numFmtId="182" fontId="62" fillId="0" borderId="0" xfId="36" applyNumberFormat="1" applyFont="1" applyFill="1" applyBorder="1" applyAlignment="1" applyProtection="1">
      <alignment horizontal="center" vertical="center" shrinkToFit="1"/>
      <protection hidden="1"/>
    </xf>
    <xf numFmtId="182" fontId="35" fillId="0" borderId="34" xfId="0" applyNumberFormat="1" applyFont="1" applyBorder="1" applyAlignment="1" applyProtection="1">
      <alignment vertical="center" shrinkToFit="1"/>
      <protection hidden="1"/>
    </xf>
    <xf numFmtId="0" fontId="18" fillId="24" borderId="0" xfId="0" applyFont="1" applyFill="1" applyAlignment="1" applyProtection="1">
      <alignment horizontal="left" vertical="center" shrinkToFit="1"/>
      <protection hidden="1"/>
    </xf>
    <xf numFmtId="0" fontId="48" fillId="24" borderId="0" xfId="0" applyFont="1" applyFill="1" applyAlignment="1" applyProtection="1">
      <alignment vertical="center" shrinkToFit="1"/>
      <protection hidden="1"/>
    </xf>
    <xf numFmtId="0" fontId="1" fillId="0" borderId="34" xfId="0" applyFont="1" applyBorder="1" applyAlignment="1" applyProtection="1">
      <alignment vertical="center" shrinkToFit="1"/>
      <protection hidden="1"/>
    </xf>
    <xf numFmtId="0" fontId="35" fillId="0" borderId="34" xfId="36" applyNumberFormat="1" applyFont="1" applyFill="1" applyBorder="1" applyAlignment="1" applyProtection="1">
      <alignment shrinkToFit="1"/>
      <protection hidden="1"/>
    </xf>
    <xf numFmtId="38" fontId="35" fillId="0" borderId="34" xfId="36" applyFont="1" applyFill="1" applyBorder="1" applyAlignment="1" applyProtection="1">
      <alignment shrinkToFit="1"/>
      <protection hidden="1"/>
    </xf>
    <xf numFmtId="38" fontId="1" fillId="0" borderId="34" xfId="0" applyNumberFormat="1" applyFont="1" applyBorder="1" applyAlignment="1" applyProtection="1">
      <alignment vertical="center" shrinkToFit="1"/>
      <protection hidden="1"/>
    </xf>
    <xf numFmtId="38" fontId="1" fillId="0" borderId="34" xfId="36" applyFont="1" applyFill="1" applyBorder="1" applyAlignment="1" applyProtection="1">
      <alignment vertical="center" shrinkToFit="1"/>
      <protection hidden="1"/>
    </xf>
    <xf numFmtId="0" fontId="1" fillId="0" borderId="34" xfId="0" applyFont="1" applyBorder="1" applyAlignment="1" applyProtection="1">
      <alignment horizontal="center" shrinkToFit="1"/>
      <protection hidden="1"/>
    </xf>
    <xf numFmtId="0" fontId="1" fillId="0" borderId="34" xfId="36" applyNumberFormat="1" applyFont="1" applyFill="1" applyBorder="1" applyAlignment="1" applyProtection="1">
      <alignment shrinkToFit="1"/>
      <protection hidden="1"/>
    </xf>
    <xf numFmtId="0" fontId="1" fillId="0" borderId="34" xfId="36" quotePrefix="1" applyNumberFormat="1" applyFont="1" applyFill="1" applyBorder="1" applyAlignment="1" applyProtection="1">
      <alignment shrinkToFit="1"/>
      <protection hidden="1"/>
    </xf>
    <xf numFmtId="0" fontId="35" fillId="0" borderId="34" xfId="0" applyFont="1" applyBorder="1" applyAlignment="1" applyProtection="1">
      <alignment horizontal="left" vertical="center" shrinkToFit="1"/>
      <protection hidden="1"/>
    </xf>
    <xf numFmtId="183" fontId="35" fillId="0" borderId="34" xfId="0" applyNumberFormat="1" applyFont="1" applyBorder="1" applyAlignment="1" applyProtection="1">
      <alignment horizontal="left" shrinkToFit="1"/>
      <protection hidden="1"/>
    </xf>
    <xf numFmtId="0" fontId="0" fillId="0" borderId="34" xfId="0" applyBorder="1" applyAlignment="1" applyProtection="1">
      <alignment vertical="center" shrinkToFit="1"/>
      <protection hidden="1"/>
    </xf>
    <xf numFmtId="176" fontId="35" fillId="0" borderId="34" xfId="0" applyNumberFormat="1" applyFont="1" applyBorder="1" applyAlignment="1" applyProtection="1">
      <alignment horizontal="right" shrinkToFit="1"/>
      <protection hidden="1"/>
    </xf>
    <xf numFmtId="0" fontId="0" fillId="0" borderId="34" xfId="0" applyBorder="1" applyAlignment="1" applyProtection="1">
      <alignment horizontal="left" vertical="center" shrinkToFit="1"/>
      <protection hidden="1"/>
    </xf>
    <xf numFmtId="0" fontId="1" fillId="0" borderId="0" xfId="0" applyFont="1" applyAlignment="1" applyProtection="1">
      <alignment horizontal="left" vertical="center" shrinkToFit="1"/>
      <protection hidden="1"/>
    </xf>
    <xf numFmtId="183" fontId="35" fillId="0" borderId="0" xfId="0" applyNumberFormat="1" applyFont="1" applyAlignment="1" applyProtection="1">
      <alignment horizontal="left" shrinkToFit="1"/>
      <protection hidden="1"/>
    </xf>
    <xf numFmtId="0" fontId="1" fillId="0" borderId="0" xfId="0" applyFont="1" applyAlignment="1" applyProtection="1">
      <alignment vertical="center" shrinkToFit="1"/>
      <protection hidden="1"/>
    </xf>
    <xf numFmtId="176" fontId="35" fillId="0" borderId="0" xfId="0" applyNumberFormat="1" applyFont="1" applyAlignment="1" applyProtection="1">
      <alignment vertical="center" shrinkToFit="1"/>
      <protection hidden="1"/>
    </xf>
    <xf numFmtId="176" fontId="35" fillId="0" borderId="0" xfId="0" applyNumberFormat="1" applyFont="1" applyAlignment="1" applyProtection="1">
      <alignment horizontal="right" shrinkToFit="1"/>
      <protection hidden="1"/>
    </xf>
    <xf numFmtId="176" fontId="35" fillId="0" borderId="34" xfId="0" applyNumberFormat="1" applyFont="1" applyBorder="1" applyAlignment="1" applyProtection="1">
      <alignment vertical="center" shrinkToFit="1"/>
      <protection hidden="1"/>
    </xf>
    <xf numFmtId="182" fontId="35" fillId="0" borderId="34" xfId="36" applyNumberFormat="1" applyFont="1" applyFill="1" applyBorder="1" applyAlignment="1" applyProtection="1">
      <alignment horizontal="right" shrinkToFit="1"/>
      <protection hidden="1"/>
    </xf>
    <xf numFmtId="0" fontId="0" fillId="0" borderId="86" xfId="0" applyBorder="1" applyAlignment="1" applyProtection="1">
      <alignment horizontal="left" shrinkToFit="1"/>
      <protection hidden="1"/>
    </xf>
    <xf numFmtId="177" fontId="63" fillId="0" borderId="0" xfId="0" applyNumberFormat="1" applyFont="1" applyAlignment="1" applyProtection="1">
      <alignment vertical="center" shrinkToFit="1"/>
      <protection hidden="1"/>
    </xf>
    <xf numFmtId="0" fontId="0" fillId="0" borderId="0" xfId="0" applyAlignment="1" applyProtection="1">
      <alignment vertical="center" shrinkToFit="1"/>
      <protection hidden="1"/>
    </xf>
    <xf numFmtId="177" fontId="35" fillId="0" borderId="0" xfId="0" applyNumberFormat="1" applyFont="1" applyAlignment="1" applyProtection="1">
      <alignment vertical="center" shrinkToFit="1"/>
      <protection hidden="1"/>
    </xf>
    <xf numFmtId="180" fontId="59" fillId="0" borderId="0" xfId="0" applyNumberFormat="1" applyFont="1" applyAlignment="1" applyProtection="1">
      <alignment horizontal="center" vertical="center"/>
      <protection hidden="1"/>
    </xf>
    <xf numFmtId="188" fontId="35" fillId="0" borderId="34" xfId="0" applyNumberFormat="1" applyFont="1" applyBorder="1" applyAlignment="1" applyProtection="1">
      <alignment vertical="center" shrinkToFit="1"/>
      <protection hidden="1"/>
    </xf>
    <xf numFmtId="188" fontId="35" fillId="0" borderId="34" xfId="0" applyNumberFormat="1" applyFont="1" applyBorder="1" applyProtection="1">
      <alignment vertical="center"/>
      <protection hidden="1"/>
    </xf>
    <xf numFmtId="0" fontId="1" fillId="37" borderId="0" xfId="0" applyFont="1" applyFill="1" applyProtection="1">
      <alignment vertical="center"/>
      <protection hidden="1"/>
    </xf>
    <xf numFmtId="0" fontId="36" fillId="37" borderId="0" xfId="0" applyFont="1" applyFill="1" applyProtection="1">
      <alignment vertical="center"/>
      <protection hidden="1"/>
    </xf>
    <xf numFmtId="0" fontId="35" fillId="0" borderId="34" xfId="0" applyFont="1" applyBorder="1" applyAlignment="1" applyProtection="1">
      <alignment horizontal="right" vertical="center" shrinkToFit="1"/>
      <protection hidden="1"/>
    </xf>
    <xf numFmtId="185" fontId="12" fillId="24" borderId="70" xfId="36" applyNumberFormat="1" applyFont="1" applyFill="1" applyBorder="1" applyAlignment="1" applyProtection="1">
      <alignment horizontal="right" vertical="center"/>
      <protection locked="0"/>
    </xf>
    <xf numFmtId="185" fontId="12" fillId="24" borderId="34" xfId="36" applyNumberFormat="1" applyFont="1" applyFill="1" applyBorder="1" applyAlignment="1" applyProtection="1">
      <alignment horizontal="right" vertical="center"/>
      <protection locked="0"/>
    </xf>
    <xf numFmtId="0" fontId="132" fillId="25" borderId="18" xfId="30" applyFont="1" applyFill="1" applyBorder="1" applyAlignment="1" applyProtection="1">
      <alignment horizontal="left" vertical="center" indent="1"/>
      <protection hidden="1"/>
    </xf>
    <xf numFmtId="0" fontId="1" fillId="25" borderId="59" xfId="0" applyFont="1" applyFill="1" applyBorder="1" applyAlignment="1" applyProtection="1">
      <alignment horizontal="left" vertical="center" indent="1"/>
      <protection hidden="1"/>
    </xf>
    <xf numFmtId="0" fontId="132" fillId="25" borderId="31" xfId="30" applyFont="1" applyFill="1" applyBorder="1" applyAlignment="1" applyProtection="1">
      <alignment horizontal="left" vertical="center" indent="1"/>
      <protection hidden="1"/>
    </xf>
    <xf numFmtId="188" fontId="55" fillId="0" borderId="0" xfId="0" applyNumberFormat="1" applyFont="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5" fillId="0" borderId="23"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93" fillId="29" borderId="92" xfId="0" applyFont="1" applyFill="1" applyBorder="1" applyProtection="1">
      <alignment vertical="center"/>
      <protection hidden="1"/>
    </xf>
    <xf numFmtId="0" fontId="51" fillId="29" borderId="71" xfId="0" applyFont="1" applyFill="1" applyBorder="1" applyProtection="1">
      <alignment vertical="center"/>
      <protection hidden="1"/>
    </xf>
    <xf numFmtId="0" fontId="51" fillId="29" borderId="71" xfId="0" applyFont="1" applyFill="1" applyBorder="1" applyAlignment="1" applyProtection="1">
      <alignment horizontal="right" vertical="center"/>
      <protection hidden="1"/>
    </xf>
    <xf numFmtId="0" fontId="103" fillId="29" borderId="71" xfId="0" applyFont="1" applyFill="1" applyBorder="1" applyAlignment="1" applyProtection="1">
      <alignment horizontal="right" vertical="center"/>
      <protection hidden="1"/>
    </xf>
    <xf numFmtId="0" fontId="54" fillId="29" borderId="71" xfId="0" applyFont="1" applyFill="1" applyBorder="1" applyAlignment="1" applyProtection="1">
      <alignment horizontal="right" vertical="center"/>
      <protection hidden="1"/>
    </xf>
    <xf numFmtId="0" fontId="112" fillId="29" borderId="71" xfId="0" applyFont="1" applyFill="1" applyBorder="1" applyAlignment="1" applyProtection="1">
      <alignment horizontal="right" vertical="center"/>
      <protection hidden="1"/>
    </xf>
    <xf numFmtId="180" fontId="112" fillId="29" borderId="71" xfId="0" applyNumberFormat="1" applyFont="1" applyFill="1" applyBorder="1" applyAlignment="1" applyProtection="1">
      <alignment horizontal="right" vertical="center"/>
      <protection hidden="1"/>
    </xf>
    <xf numFmtId="0" fontId="30" fillId="29" borderId="88" xfId="0" applyFont="1" applyFill="1" applyBorder="1" applyAlignment="1" applyProtection="1">
      <alignment horizontal="right" vertical="center"/>
      <protection hidden="1"/>
    </xf>
    <xf numFmtId="0" fontId="91" fillId="29" borderId="28" xfId="0" applyFont="1" applyFill="1" applyBorder="1" applyProtection="1">
      <alignment vertical="center"/>
      <protection hidden="1"/>
    </xf>
    <xf numFmtId="0" fontId="51" fillId="29" borderId="29" xfId="0" applyFont="1" applyFill="1" applyBorder="1" applyProtection="1">
      <alignment vertical="center"/>
      <protection hidden="1"/>
    </xf>
    <xf numFmtId="0" fontId="42" fillId="29" borderId="29" xfId="0" applyFont="1" applyFill="1" applyBorder="1" applyAlignment="1" applyProtection="1">
      <alignment horizontal="center" vertical="center"/>
      <protection hidden="1"/>
    </xf>
    <xf numFmtId="0" fontId="103" fillId="29" borderId="29" xfId="0" applyFont="1" applyFill="1" applyBorder="1" applyAlignment="1" applyProtection="1">
      <alignment horizontal="right" vertical="center"/>
      <protection hidden="1"/>
    </xf>
    <xf numFmtId="0" fontId="54" fillId="29" borderId="29" xfId="0" applyFont="1" applyFill="1" applyBorder="1" applyAlignment="1" applyProtection="1">
      <alignment horizontal="right" vertical="center"/>
      <protection hidden="1"/>
    </xf>
    <xf numFmtId="0" fontId="110" fillId="29" borderId="29" xfId="0" applyFont="1" applyFill="1" applyBorder="1" applyAlignment="1" applyProtection="1">
      <alignment horizontal="right" vertical="center"/>
      <protection hidden="1"/>
    </xf>
    <xf numFmtId="176" fontId="110" fillId="29" borderId="29" xfId="0" applyNumberFormat="1" applyFont="1" applyFill="1" applyBorder="1" applyAlignment="1" applyProtection="1">
      <alignment horizontal="right" vertical="center"/>
      <protection hidden="1"/>
    </xf>
    <xf numFmtId="0" fontId="30" fillId="29" borderId="95" xfId="0" applyFont="1" applyFill="1" applyBorder="1" applyAlignment="1" applyProtection="1">
      <alignment horizontal="right" vertical="center"/>
      <protection hidden="1"/>
    </xf>
    <xf numFmtId="177" fontId="134" fillId="0" borderId="27" xfId="0" applyNumberFormat="1" applyFont="1" applyBorder="1" applyAlignment="1" applyProtection="1">
      <alignment horizontal="left" vertical="center"/>
      <protection locked="0"/>
    </xf>
    <xf numFmtId="3" fontId="12" fillId="24" borderId="26" xfId="0" applyNumberFormat="1" applyFont="1" applyFill="1" applyBorder="1" applyAlignment="1" applyProtection="1">
      <alignment horizontal="left" vertical="center"/>
      <protection hidden="1"/>
    </xf>
    <xf numFmtId="0" fontId="12" fillId="0" borderId="26" xfId="0" applyFont="1" applyBorder="1" applyAlignment="1" applyProtection="1">
      <alignment horizontal="left" vertical="center" shrinkToFit="1"/>
      <protection hidden="1"/>
    </xf>
    <xf numFmtId="3" fontId="12" fillId="24" borderId="26" xfId="0" applyNumberFormat="1" applyFont="1" applyFill="1" applyBorder="1" applyAlignment="1" applyProtection="1">
      <alignment horizontal="left" vertical="center" shrinkToFit="1"/>
      <protection hidden="1"/>
    </xf>
    <xf numFmtId="3" fontId="12" fillId="0" borderId="26" xfId="0" applyNumberFormat="1" applyFont="1" applyBorder="1" applyAlignment="1" applyProtection="1">
      <alignment horizontal="left" vertical="center"/>
      <protection hidden="1"/>
    </xf>
    <xf numFmtId="0" fontId="39" fillId="0" borderId="0" xfId="0" applyFont="1" applyProtection="1">
      <alignment vertical="center"/>
      <protection hidden="1"/>
    </xf>
    <xf numFmtId="0" fontId="12" fillId="0" borderId="12" xfId="0" applyFont="1" applyBorder="1" applyAlignment="1" applyProtection="1">
      <alignment horizontal="left" vertical="center"/>
      <protection hidden="1"/>
    </xf>
    <xf numFmtId="31" fontId="12" fillId="0" borderId="96" xfId="0" applyNumberFormat="1" applyFont="1" applyBorder="1" applyAlignment="1" applyProtection="1">
      <alignment horizontal="left" vertical="center" shrinkToFit="1"/>
      <protection hidden="1"/>
    </xf>
    <xf numFmtId="31" fontId="12" fillId="0" borderId="97" xfId="0" applyNumberFormat="1" applyFont="1" applyBorder="1" applyAlignment="1" applyProtection="1">
      <alignment horizontal="left" vertical="center"/>
      <protection hidden="1"/>
    </xf>
    <xf numFmtId="0" fontId="12" fillId="0" borderId="0" xfId="0" quotePrefix="1" applyFont="1" applyAlignment="1" applyProtection="1">
      <alignment horizontal="left" vertical="center"/>
      <protection hidden="1"/>
    </xf>
    <xf numFmtId="3" fontId="12" fillId="24" borderId="23" xfId="0" applyNumberFormat="1" applyFont="1" applyFill="1" applyBorder="1" applyAlignment="1" applyProtection="1">
      <alignment horizontal="left" vertical="center"/>
      <protection hidden="1"/>
    </xf>
    <xf numFmtId="3" fontId="12" fillId="24" borderId="98" xfId="0" applyNumberFormat="1" applyFont="1" applyFill="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63" fillId="0" borderId="0" xfId="0" applyFont="1" applyAlignment="1" applyProtection="1">
      <alignment horizontal="left" vertical="center"/>
      <protection hidden="1"/>
    </xf>
    <xf numFmtId="0" fontId="2" fillId="24" borderId="34" xfId="0" applyFont="1" applyFill="1" applyBorder="1" applyProtection="1">
      <alignment vertical="center"/>
      <protection hidden="1"/>
    </xf>
    <xf numFmtId="187" fontId="12" fillId="24" borderId="98" xfId="0" applyNumberFormat="1" applyFont="1" applyFill="1" applyBorder="1" applyAlignment="1" applyProtection="1">
      <alignment horizontal="left" vertical="center"/>
      <protection hidden="1"/>
    </xf>
    <xf numFmtId="176" fontId="35" fillId="0" borderId="34" xfId="0" applyNumberFormat="1" applyFont="1" applyBorder="1" applyAlignment="1" applyProtection="1">
      <alignment horizontal="right" vertical="center" shrinkToFit="1"/>
      <protection hidden="1"/>
    </xf>
    <xf numFmtId="185" fontId="12" fillId="24" borderId="86" xfId="36" applyNumberFormat="1" applyFont="1" applyFill="1" applyBorder="1" applyAlignment="1" applyProtection="1">
      <alignment horizontal="right" vertical="center"/>
      <protection locked="0"/>
    </xf>
    <xf numFmtId="0" fontId="12" fillId="34" borderId="71" xfId="0" applyFont="1" applyFill="1" applyBorder="1" applyAlignment="1" applyProtection="1">
      <alignment horizontal="left" vertical="center"/>
      <protection hidden="1"/>
    </xf>
    <xf numFmtId="191" fontId="26" fillId="35" borderId="19" xfId="0" applyNumberFormat="1" applyFont="1" applyFill="1" applyBorder="1" applyAlignment="1" applyProtection="1">
      <alignment horizontal="center" vertical="center"/>
      <protection locked="0" hidden="1"/>
    </xf>
    <xf numFmtId="0" fontId="9" fillId="25" borderId="114" xfId="0" applyFont="1" applyFill="1" applyBorder="1" applyAlignment="1" applyProtection="1">
      <alignment horizontal="center" vertical="center"/>
      <protection hidden="1"/>
    </xf>
    <xf numFmtId="0" fontId="9" fillId="25" borderId="118" xfId="0" applyFont="1" applyFill="1" applyBorder="1" applyAlignment="1" applyProtection="1">
      <alignment horizontal="center" vertical="center"/>
      <protection hidden="1"/>
    </xf>
    <xf numFmtId="0" fontId="9" fillId="25" borderId="122" xfId="0" applyFont="1" applyFill="1" applyBorder="1" applyAlignment="1" applyProtection="1">
      <alignment horizontal="center" vertical="center"/>
      <protection hidden="1"/>
    </xf>
    <xf numFmtId="0" fontId="9" fillId="0" borderId="0" xfId="0" applyFont="1" applyAlignment="1">
      <alignment horizontal="right" vertical="center"/>
    </xf>
    <xf numFmtId="0" fontId="12" fillId="0" borderId="0" xfId="0" applyFont="1" applyAlignment="1" applyProtection="1">
      <alignment horizontal="right" vertical="center"/>
      <protection hidden="1"/>
    </xf>
    <xf numFmtId="0" fontId="2" fillId="35" borderId="94" xfId="0" applyFont="1" applyFill="1" applyBorder="1" applyAlignment="1" applyProtection="1">
      <alignment horizontal="center" vertical="center"/>
      <protection locked="0" hidden="1"/>
    </xf>
    <xf numFmtId="0" fontId="2" fillId="35" borderId="84" xfId="0" applyFont="1" applyFill="1" applyBorder="1" applyAlignment="1" applyProtection="1">
      <alignment horizontal="center" vertical="center"/>
      <protection locked="0" hidden="1"/>
    </xf>
    <xf numFmtId="0" fontId="2" fillId="35" borderId="93" xfId="0" applyFont="1" applyFill="1" applyBorder="1" applyAlignment="1" applyProtection="1">
      <alignment horizontal="center" vertical="center"/>
      <protection locked="0" hidden="1"/>
    </xf>
    <xf numFmtId="0" fontId="142" fillId="24" borderId="0" xfId="0" applyFont="1" applyFill="1" applyAlignment="1" applyProtection="1">
      <alignment horizontal="center" vertical="center"/>
      <protection hidden="1"/>
    </xf>
    <xf numFmtId="0" fontId="0" fillId="0" borderId="34" xfId="0" applyBorder="1" applyProtection="1">
      <alignment vertical="center"/>
      <protection hidden="1"/>
    </xf>
    <xf numFmtId="191" fontId="26" fillId="40" borderId="19" xfId="0" applyNumberFormat="1" applyFont="1" applyFill="1" applyBorder="1" applyAlignment="1">
      <alignment horizontal="center" vertical="center"/>
    </xf>
    <xf numFmtId="0" fontId="12" fillId="34" borderId="70" xfId="0" applyFont="1" applyFill="1" applyBorder="1" applyProtection="1">
      <alignment vertical="center"/>
      <protection hidden="1"/>
    </xf>
    <xf numFmtId="0" fontId="35" fillId="0" borderId="0" xfId="0" applyFont="1">
      <alignment vertical="center"/>
    </xf>
    <xf numFmtId="0" fontId="35" fillId="0" borderId="34" xfId="0" applyFont="1" applyBorder="1">
      <alignment vertical="center"/>
    </xf>
    <xf numFmtId="0" fontId="35" fillId="0" borderId="34" xfId="0" applyFont="1" applyBorder="1" applyAlignment="1" applyProtection="1">
      <alignment horizontal="right" vertical="center"/>
      <protection hidden="1"/>
    </xf>
    <xf numFmtId="0" fontId="35" fillId="24" borderId="34" xfId="0" applyFont="1" applyFill="1" applyBorder="1" applyProtection="1">
      <alignment vertical="center"/>
      <protection hidden="1"/>
    </xf>
    <xf numFmtId="191" fontId="35" fillId="0" borderId="34" xfId="0" applyNumberFormat="1" applyFont="1" applyBorder="1" applyProtection="1">
      <alignment vertical="center"/>
      <protection hidden="1"/>
    </xf>
    <xf numFmtId="0" fontId="35" fillId="0" borderId="34" xfId="0" applyFont="1" applyBorder="1" applyProtection="1">
      <alignment vertical="center"/>
      <protection hidden="1"/>
    </xf>
    <xf numFmtId="0" fontId="18" fillId="30" borderId="71" xfId="0"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Continuous" vertical="center" shrinkToFit="1"/>
      <protection hidden="1"/>
    </xf>
    <xf numFmtId="0" fontId="18" fillId="30" borderId="71" xfId="0" applyFont="1" applyFill="1" applyBorder="1" applyAlignment="1" applyProtection="1">
      <alignment horizontal="center" vertical="center" shrinkToFit="1"/>
      <protection hidden="1"/>
    </xf>
    <xf numFmtId="0" fontId="18" fillId="40" borderId="70"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horizontal="centerContinuous" vertical="center" shrinkToFit="1"/>
      <protection hidden="1"/>
    </xf>
    <xf numFmtId="0" fontId="18" fillId="40" borderId="86" xfId="0" applyFont="1" applyFill="1" applyBorder="1" applyAlignment="1" applyProtection="1">
      <alignment horizontal="centerContinuous" vertical="center" shrinkToFit="1"/>
      <protection hidden="1"/>
    </xf>
    <xf numFmtId="0" fontId="143" fillId="0" borderId="0" xfId="0" applyFont="1">
      <alignment vertical="center"/>
    </xf>
    <xf numFmtId="0" fontId="12" fillId="25" borderId="115" xfId="0" applyFont="1" applyFill="1" applyBorder="1" applyProtection="1">
      <alignment vertical="center"/>
      <protection hidden="1"/>
    </xf>
    <xf numFmtId="0" fontId="18" fillId="25" borderId="116" xfId="0" applyFont="1" applyFill="1" applyBorder="1" applyProtection="1">
      <alignment vertical="center"/>
      <protection hidden="1"/>
    </xf>
    <xf numFmtId="0" fontId="18" fillId="25" borderId="117" xfId="0" applyFont="1" applyFill="1" applyBorder="1" applyProtection="1">
      <alignment vertical="center"/>
      <protection hidden="1"/>
    </xf>
    <xf numFmtId="0" fontId="12" fillId="25" borderId="119" xfId="0" applyFont="1" applyFill="1" applyBorder="1" applyProtection="1">
      <alignment vertical="center"/>
      <protection hidden="1"/>
    </xf>
    <xf numFmtId="0" fontId="18" fillId="25" borderId="120" xfId="0" applyFont="1" applyFill="1" applyBorder="1" applyProtection="1">
      <alignment vertical="center"/>
      <protection hidden="1"/>
    </xf>
    <xf numFmtId="0" fontId="18" fillId="25" borderId="121" xfId="0" applyFont="1" applyFill="1" applyBorder="1" applyProtection="1">
      <alignment vertical="center"/>
      <protection hidden="1"/>
    </xf>
    <xf numFmtId="0" fontId="12" fillId="34" borderId="119" xfId="0" applyFont="1" applyFill="1" applyBorder="1" applyProtection="1">
      <alignment vertical="center"/>
      <protection hidden="1"/>
    </xf>
    <xf numFmtId="0" fontId="18" fillId="34" borderId="120" xfId="0" applyFont="1" applyFill="1" applyBorder="1" applyProtection="1">
      <alignment vertical="center"/>
      <protection hidden="1"/>
    </xf>
    <xf numFmtId="0" fontId="18" fillId="34" borderId="121" xfId="0" applyFont="1" applyFill="1" applyBorder="1" applyProtection="1">
      <alignment vertical="center"/>
      <protection hidden="1"/>
    </xf>
    <xf numFmtId="0" fontId="12" fillId="34" borderId="91" xfId="0" applyFont="1" applyFill="1" applyBorder="1" applyProtection="1">
      <alignment vertical="center"/>
      <protection hidden="1"/>
    </xf>
    <xf numFmtId="0" fontId="18" fillId="34" borderId="12" xfId="0" applyFont="1" applyFill="1" applyBorder="1" applyProtection="1">
      <alignment vertical="center"/>
      <protection hidden="1"/>
    </xf>
    <xf numFmtId="0" fontId="18" fillId="34" borderId="90" xfId="0" applyFont="1" applyFill="1" applyBorder="1" applyProtection="1">
      <alignment vertical="center"/>
      <protection hidden="1"/>
    </xf>
    <xf numFmtId="0" fontId="55" fillId="40" borderId="33" xfId="0" applyFont="1" applyFill="1" applyBorder="1" applyAlignment="1" applyProtection="1">
      <alignment horizontal="center" vertical="center"/>
      <protection hidden="1"/>
    </xf>
    <xf numFmtId="0" fontId="12" fillId="34" borderId="71" xfId="0" applyFont="1" applyFill="1" applyBorder="1" applyProtection="1">
      <alignment vertical="center"/>
      <protection hidden="1"/>
    </xf>
    <xf numFmtId="0" fontId="0" fillId="34" borderId="71" xfId="0" applyFill="1" applyBorder="1" applyAlignment="1" applyProtection="1">
      <alignment vertical="center" wrapText="1"/>
      <protection hidden="1"/>
    </xf>
    <xf numFmtId="0" fontId="0" fillId="34" borderId="86" xfId="0" applyFill="1" applyBorder="1" applyAlignment="1" applyProtection="1">
      <alignment vertical="center" wrapText="1"/>
      <protection hidden="1"/>
    </xf>
    <xf numFmtId="0" fontId="12" fillId="34" borderId="35" xfId="0" applyFont="1" applyFill="1" applyBorder="1" applyAlignment="1" applyProtection="1">
      <alignment horizontal="center" vertical="top" wrapText="1"/>
      <protection hidden="1"/>
    </xf>
    <xf numFmtId="0" fontId="12" fillId="34" borderId="86" xfId="0" applyFont="1" applyFill="1" applyBorder="1" applyProtection="1">
      <alignment vertical="center"/>
      <protection hidden="1"/>
    </xf>
    <xf numFmtId="0" fontId="12" fillId="34" borderId="12" xfId="0" applyFont="1" applyFill="1" applyBorder="1" applyAlignment="1" applyProtection="1">
      <alignment horizontal="center" vertical="center" wrapText="1"/>
      <protection hidden="1"/>
    </xf>
    <xf numFmtId="0" fontId="12" fillId="34" borderId="47" xfId="0" applyFont="1" applyFill="1" applyBorder="1" applyAlignment="1" applyProtection="1">
      <alignment horizontal="center" vertical="center" wrapText="1"/>
      <protection hidden="1"/>
    </xf>
    <xf numFmtId="0" fontId="12" fillId="34" borderId="12" xfId="0" applyFont="1" applyFill="1" applyBorder="1" applyProtection="1">
      <alignment vertical="center"/>
      <protection hidden="1"/>
    </xf>
    <xf numFmtId="0" fontId="2" fillId="35" borderId="113" xfId="0" applyFont="1" applyFill="1" applyBorder="1" applyAlignment="1" applyProtection="1">
      <alignment horizontal="center" vertical="center"/>
      <protection locked="0" hidden="1"/>
    </xf>
    <xf numFmtId="0" fontId="0" fillId="34" borderId="70" xfId="0" applyFill="1" applyBorder="1" applyAlignment="1" applyProtection="1">
      <alignment vertical="center" wrapText="1"/>
      <protection hidden="1"/>
    </xf>
    <xf numFmtId="0" fontId="18" fillId="0" borderId="12" xfId="0" applyFont="1" applyBorder="1" applyAlignment="1">
      <alignment horizontal="center" vertical="center"/>
    </xf>
    <xf numFmtId="0" fontId="18" fillId="0" borderId="12" xfId="0" applyFont="1" applyBorder="1">
      <alignment vertical="center"/>
    </xf>
    <xf numFmtId="0" fontId="64" fillId="0" borderId="12" xfId="0" applyFont="1" applyBorder="1" applyProtection="1">
      <alignment vertical="center"/>
      <protection hidden="1"/>
    </xf>
    <xf numFmtId="0" fontId="64" fillId="35" borderId="94" xfId="0" applyFont="1" applyFill="1" applyBorder="1" applyAlignment="1" applyProtection="1">
      <alignment horizontal="center" vertical="center"/>
      <protection locked="0" hidden="1"/>
    </xf>
    <xf numFmtId="0" fontId="18" fillId="34" borderId="71" xfId="0" applyFont="1" applyFill="1" applyBorder="1" applyProtection="1">
      <alignment vertical="center"/>
      <protection hidden="1"/>
    </xf>
    <xf numFmtId="0" fontId="18" fillId="34" borderId="70" xfId="0" applyFont="1" applyFill="1" applyBorder="1" applyProtection="1">
      <alignment vertical="center"/>
      <protection hidden="1"/>
    </xf>
    <xf numFmtId="0" fontId="35" fillId="34" borderId="71" xfId="0" applyFont="1" applyFill="1" applyBorder="1" applyProtection="1">
      <alignment vertical="center"/>
      <protection hidden="1"/>
    </xf>
    <xf numFmtId="0" fontId="35" fillId="34" borderId="86" xfId="0" applyFont="1" applyFill="1" applyBorder="1" applyProtection="1">
      <alignment vertical="center"/>
      <protection hidden="1"/>
    </xf>
    <xf numFmtId="0" fontId="64" fillId="35" borderId="93" xfId="0" applyFont="1" applyFill="1" applyBorder="1" applyAlignment="1" applyProtection="1">
      <alignment horizontal="center" vertical="center"/>
      <protection locked="0" hidden="1"/>
    </xf>
    <xf numFmtId="0" fontId="64" fillId="35" borderId="84" xfId="0" applyFont="1" applyFill="1" applyBorder="1" applyAlignment="1" applyProtection="1">
      <alignment horizontal="center" vertical="center"/>
      <protection locked="0" hidden="1"/>
    </xf>
    <xf numFmtId="0" fontId="55" fillId="40" borderId="33" xfId="0" applyFont="1" applyFill="1" applyBorder="1" applyAlignment="1">
      <alignment horizontal="center" vertical="center"/>
    </xf>
    <xf numFmtId="0" fontId="18" fillId="0" borderId="71" xfId="0" applyFont="1" applyBorder="1">
      <alignment vertical="center"/>
    </xf>
    <xf numFmtId="0" fontId="18" fillId="0" borderId="0" xfId="0" applyFont="1">
      <alignment vertical="center"/>
    </xf>
    <xf numFmtId="0" fontId="18" fillId="27" borderId="19" xfId="0" applyFont="1" applyFill="1" applyBorder="1" applyProtection="1">
      <alignment vertical="center"/>
      <protection hidden="1"/>
    </xf>
    <xf numFmtId="0" fontId="18" fillId="34" borderId="71" xfId="0" applyFont="1" applyFill="1" applyBorder="1" applyAlignment="1" applyProtection="1">
      <alignment vertical="center" wrapText="1"/>
      <protection hidden="1"/>
    </xf>
    <xf numFmtId="0" fontId="145" fillId="30" borderId="71" xfId="0" applyFont="1" applyFill="1" applyBorder="1" applyAlignment="1" applyProtection="1">
      <alignment horizontal="center" vertical="center" shrinkToFit="1"/>
      <protection hidden="1"/>
    </xf>
    <xf numFmtId="0" fontId="12" fillId="25" borderId="34" xfId="0" applyFont="1" applyFill="1" applyBorder="1" applyProtection="1">
      <alignment vertical="center"/>
      <protection hidden="1"/>
    </xf>
    <xf numFmtId="0" fontId="12" fillId="25" borderId="116" xfId="0" applyFont="1" applyFill="1" applyBorder="1" applyProtection="1">
      <alignment vertical="center"/>
      <protection hidden="1"/>
    </xf>
    <xf numFmtId="0" fontId="12" fillId="25" borderId="120" xfId="0" applyFont="1" applyFill="1" applyBorder="1" applyProtection="1">
      <alignment vertical="center"/>
      <protection hidden="1"/>
    </xf>
    <xf numFmtId="0" fontId="12" fillId="34" borderId="120" xfId="0" applyFont="1" applyFill="1" applyBorder="1" applyProtection="1">
      <alignment vertical="center"/>
      <protection hidden="1"/>
    </xf>
    <xf numFmtId="186" fontId="12" fillId="35" borderId="34" xfId="0" applyNumberFormat="1" applyFont="1" applyFill="1" applyBorder="1" applyProtection="1">
      <alignment vertical="center"/>
      <protection locked="0"/>
    </xf>
    <xf numFmtId="0" fontId="12" fillId="30" borderId="71" xfId="0" applyFont="1" applyFill="1" applyBorder="1" applyAlignment="1" applyProtection="1">
      <alignment horizontal="centerContinuous" vertical="center" shrinkToFit="1"/>
      <protection hidden="1"/>
    </xf>
    <xf numFmtId="38" fontId="12" fillId="35" borderId="34" xfId="36" applyFont="1" applyFill="1" applyBorder="1" applyProtection="1">
      <alignment vertical="center"/>
      <protection locked="0"/>
    </xf>
    <xf numFmtId="0" fontId="2" fillId="25" borderId="34" xfId="0" applyFont="1" applyFill="1" applyBorder="1" applyProtection="1">
      <alignment vertical="center"/>
      <protection hidden="1"/>
    </xf>
    <xf numFmtId="0" fontId="2" fillId="25" borderId="34" xfId="0" applyFont="1" applyFill="1" applyBorder="1" applyAlignment="1" applyProtection="1">
      <alignment horizontal="center" vertical="center" wrapText="1"/>
      <protection hidden="1"/>
    </xf>
    <xf numFmtId="0" fontId="12" fillId="25" borderId="117" xfId="0" applyFont="1" applyFill="1" applyBorder="1" applyProtection="1">
      <alignment vertical="center"/>
      <protection hidden="1"/>
    </xf>
    <xf numFmtId="0" fontId="12" fillId="25" borderId="121" xfId="0" applyFont="1" applyFill="1" applyBorder="1" applyProtection="1">
      <alignment vertical="center"/>
      <protection hidden="1"/>
    </xf>
    <xf numFmtId="0" fontId="12" fillId="34" borderId="121" xfId="0" applyFont="1" applyFill="1" applyBorder="1" applyProtection="1">
      <alignment vertical="center"/>
      <protection hidden="1"/>
    </xf>
    <xf numFmtId="0" fontId="12" fillId="34" borderId="90" xfId="0" applyFont="1" applyFill="1" applyBorder="1" applyProtection="1">
      <alignment vertical="center"/>
      <protection hidden="1"/>
    </xf>
    <xf numFmtId="0" fontId="145" fillId="30" borderId="86" xfId="0" applyFont="1" applyFill="1" applyBorder="1" applyAlignment="1" applyProtection="1">
      <alignment horizontal="center" vertical="center" shrinkToFit="1"/>
      <protection hidden="1"/>
    </xf>
    <xf numFmtId="0" fontId="9" fillId="0" borderId="0" xfId="0" applyFont="1">
      <alignment vertical="center"/>
    </xf>
    <xf numFmtId="0" fontId="2" fillId="0" borderId="0" xfId="0" applyFont="1" applyAlignment="1" applyProtection="1">
      <protection hidden="1"/>
    </xf>
    <xf numFmtId="0" fontId="39" fillId="0" borderId="0" xfId="0" applyFont="1" applyAlignment="1" applyProtection="1">
      <alignment horizontal="right" vertical="center"/>
      <protection hidden="1"/>
    </xf>
    <xf numFmtId="0" fontId="2" fillId="30" borderId="34" xfId="0" applyFont="1" applyFill="1" applyBorder="1" applyAlignment="1">
      <alignment horizontal="center" vertical="center"/>
    </xf>
    <xf numFmtId="0" fontId="12" fillId="30" borderId="70" xfId="48" applyFont="1" applyFill="1" applyBorder="1" applyAlignment="1" applyProtection="1">
      <alignment horizontal="center" vertical="center"/>
      <protection hidden="1"/>
    </xf>
    <xf numFmtId="0" fontId="6" fillId="30" borderId="34" xfId="48" applyFont="1" applyFill="1" applyBorder="1" applyAlignment="1" applyProtection="1">
      <alignment horizontal="center" vertical="center"/>
      <protection hidden="1"/>
    </xf>
    <xf numFmtId="0" fontId="12" fillId="30" borderId="34" xfId="48" applyFont="1" applyFill="1" applyBorder="1" applyAlignment="1" applyProtection="1">
      <alignment horizontal="center" vertical="center"/>
      <protection hidden="1"/>
    </xf>
    <xf numFmtId="0" fontId="2" fillId="30" borderId="34" xfId="0" applyFont="1" applyFill="1" applyBorder="1">
      <alignment vertical="center"/>
    </xf>
    <xf numFmtId="177" fontId="2" fillId="25" borderId="34" xfId="0" applyNumberFormat="1" applyFont="1" applyFill="1" applyBorder="1">
      <alignment vertical="center"/>
    </xf>
    <xf numFmtId="177" fontId="2" fillId="25" borderId="70" xfId="0" applyNumberFormat="1" applyFont="1" applyFill="1" applyBorder="1">
      <alignment vertical="center"/>
    </xf>
    <xf numFmtId="9" fontId="2" fillId="25" borderId="34" xfId="0" applyNumberFormat="1" applyFont="1" applyFill="1" applyBorder="1">
      <alignment vertical="center"/>
    </xf>
    <xf numFmtId="176" fontId="26" fillId="25" borderId="19" xfId="0" applyNumberFormat="1" applyFont="1" applyFill="1" applyBorder="1">
      <alignment vertical="center"/>
    </xf>
    <xf numFmtId="9" fontId="9" fillId="25" borderId="34" xfId="28" applyFont="1" applyFill="1" applyBorder="1" applyAlignment="1" applyProtection="1">
      <alignment vertical="center"/>
    </xf>
    <xf numFmtId="0" fontId="9" fillId="0" borderId="0" xfId="0" applyFont="1" applyAlignment="1">
      <alignment horizontal="left" vertical="center"/>
    </xf>
    <xf numFmtId="0" fontId="12" fillId="30" borderId="91" xfId="48" applyFont="1" applyFill="1" applyBorder="1" applyAlignment="1" applyProtection="1">
      <alignment horizontal="center" vertical="center"/>
      <protection hidden="1"/>
    </xf>
    <xf numFmtId="0" fontId="6" fillId="30" borderId="82" xfId="48" applyFont="1" applyFill="1" applyBorder="1" applyAlignment="1" applyProtection="1">
      <alignment horizontal="center" vertical="center"/>
      <protection hidden="1"/>
    </xf>
    <xf numFmtId="0" fontId="12" fillId="30" borderId="82" xfId="48" applyFont="1" applyFill="1" applyBorder="1" applyAlignment="1" applyProtection="1">
      <alignment horizontal="center" vertical="center"/>
      <protection hidden="1"/>
    </xf>
    <xf numFmtId="0" fontId="2" fillId="34" borderId="34" xfId="0" applyFont="1" applyFill="1" applyBorder="1" applyProtection="1">
      <alignment vertical="center"/>
      <protection hidden="1"/>
    </xf>
    <xf numFmtId="0" fontId="2" fillId="30" borderId="70" xfId="0" applyFont="1" applyFill="1" applyBorder="1">
      <alignment vertical="center"/>
    </xf>
    <xf numFmtId="0" fontId="2" fillId="30" borderId="71" xfId="0" applyFont="1" applyFill="1" applyBorder="1">
      <alignment vertical="center"/>
    </xf>
    <xf numFmtId="0" fontId="2" fillId="30" borderId="86" xfId="0" applyFont="1" applyFill="1" applyBorder="1">
      <alignment vertical="center"/>
    </xf>
    <xf numFmtId="0" fontId="12" fillId="30" borderId="12" xfId="48" applyFont="1" applyFill="1" applyBorder="1" applyAlignment="1" applyProtection="1">
      <alignment horizontal="center" vertical="center"/>
      <protection hidden="1"/>
    </xf>
    <xf numFmtId="0" fontId="2" fillId="34" borderId="82" xfId="0" applyFont="1" applyFill="1" applyBorder="1" applyProtection="1">
      <alignment vertical="center"/>
      <protection hidden="1"/>
    </xf>
    <xf numFmtId="0" fontId="2" fillId="30" borderId="82" xfId="0" applyFont="1" applyFill="1" applyBorder="1" applyAlignment="1">
      <alignment horizontal="center" vertical="center"/>
    </xf>
    <xf numFmtId="0" fontId="2" fillId="40" borderId="33" xfId="0" applyFont="1" applyFill="1" applyBorder="1" applyProtection="1">
      <alignment vertical="center"/>
      <protection hidden="1"/>
    </xf>
    <xf numFmtId="191" fontId="2" fillId="34" borderId="34" xfId="0" applyNumberFormat="1" applyFont="1" applyFill="1" applyBorder="1" applyAlignment="1" applyProtection="1">
      <alignment horizontal="center" vertical="center" wrapText="1"/>
      <protection hidden="1"/>
    </xf>
    <xf numFmtId="0" fontId="2" fillId="25" borderId="35" xfId="0" applyFont="1" applyFill="1" applyBorder="1" applyProtection="1">
      <alignment vertical="center"/>
      <protection hidden="1"/>
    </xf>
    <xf numFmtId="0" fontId="2" fillId="25" borderId="70" xfId="0" applyFont="1" applyFill="1" applyBorder="1" applyProtection="1">
      <alignment vertical="center"/>
      <protection hidden="1"/>
    </xf>
    <xf numFmtId="0" fontId="2" fillId="25" borderId="86" xfId="0" applyFont="1" applyFill="1" applyBorder="1" applyProtection="1">
      <alignment vertical="center"/>
      <protection hidden="1"/>
    </xf>
    <xf numFmtId="0" fontId="2" fillId="25" borderId="71" xfId="0" applyFont="1" applyFill="1" applyBorder="1" applyProtection="1">
      <alignment vertical="center"/>
      <protection hidden="1"/>
    </xf>
    <xf numFmtId="0" fontId="2" fillId="35" borderId="85" xfId="0" applyFont="1" applyFill="1" applyBorder="1" applyAlignment="1" applyProtection="1">
      <alignment horizontal="center" vertical="center"/>
      <protection locked="0" hidden="1"/>
    </xf>
    <xf numFmtId="0" fontId="2" fillId="35" borderId="94" xfId="0" applyFont="1" applyFill="1" applyBorder="1" applyAlignment="1" applyProtection="1">
      <alignment horizontal="center" vertical="center"/>
      <protection locked="0"/>
    </xf>
    <xf numFmtId="0" fontId="2" fillId="35" borderId="93" xfId="0" applyFont="1" applyFill="1" applyBorder="1" applyAlignment="1" applyProtection="1">
      <alignment horizontal="center" vertical="center"/>
      <protection locked="0"/>
    </xf>
    <xf numFmtId="0" fontId="100" fillId="0" borderId="0" xfId="0" applyFont="1" applyAlignment="1" applyProtection="1">
      <alignment horizontal="right" vertical="center"/>
      <protection hidden="1"/>
    </xf>
    <xf numFmtId="0" fontId="100" fillId="0" borderId="0" xfId="0" applyFont="1" applyProtection="1">
      <alignment vertical="center"/>
      <protection hidden="1"/>
    </xf>
    <xf numFmtId="0" fontId="152" fillId="0" borderId="0" xfId="0" applyFont="1" applyAlignment="1" applyProtection="1">
      <alignment horizontal="left" vertical="top"/>
      <protection hidden="1"/>
    </xf>
    <xf numFmtId="0" fontId="100" fillId="0" borderId="0" xfId="0" applyFont="1" applyAlignment="1" applyProtection="1">
      <alignment horizontal="left" vertical="center"/>
      <protection hidden="1"/>
    </xf>
    <xf numFmtId="0" fontId="101" fillId="0" borderId="0" xfId="0" applyFont="1" applyAlignment="1" applyProtection="1">
      <alignment horizontal="center" vertical="center"/>
      <protection hidden="1"/>
    </xf>
    <xf numFmtId="0" fontId="55" fillId="0" borderId="0" xfId="0" applyFont="1" applyProtection="1">
      <alignment vertical="center"/>
      <protection hidden="1"/>
    </xf>
    <xf numFmtId="0" fontId="43" fillId="0" borderId="0" xfId="0" applyFont="1" applyProtection="1">
      <alignment vertical="center"/>
      <protection hidden="1"/>
    </xf>
    <xf numFmtId="0" fontId="44" fillId="0" borderId="0" xfId="0" applyFont="1" applyAlignment="1" applyProtection="1">
      <alignment horizontal="center" vertical="center"/>
      <protection hidden="1"/>
    </xf>
    <xf numFmtId="0" fontId="45" fillId="0" borderId="0" xfId="0" applyFont="1" applyProtection="1">
      <alignment vertical="center"/>
      <protection hidden="1"/>
    </xf>
    <xf numFmtId="0" fontId="63" fillId="0" borderId="34" xfId="0" applyFont="1" applyBorder="1" applyProtection="1">
      <alignment vertical="center"/>
      <protection hidden="1"/>
    </xf>
    <xf numFmtId="0" fontId="1" fillId="0" borderId="34" xfId="0" applyFont="1" applyBorder="1" applyProtection="1">
      <alignment vertical="center"/>
      <protection hidden="1"/>
    </xf>
    <xf numFmtId="0" fontId="35" fillId="0" borderId="34" xfId="36" applyNumberFormat="1" applyFont="1" applyFill="1" applyBorder="1" applyAlignment="1" applyProtection="1">
      <protection hidden="1"/>
    </xf>
    <xf numFmtId="0" fontId="18" fillId="0" borderId="12" xfId="0" applyFont="1" applyBorder="1" applyProtection="1">
      <alignment vertical="center"/>
      <protection hidden="1"/>
    </xf>
    <xf numFmtId="182" fontId="62" fillId="0" borderId="34" xfId="36" applyNumberFormat="1" applyFont="1" applyFill="1" applyBorder="1" applyAlignment="1" applyProtection="1">
      <alignment horizontal="center" vertical="center"/>
      <protection hidden="1"/>
    </xf>
    <xf numFmtId="182" fontId="0" fillId="0" borderId="34" xfId="0" applyNumberFormat="1" applyBorder="1" applyProtection="1">
      <alignment vertical="center"/>
      <protection hidden="1"/>
    </xf>
    <xf numFmtId="182" fontId="35" fillId="0" borderId="34" xfId="0" applyNumberFormat="1" applyFont="1" applyBorder="1" applyProtection="1">
      <alignment vertical="center"/>
      <protection hidden="1"/>
    </xf>
    <xf numFmtId="0" fontId="35" fillId="0" borderId="11" xfId="0" applyFont="1" applyBorder="1" applyProtection="1">
      <alignment vertical="center"/>
      <protection hidden="1"/>
    </xf>
    <xf numFmtId="0" fontId="153" fillId="0" borderId="23" xfId="0" applyFont="1" applyBorder="1" applyProtection="1">
      <alignment vertical="center"/>
      <protection hidden="1"/>
    </xf>
    <xf numFmtId="0" fontId="154" fillId="0" borderId="23" xfId="0" applyFont="1" applyBorder="1" applyProtection="1">
      <alignment vertical="center"/>
      <protection hidden="1"/>
    </xf>
    <xf numFmtId="0" fontId="63" fillId="0" borderId="23" xfId="0" applyFont="1" applyBorder="1" applyProtection="1">
      <alignment vertical="center"/>
      <protection hidden="1"/>
    </xf>
    <xf numFmtId="3" fontId="155" fillId="0" borderId="23" xfId="0" applyNumberFormat="1" applyFont="1" applyBorder="1" applyAlignment="1" applyProtection="1">
      <alignment horizontal="left" vertical="center"/>
      <protection hidden="1"/>
    </xf>
    <xf numFmtId="0" fontId="65" fillId="0" borderId="23" xfId="0" applyFont="1" applyBorder="1" applyProtection="1">
      <alignment vertical="center"/>
      <protection hidden="1"/>
    </xf>
    <xf numFmtId="37" fontId="12" fillId="0" borderId="23" xfId="0" applyNumberFormat="1" applyFont="1" applyBorder="1" applyAlignment="1" applyProtection="1">
      <alignment horizontal="left" vertical="center"/>
      <protection hidden="1"/>
    </xf>
    <xf numFmtId="56" fontId="14" fillId="28" borderId="43" xfId="0" applyNumberFormat="1" applyFont="1" applyFill="1" applyBorder="1" applyProtection="1">
      <alignment vertical="center"/>
      <protection hidden="1"/>
    </xf>
    <xf numFmtId="0" fontId="64" fillId="0" borderId="22" xfId="0" applyFont="1" applyBorder="1" applyProtection="1">
      <alignment vertical="center"/>
      <protection hidden="1"/>
    </xf>
    <xf numFmtId="0" fontId="64" fillId="0" borderId="23" xfId="0" applyFont="1" applyBorder="1" applyProtection="1">
      <alignment vertical="center"/>
      <protection hidden="1"/>
    </xf>
    <xf numFmtId="0" fontId="157" fillId="0" borderId="24" xfId="0" applyFont="1" applyBorder="1" applyAlignment="1" applyProtection="1">
      <alignment horizontal="right" vertical="center"/>
      <protection hidden="1"/>
    </xf>
    <xf numFmtId="38" fontId="35" fillId="0" borderId="34" xfId="36" applyFont="1" applyFill="1" applyBorder="1" applyAlignment="1" applyProtection="1">
      <protection hidden="1"/>
    </xf>
    <xf numFmtId="0" fontId="39" fillId="0" borderId="10" xfId="0" applyFont="1" applyBorder="1" applyProtection="1">
      <alignment vertical="center"/>
      <protection hidden="1"/>
    </xf>
    <xf numFmtId="182" fontId="62" fillId="0" borderId="0" xfId="0" applyNumberFormat="1" applyFont="1" applyAlignment="1" applyProtection="1">
      <alignment horizontal="center" vertical="center"/>
      <protection hidden="1"/>
    </xf>
    <xf numFmtId="0" fontId="64" fillId="0" borderId="10" xfId="0" applyFont="1" applyBorder="1" applyProtection="1">
      <alignment vertical="center"/>
      <protection hidden="1"/>
    </xf>
    <xf numFmtId="0" fontId="24" fillId="0" borderId="0" xfId="0" applyFont="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39" fillId="0" borderId="10" xfId="0" applyFont="1" applyBorder="1" applyAlignment="1" applyProtection="1">
      <alignment horizontal="right" vertical="center"/>
      <protection hidden="1"/>
    </xf>
    <xf numFmtId="38" fontId="1" fillId="0" borderId="34" xfId="0" applyNumberFormat="1" applyFont="1" applyBorder="1" applyProtection="1">
      <alignment vertical="center"/>
      <protection hidden="1"/>
    </xf>
    <xf numFmtId="0" fontId="63" fillId="0" borderId="123" xfId="0" applyFont="1" applyBorder="1" applyProtection="1">
      <alignment vertical="center"/>
      <protection hidden="1"/>
    </xf>
    <xf numFmtId="0" fontId="63" fillId="0" borderId="17" xfId="0" applyFont="1" applyBorder="1" applyProtection="1">
      <alignment vertical="center"/>
      <protection hidden="1"/>
    </xf>
    <xf numFmtId="0" fontId="64" fillId="0" borderId="123" xfId="0" applyFont="1" applyBorder="1" applyProtection="1">
      <alignment vertical="center"/>
      <protection hidden="1"/>
    </xf>
    <xf numFmtId="0" fontId="64" fillId="0" borderId="17" xfId="0" applyFont="1" applyBorder="1" applyProtection="1">
      <alignment vertical="center"/>
      <protection hidden="1"/>
    </xf>
    <xf numFmtId="0" fontId="24" fillId="0" borderId="17" xfId="0" applyFont="1" applyBorder="1" applyAlignment="1" applyProtection="1">
      <alignment horizontal="center" vertical="center"/>
      <protection hidden="1"/>
    </xf>
    <xf numFmtId="0" fontId="24" fillId="0" borderId="124" xfId="0" applyFont="1" applyBorder="1" applyAlignment="1" applyProtection="1">
      <alignment horizontal="center" vertical="center"/>
      <protection hidden="1"/>
    </xf>
    <xf numFmtId="38" fontId="1" fillId="0" borderId="34" xfId="36" applyFont="1" applyFill="1" applyBorder="1" applyProtection="1">
      <alignment vertical="center"/>
      <protection hidden="1"/>
    </xf>
    <xf numFmtId="0" fontId="157" fillId="0" borderId="10" xfId="0" applyFont="1" applyBorder="1" applyProtection="1">
      <alignment vertical="center"/>
      <protection hidden="1"/>
    </xf>
    <xf numFmtId="0" fontId="39" fillId="0" borderId="10" xfId="0" applyFont="1" applyBorder="1" applyAlignment="1" applyProtection="1">
      <alignment horizontal="left" vertical="center"/>
      <protection hidden="1"/>
    </xf>
    <xf numFmtId="0" fontId="7" fillId="0" borderId="0" xfId="0" applyFont="1" applyAlignment="1" applyProtection="1">
      <alignment horizontal="center" vertical="center"/>
      <protection hidden="1"/>
    </xf>
    <xf numFmtId="0" fontId="63" fillId="0" borderId="0" xfId="0" applyFont="1">
      <alignment vertical="center"/>
    </xf>
    <xf numFmtId="0" fontId="2" fillId="0" borderId="11" xfId="0" applyFont="1" applyBorder="1" applyAlignment="1" applyProtection="1">
      <alignment horizontal="right" vertical="center"/>
      <protection hidden="1"/>
    </xf>
    <xf numFmtId="0" fontId="1" fillId="0" borderId="34" xfId="0" applyFont="1" applyBorder="1" applyAlignment="1" applyProtection="1">
      <alignment horizontal="center"/>
      <protection hidden="1"/>
    </xf>
    <xf numFmtId="0" fontId="1" fillId="0" borderId="34" xfId="36" applyNumberFormat="1" applyFont="1" applyFill="1" applyBorder="1" applyAlignment="1" applyProtection="1">
      <protection hidden="1"/>
    </xf>
    <xf numFmtId="0" fontId="1" fillId="0" borderId="34" xfId="36" quotePrefix="1" applyNumberFormat="1" applyFont="1" applyFill="1" applyBorder="1" applyAlignment="1" applyProtection="1">
      <protection hidden="1"/>
    </xf>
    <xf numFmtId="0" fontId="1" fillId="0" borderId="0" xfId="0" applyFont="1" applyAlignment="1" applyProtection="1">
      <alignment horizontal="center"/>
      <protection hidden="1"/>
    </xf>
    <xf numFmtId="0" fontId="1" fillId="0" borderId="0" xfId="36" applyNumberFormat="1" applyFont="1" applyFill="1" applyBorder="1" applyAlignment="1" applyProtection="1">
      <protection hidden="1"/>
    </xf>
    <xf numFmtId="0" fontId="48" fillId="0" borderId="10" xfId="0" applyFont="1" applyBorder="1" applyAlignment="1" applyProtection="1">
      <alignment vertical="center" wrapText="1"/>
      <protection hidden="1"/>
    </xf>
    <xf numFmtId="0" fontId="48" fillId="0" borderId="0" xfId="0" applyFont="1" applyAlignment="1" applyProtection="1">
      <alignment vertical="center" wrapText="1"/>
      <protection hidden="1"/>
    </xf>
    <xf numFmtId="0" fontId="48" fillId="0" borderId="11" xfId="0" applyFont="1" applyBorder="1" applyAlignment="1" applyProtection="1">
      <alignment vertical="center" wrapText="1"/>
      <protection hidden="1"/>
    </xf>
    <xf numFmtId="0" fontId="21" fillId="0" borderId="0" xfId="0" applyFont="1" applyProtection="1">
      <alignment vertical="center"/>
      <protection hidden="1"/>
    </xf>
    <xf numFmtId="0" fontId="1" fillId="0" borderId="0" xfId="36" applyNumberFormat="1" applyFont="1" applyFill="1" applyBorder="1" applyAlignment="1" applyProtection="1">
      <alignment wrapText="1"/>
      <protection hidden="1"/>
    </xf>
    <xf numFmtId="182" fontId="39" fillId="0" borderId="0" xfId="36" applyNumberFormat="1" applyFont="1" applyFill="1" applyBorder="1" applyAlignment="1" applyProtection="1">
      <alignment horizontal="right" vertical="top"/>
      <protection hidden="1"/>
    </xf>
    <xf numFmtId="0" fontId="48" fillId="0" borderId="0" xfId="0" applyFont="1" applyAlignment="1" applyProtection="1">
      <alignment horizontal="left"/>
      <protection hidden="1"/>
    </xf>
    <xf numFmtId="0" fontId="48" fillId="0" borderId="26" xfId="0" applyFont="1" applyBorder="1" applyAlignment="1" applyProtection="1">
      <alignment horizontal="left" vertical="top"/>
      <protection hidden="1"/>
    </xf>
    <xf numFmtId="0" fontId="157" fillId="0" borderId="34" xfId="0" applyFont="1" applyBorder="1" applyProtection="1">
      <alignment vertical="center"/>
      <protection hidden="1"/>
    </xf>
    <xf numFmtId="0" fontId="21" fillId="0" borderId="34" xfId="0" applyFont="1" applyBorder="1" applyProtection="1">
      <alignment vertical="center"/>
      <protection hidden="1"/>
    </xf>
    <xf numFmtId="38" fontId="63" fillId="41" borderId="34" xfId="36" applyFont="1" applyFill="1" applyBorder="1" applyProtection="1">
      <alignment vertical="center"/>
      <protection hidden="1"/>
    </xf>
    <xf numFmtId="9" fontId="63" fillId="0" borderId="34" xfId="0" applyNumberFormat="1" applyFont="1" applyBorder="1" applyProtection="1">
      <alignment vertical="center"/>
      <protection hidden="1"/>
    </xf>
    <xf numFmtId="38" fontId="63" fillId="0" borderId="0" xfId="0" applyNumberFormat="1" applyFont="1" applyProtection="1">
      <alignment vertical="center"/>
      <protection hidden="1"/>
    </xf>
    <xf numFmtId="0" fontId="91" fillId="29" borderId="10" xfId="0" applyFont="1" applyFill="1" applyBorder="1" applyProtection="1">
      <alignment vertical="center"/>
      <protection hidden="1"/>
    </xf>
    <xf numFmtId="0" fontId="51" fillId="29" borderId="0" xfId="0" applyFont="1" applyFill="1" applyProtection="1">
      <alignment vertical="center"/>
      <protection hidden="1"/>
    </xf>
    <xf numFmtId="0" fontId="42" fillId="29" borderId="0" xfId="0" applyFont="1" applyFill="1" applyAlignment="1" applyProtection="1">
      <alignment horizontal="center" vertical="center"/>
      <protection hidden="1"/>
    </xf>
    <xf numFmtId="0" fontId="158" fillId="29" borderId="0" xfId="0" applyFont="1" applyFill="1" applyAlignment="1" applyProtection="1">
      <alignment horizontal="right" vertical="center"/>
      <protection hidden="1"/>
    </xf>
    <xf numFmtId="180" fontId="55" fillId="0" borderId="0" xfId="0" applyNumberFormat="1" applyFont="1" applyAlignment="1" applyProtection="1">
      <alignment horizontal="left" vertical="center"/>
      <protection hidden="1"/>
    </xf>
    <xf numFmtId="38" fontId="21" fillId="41" borderId="34" xfId="0" applyNumberFormat="1" applyFont="1" applyFill="1" applyBorder="1" applyProtection="1">
      <alignment vertical="center"/>
      <protection hidden="1"/>
    </xf>
    <xf numFmtId="0" fontId="58" fillId="0" borderId="0" xfId="0" applyFont="1" applyAlignment="1" applyProtection="1">
      <alignment horizontal="right" vertical="center"/>
      <protection hidden="1"/>
    </xf>
    <xf numFmtId="180" fontId="55" fillId="0" borderId="11" xfId="0" applyNumberFormat="1" applyFont="1" applyBorder="1" applyAlignment="1" applyProtection="1">
      <alignment horizontal="center" vertical="center"/>
      <protection hidden="1"/>
    </xf>
    <xf numFmtId="38" fontId="63" fillId="41" borderId="34" xfId="0" applyNumberFormat="1" applyFont="1" applyFill="1" applyBorder="1" applyProtection="1">
      <alignment vertical="center"/>
      <protection hidden="1"/>
    </xf>
    <xf numFmtId="0" fontId="63" fillId="0" borderId="0" xfId="0" quotePrefix="1" applyFont="1" applyProtection="1">
      <alignment vertical="center"/>
      <protection hidden="1"/>
    </xf>
    <xf numFmtId="0" fontId="35" fillId="0" borderId="34" xfId="0" applyFont="1" applyBorder="1" applyAlignment="1" applyProtection="1">
      <alignment horizontal="left" vertical="center"/>
      <protection hidden="1"/>
    </xf>
    <xf numFmtId="183" fontId="35" fillId="0" borderId="34" xfId="0" applyNumberFormat="1" applyFont="1" applyBorder="1" applyAlignment="1" applyProtection="1">
      <alignment horizontal="left"/>
      <protection hidden="1"/>
    </xf>
    <xf numFmtId="176" fontId="35" fillId="0" borderId="34" xfId="0" applyNumberFormat="1" applyFont="1" applyBorder="1" applyAlignment="1" applyProtection="1">
      <alignment horizontal="right"/>
      <protection hidden="1"/>
    </xf>
    <xf numFmtId="176" fontId="35" fillId="0" borderId="34" xfId="0" applyNumberFormat="1" applyFont="1" applyBorder="1" applyProtection="1">
      <alignment vertical="center"/>
      <protection hidden="1"/>
    </xf>
    <xf numFmtId="180" fontId="19" fillId="0" borderId="0" xfId="0" applyNumberFormat="1" applyFont="1" applyAlignment="1" applyProtection="1">
      <alignment horizontal="left" vertical="center"/>
      <protection hidden="1"/>
    </xf>
    <xf numFmtId="0" fontId="1" fillId="0" borderId="34" xfId="0" applyFont="1" applyBorder="1" applyAlignment="1" applyProtection="1">
      <alignment horizontal="left" vertical="center"/>
      <protection hidden="1"/>
    </xf>
    <xf numFmtId="0" fontId="42" fillId="0" borderId="12" xfId="0" applyFont="1" applyBorder="1" applyAlignment="1" applyProtection="1">
      <alignment horizontal="center" vertical="center"/>
      <protection hidden="1"/>
    </xf>
    <xf numFmtId="0" fontId="42" fillId="0" borderId="12" xfId="0" applyFont="1" applyBorder="1" applyProtection="1">
      <alignment vertical="center"/>
      <protection hidden="1"/>
    </xf>
    <xf numFmtId="0" fontId="35" fillId="0" borderId="12" xfId="0" applyFont="1" applyBorder="1" applyProtection="1">
      <alignment vertical="center"/>
      <protection hidden="1"/>
    </xf>
    <xf numFmtId="0" fontId="35" fillId="0" borderId="35" xfId="0" applyFont="1" applyBorder="1" applyProtection="1">
      <alignment vertical="center"/>
      <protection hidden="1"/>
    </xf>
    <xf numFmtId="0" fontId="93" fillId="29" borderId="44" xfId="0" applyFont="1" applyFill="1" applyBorder="1" applyProtection="1">
      <alignment vertical="center"/>
      <protection hidden="1"/>
    </xf>
    <xf numFmtId="0" fontId="51" fillId="29" borderId="35" xfId="0" applyFont="1" applyFill="1" applyBorder="1" applyProtection="1">
      <alignment vertical="center"/>
      <protection hidden="1"/>
    </xf>
    <xf numFmtId="0" fontId="51" fillId="29" borderId="35" xfId="0" applyFont="1" applyFill="1" applyBorder="1" applyAlignment="1" applyProtection="1">
      <alignment horizontal="right" vertical="center"/>
      <protection hidden="1"/>
    </xf>
    <xf numFmtId="1" fontId="55" fillId="0" borderId="0" xfId="0" applyNumberFormat="1" applyFont="1" applyAlignment="1" applyProtection="1">
      <alignment horizontal="left" vertical="center"/>
      <protection hidden="1"/>
    </xf>
    <xf numFmtId="0" fontId="35" fillId="0" borderId="34" xfId="0" applyFont="1" applyBorder="1" applyAlignment="1" applyProtection="1">
      <alignment horizontal="right"/>
      <protection hidden="1"/>
    </xf>
    <xf numFmtId="176" fontId="63" fillId="0" borderId="0" xfId="0" applyNumberFormat="1" applyFont="1" applyProtection="1">
      <alignment vertical="center"/>
      <protection hidden="1"/>
    </xf>
    <xf numFmtId="182" fontId="35" fillId="0" borderId="34" xfId="36" applyNumberFormat="1" applyFont="1" applyFill="1" applyBorder="1" applyAlignment="1" applyProtection="1">
      <alignment horizontal="right"/>
      <protection hidden="1"/>
    </xf>
    <xf numFmtId="0" fontId="1" fillId="0" borderId="34" xfId="0" applyFont="1" applyBorder="1" applyAlignment="1" applyProtection="1">
      <alignment horizontal="left"/>
      <protection hidden="1"/>
    </xf>
    <xf numFmtId="0" fontId="65" fillId="0" borderId="0" xfId="0" applyFont="1" applyProtection="1">
      <alignment vertical="center"/>
      <protection hidden="1"/>
    </xf>
    <xf numFmtId="0" fontId="19" fillId="0" borderId="0" xfId="0" applyFont="1" applyAlignment="1" applyProtection="1">
      <alignment horizontal="right" vertical="center"/>
      <protection hidden="1"/>
    </xf>
    <xf numFmtId="0" fontId="35" fillId="0" borderId="0" xfId="0" applyFont="1" applyAlignment="1" applyProtection="1">
      <alignment horizontal="right"/>
      <protection hidden="1"/>
    </xf>
    <xf numFmtId="177" fontId="63" fillId="0" borderId="0" xfId="0" applyNumberFormat="1" applyFont="1" applyProtection="1">
      <alignment vertical="center"/>
      <protection hidden="1"/>
    </xf>
    <xf numFmtId="0" fontId="63" fillId="0" borderId="125" xfId="0" applyFont="1" applyBorder="1" applyProtection="1">
      <alignment vertical="center"/>
      <protection hidden="1"/>
    </xf>
    <xf numFmtId="0" fontId="63" fillId="0" borderId="126" xfId="0" applyFont="1" applyBorder="1" applyProtection="1">
      <alignment vertical="center"/>
      <protection hidden="1"/>
    </xf>
    <xf numFmtId="0" fontId="48" fillId="0" borderId="126" xfId="0" applyFont="1" applyBorder="1" applyProtection="1">
      <alignment vertical="center"/>
      <protection hidden="1"/>
    </xf>
    <xf numFmtId="0" fontId="63" fillId="0" borderId="127" xfId="0" applyFont="1" applyBorder="1" applyProtection="1">
      <alignment vertical="center"/>
      <protection hidden="1"/>
    </xf>
    <xf numFmtId="0" fontId="48" fillId="0" borderId="25" xfId="0" applyFont="1" applyBorder="1" applyProtection="1">
      <alignment vertical="center"/>
      <protection hidden="1"/>
    </xf>
    <xf numFmtId="0" fontId="35" fillId="36" borderId="34" xfId="0" applyFont="1" applyFill="1" applyBorder="1" applyAlignment="1" applyProtection="1">
      <alignment horizontal="center" vertical="center"/>
      <protection hidden="1"/>
    </xf>
    <xf numFmtId="0" fontId="162" fillId="36" borderId="34" xfId="0" applyFont="1" applyFill="1" applyBorder="1" applyAlignment="1" applyProtection="1">
      <alignment horizontal="center" vertical="center"/>
      <protection hidden="1"/>
    </xf>
    <xf numFmtId="177" fontId="63" fillId="36" borderId="34" xfId="0" applyNumberFormat="1" applyFont="1" applyFill="1" applyBorder="1" applyProtection="1">
      <alignment vertical="center"/>
      <protection hidden="1"/>
    </xf>
    <xf numFmtId="177" fontId="63" fillId="38" borderId="34" xfId="0" applyNumberFormat="1" applyFont="1" applyFill="1" applyBorder="1" applyAlignment="1" applyProtection="1">
      <alignment horizontal="right" vertical="center"/>
      <protection hidden="1"/>
    </xf>
    <xf numFmtId="185" fontId="35" fillId="38" borderId="34" xfId="0" applyNumberFormat="1" applyFont="1" applyFill="1" applyBorder="1" applyAlignment="1" applyProtection="1">
      <alignment horizontal="center" vertical="center"/>
      <protection hidden="1"/>
    </xf>
    <xf numFmtId="38" fontId="63" fillId="0" borderId="34" xfId="36" applyFont="1" applyFill="1" applyBorder="1" applyProtection="1">
      <alignment vertical="center"/>
      <protection hidden="1"/>
    </xf>
    <xf numFmtId="38" fontId="21" fillId="0" borderId="34" xfId="0" applyNumberFormat="1" applyFont="1" applyBorder="1" applyProtection="1">
      <alignment vertical="center"/>
      <protection hidden="1"/>
    </xf>
    <xf numFmtId="0" fontId="55" fillId="0" borderId="0" xfId="0" applyFont="1" applyAlignment="1" applyProtection="1">
      <alignment horizontal="right" vertical="center"/>
      <protection hidden="1"/>
    </xf>
    <xf numFmtId="180" fontId="1" fillId="0" borderId="34" xfId="0" applyNumberFormat="1" applyFont="1" applyBorder="1" applyProtection="1">
      <alignment vertical="center"/>
      <protection hidden="1"/>
    </xf>
    <xf numFmtId="180" fontId="55" fillId="0" borderId="0" xfId="0" applyNumberFormat="1" applyFont="1" applyAlignment="1" applyProtection="1">
      <alignment horizontal="center" vertical="center"/>
      <protection hidden="1"/>
    </xf>
    <xf numFmtId="0" fontId="51" fillId="29" borderId="23" xfId="0" applyFont="1" applyFill="1" applyBorder="1" applyProtection="1">
      <alignment vertical="center"/>
      <protection hidden="1"/>
    </xf>
    <xf numFmtId="0" fontId="30" fillId="29" borderId="24" xfId="0" applyFont="1" applyFill="1" applyBorder="1" applyAlignment="1" applyProtection="1">
      <alignment horizontal="right" vertical="center"/>
      <protection hidden="1"/>
    </xf>
    <xf numFmtId="0" fontId="55" fillId="0" borderId="10" xfId="0" applyFont="1" applyBorder="1" applyProtection="1">
      <alignment vertical="center"/>
      <protection hidden="1"/>
    </xf>
    <xf numFmtId="0" fontId="60" fillId="0" borderId="10" xfId="0" applyFont="1" applyBorder="1" applyProtection="1">
      <alignment vertical="center"/>
      <protection hidden="1"/>
    </xf>
    <xf numFmtId="0" fontId="35" fillId="0" borderId="10" xfId="0" applyFont="1" applyBorder="1" applyProtection="1">
      <alignment vertical="center"/>
      <protection hidden="1"/>
    </xf>
    <xf numFmtId="0" fontId="166" fillId="29" borderId="22" xfId="0" applyFont="1" applyFill="1" applyBorder="1" applyProtection="1">
      <alignment vertical="center"/>
      <protection hidden="1"/>
    </xf>
    <xf numFmtId="0" fontId="73" fillId="0" borderId="0" xfId="0" applyFont="1" applyAlignment="1" applyProtection="1">
      <alignment horizontal="center" vertical="center"/>
      <protection hidden="1"/>
    </xf>
    <xf numFmtId="0" fontId="98" fillId="0" borderId="0" xfId="0" applyFont="1" applyProtection="1">
      <alignment vertical="center"/>
      <protection hidden="1"/>
    </xf>
    <xf numFmtId="0" fontId="89" fillId="0" borderId="0" xfId="0" applyFont="1" applyProtection="1">
      <alignment vertical="center"/>
      <protection hidden="1"/>
    </xf>
    <xf numFmtId="56" fontId="89" fillId="0" borderId="0" xfId="0" quotePrefix="1" applyNumberFormat="1" applyFont="1" applyAlignment="1" applyProtection="1">
      <alignment horizontal="left" vertical="center"/>
      <protection hidden="1"/>
    </xf>
    <xf numFmtId="56" fontId="39" fillId="0" borderId="0" xfId="0" applyNumberFormat="1" applyFont="1" applyAlignment="1" applyProtection="1">
      <alignment horizontal="left" vertical="center"/>
      <protection hidden="1"/>
    </xf>
    <xf numFmtId="0" fontId="37" fillId="0" borderId="0" xfId="0" applyFont="1">
      <alignment vertical="center"/>
    </xf>
    <xf numFmtId="0" fontId="144" fillId="0" borderId="0" xfId="0" applyFont="1" applyAlignment="1" applyProtection="1">
      <alignment horizontal="center" vertical="center"/>
      <protection hidden="1"/>
    </xf>
    <xf numFmtId="0" fontId="144" fillId="0" borderId="0" xfId="0" applyFont="1" applyProtection="1">
      <alignment vertical="center"/>
      <protection hidden="1"/>
    </xf>
    <xf numFmtId="56" fontId="90" fillId="0" borderId="0" xfId="0" applyNumberFormat="1" applyFont="1" applyAlignment="1" applyProtection="1">
      <alignment horizontal="left" vertical="center"/>
      <protection hidden="1"/>
    </xf>
    <xf numFmtId="56" fontId="89" fillId="0" borderId="0" xfId="0" applyNumberFormat="1" applyFont="1" applyAlignment="1" applyProtection="1">
      <alignment horizontal="left" vertical="center"/>
      <protection hidden="1"/>
    </xf>
    <xf numFmtId="0" fontId="141" fillId="0" borderId="0" xfId="0" applyFont="1" applyProtection="1">
      <alignment vertical="center"/>
      <protection hidden="1"/>
    </xf>
    <xf numFmtId="0" fontId="148" fillId="0" borderId="0" xfId="0" applyFont="1" applyAlignment="1" applyProtection="1">
      <alignment horizontal="center" vertical="center"/>
      <protection hidden="1"/>
    </xf>
    <xf numFmtId="0" fontId="64" fillId="0" borderId="0" xfId="0" applyFont="1" applyAlignment="1" applyProtection="1">
      <alignment horizontal="right" vertical="center"/>
      <protection hidden="1"/>
    </xf>
    <xf numFmtId="0" fontId="4" fillId="0" borderId="0" xfId="0" applyFont="1" applyProtection="1">
      <alignment vertical="center"/>
      <protection hidden="1"/>
    </xf>
    <xf numFmtId="0" fontId="19" fillId="0" borderId="0" xfId="0" applyFont="1" applyProtection="1">
      <alignment vertical="center"/>
      <protection hidden="1"/>
    </xf>
    <xf numFmtId="0" fontId="18" fillId="0" borderId="86" xfId="0" applyFont="1" applyBorder="1">
      <alignment vertical="center"/>
    </xf>
    <xf numFmtId="0" fontId="167" fillId="0" borderId="0" xfId="0" applyFont="1">
      <alignment vertical="center"/>
    </xf>
    <xf numFmtId="0" fontId="162" fillId="0" borderId="0" xfId="0" applyFont="1">
      <alignment vertical="center"/>
    </xf>
    <xf numFmtId="0" fontId="2" fillId="0" borderId="0" xfId="0" applyFont="1" applyAlignment="1" applyProtection="1">
      <alignment horizontal="left" vertical="top"/>
      <protection hidden="1"/>
    </xf>
    <xf numFmtId="56" fontId="39" fillId="0" borderId="0" xfId="0" applyNumberFormat="1" applyFont="1" applyProtection="1">
      <alignment vertical="center"/>
      <protection hidden="1"/>
    </xf>
    <xf numFmtId="0" fontId="36" fillId="0" borderId="0" xfId="0" applyFont="1">
      <alignment vertical="center"/>
    </xf>
    <xf numFmtId="0" fontId="138" fillId="0" borderId="0" xfId="0" applyFont="1" applyAlignment="1" applyProtection="1">
      <alignment horizontal="left" vertical="top"/>
      <protection hidden="1"/>
    </xf>
    <xf numFmtId="0" fontId="2" fillId="0" borderId="34" xfId="0" applyFont="1" applyBorder="1" applyProtection="1">
      <alignment vertical="center"/>
      <protection hidden="1"/>
    </xf>
    <xf numFmtId="0" fontId="36" fillId="0" borderId="0" xfId="0" applyFont="1" applyAlignment="1" applyProtection="1">
      <alignment vertical="center" wrapText="1"/>
      <protection hidden="1"/>
    </xf>
    <xf numFmtId="56" fontId="12" fillId="35" borderId="70" xfId="0" applyNumberFormat="1" applyFont="1" applyFill="1" applyBorder="1" applyProtection="1">
      <alignment vertical="center"/>
      <protection locked="0"/>
    </xf>
    <xf numFmtId="0" fontId="26" fillId="0" borderId="0" xfId="0" applyFont="1" applyProtection="1">
      <alignment vertical="center"/>
      <protection hidden="1"/>
    </xf>
    <xf numFmtId="0" fontId="1" fillId="0" borderId="34" xfId="0" applyFont="1" applyBorder="1" applyAlignment="1" applyProtection="1">
      <alignment horizontal="left" vertical="center" wrapText="1"/>
      <protection hidden="1"/>
    </xf>
    <xf numFmtId="0" fontId="1" fillId="0" borderId="34" xfId="0" applyFont="1" applyBorder="1" applyAlignment="1" applyProtection="1">
      <alignment vertical="center" wrapText="1"/>
      <protection hidden="1"/>
    </xf>
    <xf numFmtId="180" fontId="55" fillId="0" borderId="0" xfId="0" applyNumberFormat="1" applyFont="1" applyAlignment="1" applyProtection="1">
      <alignment horizontal="right" vertical="center"/>
      <protection hidden="1"/>
    </xf>
    <xf numFmtId="0" fontId="18" fillId="42" borderId="71" xfId="0" applyFont="1" applyFill="1" applyBorder="1" applyAlignment="1" applyProtection="1">
      <alignment horizontal="centerContinuous" vertical="center" shrinkToFit="1"/>
      <protection hidden="1"/>
    </xf>
    <xf numFmtId="0" fontId="18" fillId="42" borderId="86" xfId="0" applyFont="1" applyFill="1" applyBorder="1" applyAlignment="1" applyProtection="1">
      <alignment horizontal="centerContinuous" vertical="center" shrinkToFit="1"/>
      <protection hidden="1"/>
    </xf>
    <xf numFmtId="0" fontId="9" fillId="25" borderId="115" xfId="0" applyFont="1" applyFill="1" applyBorder="1" applyAlignment="1" applyProtection="1">
      <alignment horizontal="center" vertical="center"/>
      <protection hidden="1"/>
    </xf>
    <xf numFmtId="0" fontId="9" fillId="25" borderId="119" xfId="0" applyFont="1" applyFill="1" applyBorder="1" applyAlignment="1" applyProtection="1">
      <alignment horizontal="center" vertical="center"/>
      <protection hidden="1"/>
    </xf>
    <xf numFmtId="0" fontId="9" fillId="25" borderId="128" xfId="0" applyFont="1" applyFill="1" applyBorder="1" applyAlignment="1" applyProtection="1">
      <alignment horizontal="center" vertical="center"/>
      <protection hidden="1"/>
    </xf>
    <xf numFmtId="0" fontId="49" fillId="0" borderId="0" xfId="0" applyFont="1" applyAlignment="1" applyProtection="1">
      <alignment horizontal="right" vertical="top"/>
      <protection hidden="1"/>
    </xf>
    <xf numFmtId="0" fontId="9" fillId="0" borderId="0" xfId="0" applyFont="1" applyAlignment="1" applyProtection="1">
      <alignment horizontal="center" vertical="justify"/>
      <protection hidden="1"/>
    </xf>
    <xf numFmtId="181" fontId="24" fillId="0" borderId="0" xfId="0" applyNumberFormat="1" applyFont="1" applyAlignment="1" applyProtection="1">
      <alignment horizontal="center" vertical="center"/>
      <protection hidden="1"/>
    </xf>
    <xf numFmtId="2" fontId="35" fillId="0" borderId="34" xfId="0" applyNumberFormat="1" applyFont="1" applyBorder="1" applyProtection="1">
      <alignment vertical="center"/>
      <protection hidden="1"/>
    </xf>
    <xf numFmtId="0" fontId="35" fillId="0" borderId="34" xfId="0" applyFont="1" applyBorder="1" applyAlignment="1" applyProtection="1">
      <alignment horizontal="left"/>
      <protection hidden="1"/>
    </xf>
    <xf numFmtId="0" fontId="167" fillId="0" borderId="71" xfId="0" applyFont="1" applyBorder="1">
      <alignment vertical="center"/>
    </xf>
    <xf numFmtId="180" fontId="35" fillId="38" borderId="34" xfId="0" applyNumberFormat="1" applyFont="1" applyFill="1" applyBorder="1" applyAlignment="1" applyProtection="1">
      <alignment horizontal="right"/>
      <protection hidden="1"/>
    </xf>
    <xf numFmtId="180" fontId="35" fillId="38" borderId="34" xfId="36" applyNumberFormat="1" applyFont="1" applyFill="1" applyBorder="1" applyAlignment="1" applyProtection="1">
      <alignment horizontal="right"/>
      <protection hidden="1"/>
    </xf>
    <xf numFmtId="2" fontId="63" fillId="38" borderId="34" xfId="0" applyNumberFormat="1" applyFont="1" applyFill="1" applyBorder="1" applyProtection="1">
      <alignment vertical="center"/>
      <protection hidden="1"/>
    </xf>
    <xf numFmtId="0" fontId="55" fillId="0" borderId="0" xfId="0" applyFont="1" applyAlignment="1" applyProtection="1">
      <alignment horizontal="center" vertical="center"/>
      <protection hidden="1"/>
    </xf>
    <xf numFmtId="176" fontId="158" fillId="29" borderId="0" xfId="0" applyNumberFormat="1" applyFont="1" applyFill="1" applyAlignment="1" applyProtection="1">
      <alignment horizontal="center" vertical="center"/>
      <protection hidden="1"/>
    </xf>
    <xf numFmtId="180" fontId="158" fillId="29" borderId="0" xfId="0" applyNumberFormat="1" applyFont="1" applyFill="1" applyAlignment="1" applyProtection="1">
      <alignment horizontal="center" vertical="center"/>
      <protection hidden="1"/>
    </xf>
    <xf numFmtId="0" fontId="2" fillId="24" borderId="10" xfId="0" applyFont="1" applyFill="1" applyBorder="1" applyProtection="1">
      <alignment vertical="center"/>
      <protection hidden="1"/>
    </xf>
    <xf numFmtId="0" fontId="2" fillId="34" borderId="119" xfId="0" applyFont="1" applyFill="1" applyBorder="1" applyProtection="1">
      <alignment vertical="center"/>
      <protection hidden="1"/>
    </xf>
    <xf numFmtId="0" fontId="2" fillId="34" borderId="91" xfId="0" applyFont="1" applyFill="1" applyBorder="1" applyProtection="1">
      <alignment vertical="center"/>
      <protection hidden="1"/>
    </xf>
    <xf numFmtId="0" fontId="2" fillId="34" borderId="70" xfId="0" applyFont="1" applyFill="1" applyBorder="1" applyProtection="1">
      <alignment vertical="center"/>
      <protection hidden="1"/>
    </xf>
    <xf numFmtId="0" fontId="2" fillId="25" borderId="119" xfId="0" applyFont="1" applyFill="1" applyBorder="1" applyProtection="1">
      <alignment vertical="center"/>
      <protection hidden="1"/>
    </xf>
    <xf numFmtId="0" fontId="2" fillId="34" borderId="71" xfId="0" applyFont="1" applyFill="1" applyBorder="1" applyProtection="1">
      <alignment vertical="center"/>
      <protection hidden="1"/>
    </xf>
    <xf numFmtId="0" fontId="21" fillId="38" borderId="0" xfId="0" applyFont="1" applyFill="1" applyProtection="1">
      <alignment vertical="center"/>
      <protection hidden="1"/>
    </xf>
    <xf numFmtId="0" fontId="18" fillId="0" borderId="90" xfId="0" applyFont="1" applyBorder="1">
      <alignment vertical="center"/>
    </xf>
    <xf numFmtId="0" fontId="12" fillId="34" borderId="86" xfId="0" applyFont="1" applyFill="1" applyBorder="1" applyAlignment="1" applyProtection="1">
      <alignment horizontal="center" vertical="center" wrapText="1"/>
      <protection hidden="1"/>
    </xf>
    <xf numFmtId="0" fontId="2" fillId="25" borderId="33" xfId="0" applyFont="1" applyFill="1" applyBorder="1" applyAlignment="1" applyProtection="1">
      <alignment horizontal="left" vertical="center"/>
      <protection hidden="1"/>
    </xf>
    <xf numFmtId="0" fontId="2" fillId="25" borderId="82" xfId="0" applyFont="1" applyFill="1" applyBorder="1" applyAlignment="1" applyProtection="1">
      <alignment horizontal="left" vertical="center"/>
      <protection hidden="1"/>
    </xf>
    <xf numFmtId="0" fontId="2" fillId="25" borderId="34" xfId="0" applyFont="1" applyFill="1" applyBorder="1" applyAlignment="1" applyProtection="1">
      <alignment horizontal="left" vertical="center"/>
      <protection hidden="1"/>
    </xf>
    <xf numFmtId="0" fontId="2" fillId="34" borderId="86" xfId="0" applyFont="1" applyFill="1" applyBorder="1" applyProtection="1">
      <alignment vertical="center"/>
      <protection hidden="1"/>
    </xf>
    <xf numFmtId="0" fontId="132" fillId="25" borderId="148" xfId="30" applyFont="1" applyFill="1" applyBorder="1" applyAlignment="1" applyProtection="1">
      <alignment horizontal="left" vertical="center" indent="1"/>
      <protection hidden="1"/>
    </xf>
    <xf numFmtId="0" fontId="25" fillId="25" borderId="148" xfId="29" applyFont="1" applyFill="1" applyBorder="1" applyAlignment="1" applyProtection="1">
      <alignment horizontal="left" vertical="center" indent="1"/>
      <protection hidden="1"/>
    </xf>
    <xf numFmtId="0" fontId="1" fillId="25" borderId="149" xfId="0" applyFont="1" applyFill="1" applyBorder="1" applyAlignment="1" applyProtection="1">
      <alignment horizontal="left" vertical="center" indent="1"/>
      <protection hidden="1"/>
    </xf>
    <xf numFmtId="191" fontId="26" fillId="35" borderId="19" xfId="0" applyNumberFormat="1" applyFont="1" applyFill="1" applyBorder="1" applyAlignment="1" applyProtection="1">
      <alignment horizontal="center" vertical="center"/>
      <protection locked="0"/>
    </xf>
    <xf numFmtId="0" fontId="143" fillId="0" borderId="0" xfId="0" applyFont="1" applyAlignment="1">
      <alignment horizontal="right" vertical="center"/>
    </xf>
    <xf numFmtId="0" fontId="162" fillId="0" borderId="34" xfId="0" applyFont="1" applyBorder="1" applyProtection="1">
      <alignment vertical="center"/>
      <protection hidden="1"/>
    </xf>
    <xf numFmtId="186" fontId="12" fillId="34" borderId="34" xfId="0" applyNumberFormat="1" applyFont="1" applyFill="1" applyBorder="1">
      <alignment vertical="center"/>
    </xf>
    <xf numFmtId="0" fontId="171" fillId="0" borderId="34" xfId="0" applyFont="1" applyBorder="1" applyProtection="1">
      <alignment vertical="center"/>
      <protection hidden="1"/>
    </xf>
    <xf numFmtId="9" fontId="0" fillId="45" borderId="34" xfId="0" applyNumberFormat="1" applyFill="1" applyBorder="1">
      <alignment vertical="center"/>
    </xf>
    <xf numFmtId="182" fontId="0" fillId="46" borderId="34" xfId="0" applyNumberFormat="1" applyFill="1" applyBorder="1" applyProtection="1">
      <alignment vertical="center"/>
      <protection hidden="1"/>
    </xf>
    <xf numFmtId="176" fontId="1" fillId="46" borderId="0" xfId="36" applyNumberFormat="1" applyFont="1" applyFill="1" applyBorder="1" applyAlignment="1" applyProtection="1">
      <protection hidden="1"/>
    </xf>
    <xf numFmtId="0" fontId="12" fillId="44" borderId="34" xfId="0" applyFont="1" applyFill="1" applyBorder="1" applyAlignment="1">
      <alignment horizontal="center" vertical="center"/>
    </xf>
    <xf numFmtId="0" fontId="173" fillId="0" borderId="0" xfId="0" applyFont="1" applyAlignment="1" applyProtection="1">
      <alignment horizontal="center" vertical="center"/>
      <protection hidden="1"/>
    </xf>
    <xf numFmtId="0" fontId="174" fillId="0" borderId="0" xfId="0" applyFont="1" applyProtection="1">
      <alignment vertical="center"/>
      <protection hidden="1"/>
    </xf>
    <xf numFmtId="0" fontId="175" fillId="0" borderId="0" xfId="0" applyFont="1">
      <alignment vertical="center"/>
    </xf>
    <xf numFmtId="0" fontId="143" fillId="0" borderId="0" xfId="0" applyFont="1" applyAlignment="1">
      <alignment horizontal="right" vertical="center" indent="1"/>
    </xf>
    <xf numFmtId="191" fontId="35" fillId="0" borderId="0" xfId="0" applyNumberFormat="1" applyFont="1" applyProtection="1">
      <alignment vertical="center"/>
      <protection hidden="1"/>
    </xf>
    <xf numFmtId="9" fontId="18" fillId="30" borderId="86" xfId="28"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 vertical="center" shrinkToFit="1"/>
      <protection hidden="1"/>
    </xf>
    <xf numFmtId="0" fontId="12" fillId="25" borderId="70" xfId="0" applyFont="1" applyFill="1" applyBorder="1" applyProtection="1">
      <alignment vertical="center"/>
      <protection hidden="1"/>
    </xf>
    <xf numFmtId="186" fontId="12" fillId="35" borderId="33" xfId="0" applyNumberFormat="1" applyFont="1" applyFill="1" applyBorder="1" applyProtection="1">
      <alignment vertical="center"/>
      <protection locked="0"/>
    </xf>
    <xf numFmtId="191" fontId="12" fillId="35" borderId="150" xfId="0" applyNumberFormat="1" applyFont="1" applyFill="1" applyBorder="1" applyAlignment="1" applyProtection="1">
      <alignment horizontal="center" vertical="center"/>
      <protection locked="0"/>
    </xf>
    <xf numFmtId="191" fontId="12" fillId="35" borderId="151" xfId="0" applyNumberFormat="1" applyFont="1" applyFill="1" applyBorder="1" applyAlignment="1" applyProtection="1">
      <alignment horizontal="center" vertical="center"/>
      <protection locked="0"/>
    </xf>
    <xf numFmtId="191" fontId="12" fillId="35" borderId="152" xfId="0" applyNumberFormat="1" applyFont="1" applyFill="1" applyBorder="1" applyAlignment="1" applyProtection="1">
      <alignment horizontal="center" vertical="center"/>
      <protection locked="0"/>
    </xf>
    <xf numFmtId="0" fontId="177" fillId="25" borderId="18" xfId="29" applyFont="1" applyFill="1" applyBorder="1" applyAlignment="1" applyProtection="1">
      <alignment horizontal="left" vertical="center" indent="1"/>
      <protection hidden="1"/>
    </xf>
    <xf numFmtId="0" fontId="177" fillId="25" borderId="59" xfId="29" applyFont="1" applyFill="1" applyBorder="1" applyAlignment="1" applyProtection="1">
      <alignment horizontal="left" vertical="center" indent="1"/>
      <protection hidden="1"/>
    </xf>
    <xf numFmtId="186" fontId="12" fillId="35" borderId="34" xfId="0" applyNumberFormat="1" applyFont="1" applyFill="1" applyBorder="1">
      <alignment vertical="center"/>
    </xf>
    <xf numFmtId="0" fontId="12" fillId="35" borderId="34" xfId="0" applyFont="1" applyFill="1" applyBorder="1" applyAlignment="1">
      <alignment horizontal="right" vertical="center"/>
    </xf>
    <xf numFmtId="0" fontId="12" fillId="34" borderId="34" xfId="0" applyFont="1" applyFill="1" applyBorder="1" applyAlignment="1">
      <alignment horizontal="center" vertical="center"/>
    </xf>
    <xf numFmtId="9" fontId="12" fillId="34" borderId="34" xfId="28" applyFont="1" applyFill="1" applyBorder="1">
      <alignment vertical="center"/>
    </xf>
    <xf numFmtId="195" fontId="12" fillId="35" borderId="34" xfId="28" applyNumberFormat="1" applyFont="1" applyFill="1" applyBorder="1">
      <alignment vertical="center"/>
    </xf>
    <xf numFmtId="186" fontId="12" fillId="34" borderId="34" xfId="0" applyNumberFormat="1" applyFont="1" applyFill="1" applyBorder="1" applyProtection="1">
      <alignment vertical="center"/>
      <protection locked="0"/>
    </xf>
    <xf numFmtId="195" fontId="12" fillId="34" borderId="34" xfId="28" applyNumberFormat="1" applyFont="1" applyFill="1" applyBorder="1">
      <alignment vertical="center"/>
    </xf>
    <xf numFmtId="0" fontId="12" fillId="44" borderId="34" xfId="0" applyFont="1" applyFill="1" applyBorder="1" applyAlignment="1">
      <alignment horizontal="left" vertical="center"/>
    </xf>
    <xf numFmtId="0" fontId="39" fillId="0" borderId="0" xfId="0" applyFont="1" applyAlignment="1" applyProtection="1">
      <alignment horizontal="left" vertical="center"/>
      <protection hidden="1"/>
    </xf>
    <xf numFmtId="0" fontId="182" fillId="0" borderId="0" xfId="0" applyFont="1" applyProtection="1">
      <alignment vertical="center"/>
      <protection hidden="1"/>
    </xf>
    <xf numFmtId="9" fontId="181" fillId="0" borderId="0" xfId="0" applyNumberFormat="1" applyFont="1" applyProtection="1">
      <alignment vertical="center"/>
      <protection hidden="1"/>
    </xf>
    <xf numFmtId="0" fontId="183" fillId="0" borderId="34" xfId="0" applyFont="1" applyBorder="1" applyProtection="1">
      <alignment vertical="center"/>
      <protection hidden="1"/>
    </xf>
    <xf numFmtId="9" fontId="12" fillId="37" borderId="0" xfId="28" applyFont="1" applyFill="1" applyBorder="1">
      <alignment vertical="center"/>
    </xf>
    <xf numFmtId="0" fontId="2" fillId="35" borderId="19" xfId="0" applyFont="1" applyFill="1" applyBorder="1" applyAlignment="1" applyProtection="1">
      <alignment horizontal="center" vertical="center"/>
      <protection locked="0"/>
    </xf>
    <xf numFmtId="0" fontId="184" fillId="0" borderId="0" xfId="0" applyFont="1" applyProtection="1">
      <alignment vertical="center"/>
      <protection hidden="1"/>
    </xf>
    <xf numFmtId="0" fontId="42" fillId="0" borderId="11" xfId="0" applyFont="1" applyBorder="1" applyAlignment="1" applyProtection="1">
      <alignment horizontal="center" vertical="center"/>
      <protection hidden="1"/>
    </xf>
    <xf numFmtId="0" fontId="12" fillId="0" borderId="96"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187" fontId="12" fillId="24" borderId="11" xfId="0" applyNumberFormat="1" applyFont="1" applyFill="1" applyBorder="1" applyAlignment="1" applyProtection="1">
      <alignment horizontal="left" vertical="center"/>
      <protection hidden="1"/>
    </xf>
    <xf numFmtId="31" fontId="12" fillId="0" borderId="13" xfId="0" applyNumberFormat="1" applyFont="1" applyBorder="1" applyAlignment="1" applyProtection="1">
      <alignment horizontal="left" vertical="center" shrinkToFit="1"/>
      <protection hidden="1"/>
    </xf>
    <xf numFmtId="31" fontId="12" fillId="0" borderId="27" xfId="0" applyNumberFormat="1" applyFont="1" applyBorder="1" applyAlignment="1" applyProtection="1">
      <alignment horizontal="left" vertical="center"/>
      <protection hidden="1"/>
    </xf>
    <xf numFmtId="0" fontId="187" fillId="0" borderId="34" xfId="0" applyFont="1" applyBorder="1">
      <alignment vertical="center"/>
    </xf>
    <xf numFmtId="0" fontId="187" fillId="0" borderId="86" xfId="0" applyFont="1" applyBorder="1" applyProtection="1">
      <alignment vertical="center"/>
      <protection hidden="1"/>
    </xf>
    <xf numFmtId="0" fontId="187" fillId="0" borderId="34" xfId="0" applyFont="1" applyBorder="1" applyProtection="1">
      <alignment vertical="center"/>
      <protection hidden="1"/>
    </xf>
    <xf numFmtId="9" fontId="183" fillId="0" borderId="34" xfId="0" applyNumberFormat="1" applyFont="1" applyBorder="1" applyProtection="1">
      <alignment vertical="center"/>
      <protection hidden="1"/>
    </xf>
    <xf numFmtId="0" fontId="183" fillId="0" borderId="34" xfId="0" applyFont="1" applyBorder="1" applyAlignment="1" applyProtection="1">
      <alignment vertical="center" wrapText="1"/>
      <protection hidden="1"/>
    </xf>
    <xf numFmtId="9" fontId="183" fillId="0" borderId="34" xfId="0" applyNumberFormat="1" applyFont="1" applyBorder="1" applyAlignment="1" applyProtection="1">
      <alignment vertical="center" wrapText="1"/>
      <protection hidden="1"/>
    </xf>
    <xf numFmtId="0" fontId="183" fillId="0" borderId="34" xfId="0" applyFont="1" applyBorder="1" applyAlignment="1" applyProtection="1">
      <alignment horizontal="right" vertical="center" wrapText="1"/>
      <protection hidden="1"/>
    </xf>
    <xf numFmtId="9" fontId="183" fillId="0" borderId="34" xfId="0" applyNumberFormat="1" applyFont="1" applyBorder="1" applyAlignment="1" applyProtection="1">
      <alignment horizontal="right" vertical="center" wrapText="1"/>
      <protection hidden="1"/>
    </xf>
    <xf numFmtId="0" fontId="183" fillId="0" borderId="34" xfId="0" applyFont="1" applyBorder="1" applyAlignment="1" applyProtection="1">
      <alignment horizontal="right" vertical="center"/>
      <protection hidden="1"/>
    </xf>
    <xf numFmtId="9" fontId="183" fillId="0" borderId="34" xfId="0" applyNumberFormat="1" applyFont="1" applyBorder="1" applyAlignment="1" applyProtection="1">
      <alignment horizontal="right" vertical="center"/>
      <protection hidden="1"/>
    </xf>
    <xf numFmtId="0" fontId="133" fillId="0" borderId="0" xfId="0" applyFont="1" applyProtection="1">
      <alignment vertical="center"/>
      <protection hidden="1"/>
    </xf>
    <xf numFmtId="0" fontId="185" fillId="0" borderId="34" xfId="0" applyFont="1" applyBorder="1">
      <alignment vertical="center"/>
    </xf>
    <xf numFmtId="0" fontId="186" fillId="44" borderId="34" xfId="0" applyFont="1" applyFill="1" applyBorder="1">
      <alignment vertical="center"/>
    </xf>
    <xf numFmtId="0" fontId="186" fillId="44" borderId="34" xfId="0" applyFont="1" applyFill="1" applyBorder="1" applyAlignment="1">
      <alignment horizontal="center" vertical="center"/>
    </xf>
    <xf numFmtId="0" fontId="18" fillId="34" borderId="71" xfId="0" applyFont="1" applyFill="1" applyBorder="1" applyAlignment="1" applyProtection="1">
      <alignment horizontal="center" vertical="center"/>
      <protection hidden="1"/>
    </xf>
    <xf numFmtId="0" fontId="18" fillId="34" borderId="92" xfId="0" applyFont="1" applyFill="1" applyBorder="1" applyProtection="1">
      <alignment vertical="center"/>
      <protection hidden="1"/>
    </xf>
    <xf numFmtId="0" fontId="0" fillId="34" borderId="71" xfId="0" applyFill="1" applyBorder="1" applyProtection="1">
      <alignment vertical="center"/>
      <protection hidden="1"/>
    </xf>
    <xf numFmtId="0" fontId="0" fillId="34" borderId="86" xfId="0" applyFill="1" applyBorder="1" applyProtection="1">
      <alignment vertical="center"/>
      <protection hidden="1"/>
    </xf>
    <xf numFmtId="0" fontId="12" fillId="40" borderId="34" xfId="0" applyFont="1" applyFill="1" applyBorder="1" applyAlignment="1" applyProtection="1">
      <alignment horizontal="center" vertical="center" shrinkToFit="1"/>
      <protection hidden="1"/>
    </xf>
    <xf numFmtId="0" fontId="12" fillId="34" borderId="86" xfId="0" applyFont="1" applyFill="1" applyBorder="1" applyAlignment="1" applyProtection="1">
      <alignment horizontal="center" vertical="center"/>
      <protection hidden="1"/>
    </xf>
    <xf numFmtId="0" fontId="12" fillId="34" borderId="40" xfId="0" applyFont="1" applyFill="1" applyBorder="1" applyAlignment="1" applyProtection="1">
      <alignment horizontal="center" vertical="center" wrapText="1"/>
      <protection hidden="1"/>
    </xf>
    <xf numFmtId="0" fontId="12" fillId="34" borderId="86" xfId="0" applyFont="1" applyFill="1" applyBorder="1" applyAlignment="1" applyProtection="1">
      <alignment horizontal="left" vertical="center"/>
      <protection hidden="1"/>
    </xf>
    <xf numFmtId="0" fontId="12" fillId="34" borderId="92" xfId="0" applyFont="1" applyFill="1" applyBorder="1" applyAlignment="1" applyProtection="1">
      <alignment horizontal="left" vertical="center"/>
      <protection hidden="1"/>
    </xf>
    <xf numFmtId="0" fontId="12" fillId="40" borderId="34" xfId="0" applyFont="1" applyFill="1" applyBorder="1" applyAlignment="1" applyProtection="1">
      <alignment horizontal="centerContinuous" vertical="center" shrinkToFit="1"/>
      <protection hidden="1"/>
    </xf>
    <xf numFmtId="0" fontId="12" fillId="34" borderId="40" xfId="0" applyFont="1" applyFill="1" applyBorder="1" applyAlignment="1" applyProtection="1">
      <alignment horizontal="center" vertical="center"/>
      <protection hidden="1"/>
    </xf>
    <xf numFmtId="0" fontId="2" fillId="35" borderId="144" xfId="0" applyFont="1" applyFill="1" applyBorder="1" applyAlignment="1" applyProtection="1">
      <alignment horizontal="center" vertical="center"/>
      <protection locked="0" hidden="1"/>
    </xf>
    <xf numFmtId="0" fontId="167" fillId="40" borderId="34" xfId="0" applyFont="1" applyFill="1" applyBorder="1" applyAlignment="1" applyProtection="1">
      <alignment horizontal="center" vertical="center" shrinkToFit="1"/>
      <protection hidden="1"/>
    </xf>
    <xf numFmtId="0" fontId="12" fillId="34" borderId="34" xfId="0" applyFont="1" applyFill="1" applyBorder="1" applyAlignment="1" applyProtection="1">
      <alignment horizontal="center" vertical="center"/>
      <protection hidden="1"/>
    </xf>
    <xf numFmtId="0" fontId="167" fillId="40" borderId="71" xfId="0" applyFont="1" applyFill="1" applyBorder="1" applyAlignment="1" applyProtection="1">
      <alignment horizontal="centerContinuous" vertical="center" shrinkToFit="1"/>
      <protection hidden="1"/>
    </xf>
    <xf numFmtId="0" fontId="12" fillId="40" borderId="33" xfId="0" applyFont="1" applyFill="1" applyBorder="1" applyAlignment="1" applyProtection="1">
      <alignment horizontal="centerContinuous" vertical="center" shrinkToFit="1"/>
      <protection hidden="1"/>
    </xf>
    <xf numFmtId="0" fontId="12" fillId="34" borderId="71" xfId="0" applyFont="1" applyFill="1" applyBorder="1" applyAlignment="1" applyProtection="1">
      <alignment horizontal="center" vertical="center" wrapText="1"/>
      <protection hidden="1"/>
    </xf>
    <xf numFmtId="0" fontId="12" fillId="34" borderId="34" xfId="0" applyFont="1" applyFill="1" applyBorder="1" applyAlignment="1" applyProtection="1">
      <alignment horizontal="center" vertical="center" wrapText="1"/>
      <protection hidden="1"/>
    </xf>
    <xf numFmtId="191" fontId="162" fillId="0" borderId="34" xfId="0" applyNumberFormat="1" applyFont="1" applyBorder="1" applyProtection="1">
      <alignment vertical="center"/>
      <protection hidden="1"/>
    </xf>
    <xf numFmtId="0" fontId="35" fillId="0" borderId="0" xfId="0" applyFont="1" applyAlignment="1" applyProtection="1">
      <alignment horizontal="right" vertical="center"/>
      <protection hidden="1"/>
    </xf>
    <xf numFmtId="191" fontId="194" fillId="0" borderId="34" xfId="0" applyNumberFormat="1" applyFont="1" applyBorder="1" applyAlignment="1" applyProtection="1">
      <alignment horizontal="center" vertical="center"/>
      <protection hidden="1"/>
    </xf>
    <xf numFmtId="56" fontId="195" fillId="0" borderId="0" xfId="0" applyNumberFormat="1" applyFont="1" applyAlignment="1" applyProtection="1">
      <alignment horizontal="left" vertical="center"/>
      <protection hidden="1"/>
    </xf>
    <xf numFmtId="0" fontId="141" fillId="0" borderId="0" xfId="0" applyFont="1" applyAlignment="1" applyProtection="1">
      <alignment horizontal="right" vertical="center"/>
      <protection hidden="1"/>
    </xf>
    <xf numFmtId="191" fontId="194" fillId="0" borderId="34" xfId="0" applyNumberFormat="1" applyFont="1" applyBorder="1" applyAlignment="1" applyProtection="1">
      <alignment horizontal="center" vertical="center"/>
      <protection locked="0"/>
    </xf>
    <xf numFmtId="0" fontId="13" fillId="31" borderId="69" xfId="0" applyFont="1" applyFill="1" applyBorder="1" applyProtection="1">
      <alignment vertical="center"/>
      <protection hidden="1"/>
    </xf>
    <xf numFmtId="0" fontId="12" fillId="0" borderId="12" xfId="0" applyFont="1" applyBorder="1" applyProtection="1">
      <alignment vertical="center"/>
      <protection hidden="1"/>
    </xf>
    <xf numFmtId="3" fontId="12" fillId="0" borderId="0" xfId="0" applyNumberFormat="1" applyFont="1" applyAlignment="1" applyProtection="1">
      <alignment horizontal="left" vertical="center"/>
      <protection hidden="1"/>
    </xf>
    <xf numFmtId="0" fontId="12" fillId="0" borderId="108" xfId="0" applyFont="1" applyBorder="1" applyProtection="1">
      <alignment vertical="center"/>
      <protection hidden="1"/>
    </xf>
    <xf numFmtId="0" fontId="12" fillId="0" borderId="46" xfId="0" applyFont="1" applyBorder="1" applyProtection="1">
      <alignment vertical="center"/>
      <protection hidden="1"/>
    </xf>
    <xf numFmtId="0" fontId="12" fillId="24" borderId="0" xfId="0" applyFont="1" applyFill="1" applyAlignment="1" applyProtection="1">
      <alignment horizontal="left" vertical="center"/>
      <protection hidden="1"/>
    </xf>
    <xf numFmtId="190" fontId="12" fillId="24" borderId="98" xfId="0" applyNumberFormat="1" applyFont="1" applyFill="1" applyBorder="1" applyProtection="1">
      <alignment vertical="center"/>
      <protection hidden="1"/>
    </xf>
    <xf numFmtId="190" fontId="12" fillId="24" borderId="11" xfId="0" applyNumberFormat="1" applyFont="1" applyFill="1" applyBorder="1" applyProtection="1">
      <alignment vertical="center"/>
      <protection hidden="1"/>
    </xf>
    <xf numFmtId="189" fontId="12" fillId="24" borderId="98" xfId="0" applyNumberFormat="1" applyFont="1" applyFill="1" applyBorder="1" applyProtection="1">
      <alignment vertical="center"/>
      <protection hidden="1"/>
    </xf>
    <xf numFmtId="189" fontId="12" fillId="24" borderId="11" xfId="0" applyNumberFormat="1" applyFont="1" applyFill="1" applyBorder="1" applyProtection="1">
      <alignment vertical="center"/>
      <protection hidden="1"/>
    </xf>
    <xf numFmtId="0" fontId="197" fillId="0" borderId="0" xfId="0" applyFont="1" applyProtection="1">
      <alignment vertical="center"/>
      <protection hidden="1"/>
    </xf>
    <xf numFmtId="0" fontId="12" fillId="24" borderId="12" xfId="0" applyFont="1" applyFill="1" applyBorder="1" applyAlignment="1" applyProtection="1">
      <alignment horizontal="left" vertical="center"/>
      <protection hidden="1"/>
    </xf>
    <xf numFmtId="3" fontId="12" fillId="24" borderId="96" xfId="0" applyNumberFormat="1" applyFont="1" applyFill="1" applyBorder="1" applyProtection="1">
      <alignment vertical="center"/>
      <protection hidden="1"/>
    </xf>
    <xf numFmtId="3" fontId="12" fillId="24" borderId="13" xfId="0" applyNumberFormat="1" applyFont="1" applyFill="1" applyBorder="1" applyProtection="1">
      <alignment vertical="center"/>
      <protection hidden="1"/>
    </xf>
    <xf numFmtId="0" fontId="12" fillId="24" borderId="0" xfId="0" applyFont="1" applyFill="1" applyProtection="1">
      <alignment vertical="center"/>
      <protection hidden="1"/>
    </xf>
    <xf numFmtId="0" fontId="12" fillId="0" borderId="98" xfId="0" applyFont="1" applyBorder="1" applyAlignment="1" applyProtection="1">
      <alignment vertical="center" shrinkToFit="1"/>
      <protection hidden="1"/>
    </xf>
    <xf numFmtId="0" fontId="12" fillId="0" borderId="11" xfId="0" applyFont="1" applyBorder="1" applyAlignment="1" applyProtection="1">
      <alignment vertical="center" shrinkToFit="1"/>
      <protection hidden="1"/>
    </xf>
    <xf numFmtId="49" fontId="12" fillId="24" borderId="0" xfId="0" applyNumberFormat="1" applyFont="1" applyFill="1" applyAlignment="1" applyProtection="1">
      <alignment horizontal="left" vertical="center"/>
      <protection hidden="1"/>
    </xf>
    <xf numFmtId="0" fontId="186" fillId="0" borderId="0" xfId="0" applyFont="1" applyProtection="1">
      <alignment vertical="center"/>
      <protection hidden="1"/>
    </xf>
    <xf numFmtId="0" fontId="12" fillId="24" borderId="12" xfId="0" applyFont="1" applyFill="1" applyBorder="1" applyProtection="1">
      <alignment vertical="center"/>
      <protection hidden="1"/>
    </xf>
    <xf numFmtId="0" fontId="12" fillId="0" borderId="96" xfId="0" applyFont="1" applyBorder="1" applyAlignment="1" applyProtection="1">
      <alignment vertical="center" shrinkToFit="1"/>
      <protection hidden="1"/>
    </xf>
    <xf numFmtId="0" fontId="12" fillId="0" borderId="13" xfId="0" applyFont="1" applyBorder="1" applyAlignment="1" applyProtection="1">
      <alignment vertical="center" shrinkToFit="1"/>
      <protection hidden="1"/>
    </xf>
    <xf numFmtId="0" fontId="12" fillId="0" borderId="26" xfId="0" applyFont="1" applyBorder="1" applyProtection="1">
      <alignment vertical="center"/>
      <protection hidden="1"/>
    </xf>
    <xf numFmtId="56" fontId="14" fillId="28" borderId="20" xfId="0" applyNumberFormat="1" applyFont="1" applyFill="1" applyBorder="1" applyProtection="1">
      <alignment vertical="center"/>
      <protection hidden="1"/>
    </xf>
    <xf numFmtId="182" fontId="62" fillId="0" borderId="0" xfId="0" applyNumberFormat="1" applyFont="1" applyAlignment="1" applyProtection="1">
      <alignment horizontal="left" vertical="center" indent="3"/>
      <protection hidden="1"/>
    </xf>
    <xf numFmtId="0" fontId="198" fillId="0" borderId="0" xfId="0" applyFont="1" applyProtection="1">
      <alignment vertical="center"/>
      <protection hidden="1"/>
    </xf>
    <xf numFmtId="0" fontId="133" fillId="0" borderId="10" xfId="0" applyFont="1" applyBorder="1" applyAlignment="1" applyProtection="1">
      <alignment horizontal="center" vertical="center"/>
      <protection hidden="1"/>
    </xf>
    <xf numFmtId="0" fontId="133" fillId="0" borderId="0" xfId="0" applyFont="1" applyAlignment="1" applyProtection="1">
      <alignment horizontal="center" vertical="center"/>
      <protection hidden="1"/>
    </xf>
    <xf numFmtId="0" fontId="133" fillId="0" borderId="11" xfId="0" applyFont="1" applyBorder="1" applyAlignment="1" applyProtection="1">
      <alignment horizontal="center" vertical="center"/>
      <protection hidden="1"/>
    </xf>
    <xf numFmtId="0" fontId="136" fillId="0" borderId="40" xfId="0" applyFont="1" applyBorder="1" applyAlignment="1" applyProtection="1">
      <alignment horizontal="center" vertical="center"/>
      <protection hidden="1"/>
    </xf>
    <xf numFmtId="0" fontId="136" fillId="0" borderId="70" xfId="0" applyFont="1" applyBorder="1" applyAlignment="1" applyProtection="1">
      <alignment horizontal="center" vertical="center"/>
      <protection hidden="1"/>
    </xf>
    <xf numFmtId="0" fontId="199" fillId="37" borderId="34" xfId="0" applyFont="1" applyFill="1" applyBorder="1" applyAlignment="1" applyProtection="1">
      <alignment horizontal="center" vertical="center"/>
      <protection hidden="1"/>
    </xf>
    <xf numFmtId="0" fontId="199" fillId="37" borderId="34" xfId="0" applyFont="1" applyFill="1" applyBorder="1" applyAlignment="1">
      <alignment horizontal="center" vertical="center"/>
    </xf>
    <xf numFmtId="0" fontId="199" fillId="37" borderId="86" xfId="0" applyFont="1" applyFill="1" applyBorder="1" applyAlignment="1" applyProtection="1">
      <alignment horizontal="center" vertical="center"/>
      <protection hidden="1"/>
    </xf>
    <xf numFmtId="0" fontId="180" fillId="37" borderId="34" xfId="0" applyFont="1" applyFill="1" applyBorder="1" applyAlignment="1" applyProtection="1">
      <alignment horizontal="center" vertical="center"/>
      <protection hidden="1"/>
    </xf>
    <xf numFmtId="0" fontId="187" fillId="0" borderId="34" xfId="0" applyFont="1" applyBorder="1" applyAlignment="1" applyProtection="1">
      <alignment horizontal="center" vertical="center"/>
      <protection hidden="1"/>
    </xf>
    <xf numFmtId="0" fontId="139" fillId="37" borderId="34" xfId="0" applyFont="1" applyFill="1" applyBorder="1" applyAlignment="1" applyProtection="1">
      <alignment horizontal="center" vertical="center"/>
      <protection hidden="1"/>
    </xf>
    <xf numFmtId="0" fontId="139" fillId="37" borderId="34" xfId="0" applyFont="1" applyFill="1" applyBorder="1" applyProtection="1">
      <alignment vertical="center"/>
      <protection hidden="1"/>
    </xf>
    <xf numFmtId="9" fontId="178" fillId="37" borderId="34" xfId="0" applyNumberFormat="1" applyFont="1" applyFill="1" applyBorder="1" applyProtection="1">
      <alignment vertical="center"/>
      <protection hidden="1"/>
    </xf>
    <xf numFmtId="0" fontId="202" fillId="44" borderId="34" xfId="0" applyFont="1" applyFill="1" applyBorder="1" applyAlignment="1">
      <alignment horizontal="center" vertical="center"/>
    </xf>
    <xf numFmtId="0" fontId="202" fillId="44" borderId="88" xfId="0" applyFont="1" applyFill="1" applyBorder="1" applyAlignment="1" applyProtection="1">
      <alignment horizontal="center" vertical="center"/>
      <protection hidden="1"/>
    </xf>
    <xf numFmtId="0" fontId="136" fillId="37" borderId="34" xfId="0" applyFont="1" applyFill="1" applyBorder="1" applyAlignment="1" applyProtection="1">
      <alignment horizontal="center" vertical="center"/>
      <protection hidden="1"/>
    </xf>
    <xf numFmtId="0" fontId="136" fillId="37" borderId="129" xfId="0" applyFont="1" applyFill="1" applyBorder="1" applyAlignment="1" applyProtection="1">
      <alignment horizontal="center" vertical="center"/>
      <protection hidden="1"/>
    </xf>
    <xf numFmtId="0" fontId="180" fillId="0" borderId="0" xfId="0" applyFont="1" applyAlignment="1" applyProtection="1">
      <alignment horizontal="right" vertical="center"/>
      <protection hidden="1"/>
    </xf>
    <xf numFmtId="0" fontId="183" fillId="0" borderId="0" xfId="0" applyFont="1" applyProtection="1">
      <alignment vertical="center"/>
      <protection hidden="1"/>
    </xf>
    <xf numFmtId="0" fontId="203" fillId="0" borderId="19" xfId="0" applyFont="1" applyBorder="1" applyProtection="1">
      <alignment vertical="center"/>
      <protection hidden="1"/>
    </xf>
    <xf numFmtId="0" fontId="186" fillId="0" borderId="19" xfId="0" applyFont="1" applyBorder="1" applyProtection="1">
      <alignment vertical="center"/>
      <protection hidden="1"/>
    </xf>
    <xf numFmtId="0" fontId="204" fillId="0" borderId="10" xfId="0" applyFont="1" applyBorder="1" applyAlignment="1" applyProtection="1">
      <alignment horizontal="left" vertical="center"/>
      <protection hidden="1"/>
    </xf>
    <xf numFmtId="0" fontId="204" fillId="0" borderId="0" xfId="0" applyFont="1" applyAlignment="1" applyProtection="1">
      <alignment horizontal="left" vertical="center"/>
      <protection hidden="1"/>
    </xf>
    <xf numFmtId="0" fontId="204" fillId="0" borderId="11" xfId="0" applyFont="1" applyBorder="1" applyAlignment="1" applyProtection="1">
      <alignment horizontal="left" vertical="center"/>
      <protection hidden="1"/>
    </xf>
    <xf numFmtId="0" fontId="204" fillId="0" borderId="25" xfId="0" applyFont="1" applyBorder="1" applyAlignment="1" applyProtection="1">
      <alignment horizontal="left" vertical="center"/>
      <protection hidden="1"/>
    </xf>
    <xf numFmtId="0" fontId="204" fillId="0" borderId="26" xfId="0" applyFont="1" applyBorder="1" applyAlignment="1" applyProtection="1">
      <alignment horizontal="left" vertical="center"/>
      <protection hidden="1"/>
    </xf>
    <xf numFmtId="0" fontId="204" fillId="0" borderId="27" xfId="0" applyFont="1" applyBorder="1" applyAlignment="1" applyProtection="1">
      <alignment horizontal="left" vertical="center"/>
      <protection hidden="1"/>
    </xf>
    <xf numFmtId="0" fontId="0" fillId="0" borderId="0" xfId="51" applyFont="1">
      <alignment vertical="center"/>
    </xf>
    <xf numFmtId="196" fontId="0" fillId="0" borderId="0" xfId="51" applyNumberFormat="1" applyFont="1">
      <alignment vertical="center"/>
    </xf>
    <xf numFmtId="0" fontId="0" fillId="0" borderId="153" xfId="51" applyFont="1" applyBorder="1">
      <alignment vertical="center"/>
    </xf>
    <xf numFmtId="196" fontId="0" fillId="0" borderId="153" xfId="51" applyNumberFormat="1" applyFont="1" applyBorder="1">
      <alignment vertical="center"/>
    </xf>
    <xf numFmtId="0" fontId="1" fillId="0" borderId="154" xfId="51" applyBorder="1">
      <alignment vertical="center"/>
    </xf>
    <xf numFmtId="196" fontId="21" fillId="0" borderId="154" xfId="51" applyNumberFormat="1" applyFont="1" applyBorder="1">
      <alignment vertical="center"/>
    </xf>
    <xf numFmtId="0" fontId="0" fillId="0" borderId="0" xfId="51" applyFont="1" applyAlignment="1">
      <alignment horizontal="right" vertical="center"/>
    </xf>
    <xf numFmtId="0" fontId="0" fillId="0" borderId="155" xfId="51" applyFont="1" applyBorder="1">
      <alignment vertical="center"/>
    </xf>
    <xf numFmtId="0" fontId="1" fillId="0" borderId="156" xfId="51" applyBorder="1">
      <alignment vertical="center"/>
    </xf>
    <xf numFmtId="0" fontId="0" fillId="0" borderId="157" xfId="51" applyFont="1" applyBorder="1">
      <alignment vertical="center"/>
    </xf>
    <xf numFmtId="0" fontId="0" fillId="0" borderId="159" xfId="51" applyFont="1" applyBorder="1" applyAlignment="1">
      <alignment horizontal="right" vertical="center"/>
    </xf>
    <xf numFmtId="0" fontId="1" fillId="0" borderId="160" xfId="51" applyBorder="1">
      <alignment vertical="center"/>
    </xf>
    <xf numFmtId="0" fontId="0" fillId="0" borderId="161" xfId="51" applyFont="1" applyBorder="1">
      <alignment vertical="center"/>
    </xf>
    <xf numFmtId="196" fontId="0" fillId="48" borderId="162" xfId="51" applyNumberFormat="1" applyFont="1" applyFill="1" applyBorder="1" applyAlignment="1">
      <alignment vertical="center" shrinkToFit="1"/>
    </xf>
    <xf numFmtId="0" fontId="0" fillId="0" borderId="163" xfId="51" applyFont="1" applyBorder="1">
      <alignment vertical="center"/>
    </xf>
    <xf numFmtId="0" fontId="0" fillId="0" borderId="164" xfId="51" applyFont="1" applyBorder="1">
      <alignment vertical="center"/>
    </xf>
    <xf numFmtId="196" fontId="115" fillId="48" borderId="153" xfId="51" applyNumberFormat="1" applyFont="1" applyFill="1" applyBorder="1" applyAlignment="1">
      <alignment vertical="center" shrinkToFit="1"/>
    </xf>
    <xf numFmtId="0" fontId="206" fillId="0" borderId="153" xfId="51" applyFont="1" applyBorder="1">
      <alignment vertical="center"/>
    </xf>
    <xf numFmtId="0" fontId="0" fillId="0" borderId="153" xfId="51" applyFont="1" applyBorder="1" applyAlignment="1">
      <alignment horizontal="right" vertical="center"/>
    </xf>
    <xf numFmtId="196" fontId="207" fillId="48" borderId="153" xfId="51" applyNumberFormat="1" applyFont="1" applyFill="1" applyBorder="1" applyAlignment="1">
      <alignment vertical="center" shrinkToFit="1"/>
    </xf>
    <xf numFmtId="0" fontId="208" fillId="0" borderId="153" xfId="51" applyFont="1" applyBorder="1">
      <alignment vertical="center"/>
    </xf>
    <xf numFmtId="196" fontId="0" fillId="48" borderId="153" xfId="51" applyNumberFormat="1" applyFont="1" applyFill="1" applyBorder="1" applyAlignment="1">
      <alignment vertical="center" shrinkToFit="1"/>
    </xf>
    <xf numFmtId="0" fontId="0" fillId="0" borderId="165" xfId="51" applyFont="1" applyBorder="1">
      <alignment vertical="center"/>
    </xf>
    <xf numFmtId="195" fontId="0" fillId="36" borderId="166" xfId="51" applyNumberFormat="1" applyFont="1" applyFill="1" applyBorder="1" applyProtection="1">
      <alignment vertical="center"/>
      <protection locked="0"/>
    </xf>
    <xf numFmtId="0" fontId="1" fillId="0" borderId="167" xfId="51" applyBorder="1">
      <alignment vertical="center"/>
    </xf>
    <xf numFmtId="0" fontId="0" fillId="0" borderId="168" xfId="51" applyFont="1" applyBorder="1">
      <alignment vertical="center"/>
    </xf>
    <xf numFmtId="0" fontId="0" fillId="0" borderId="170" xfId="51" applyFont="1" applyBorder="1" applyAlignment="1">
      <alignment horizontal="right" vertical="center"/>
    </xf>
    <xf numFmtId="0" fontId="0" fillId="0" borderId="171" xfId="51" applyFont="1" applyBorder="1" applyAlignment="1">
      <alignment horizontal="right" vertical="center"/>
    </xf>
    <xf numFmtId="0" fontId="0" fillId="0" borderId="172" xfId="51" applyFont="1" applyBorder="1">
      <alignment vertical="center"/>
    </xf>
    <xf numFmtId="177" fontId="0" fillId="0" borderId="0" xfId="51" applyNumberFormat="1" applyFont="1" applyAlignment="1">
      <alignment vertical="center" shrinkToFit="1"/>
    </xf>
    <xf numFmtId="0" fontId="1" fillId="0" borderId="173" xfId="51" applyBorder="1">
      <alignment vertical="center"/>
    </xf>
    <xf numFmtId="0" fontId="0" fillId="0" borderId="174" xfId="51" applyFont="1" applyBorder="1">
      <alignment vertical="center"/>
    </xf>
    <xf numFmtId="196" fontId="0" fillId="48" borderId="175" xfId="51" applyNumberFormat="1" applyFont="1" applyFill="1" applyBorder="1" applyAlignment="1">
      <alignment vertical="center" shrinkToFit="1"/>
    </xf>
    <xf numFmtId="0" fontId="0" fillId="0" borderId="176" xfId="51" applyFont="1" applyBorder="1">
      <alignment vertical="center"/>
    </xf>
    <xf numFmtId="0" fontId="0" fillId="0" borderId="171" xfId="51" applyFont="1" applyBorder="1">
      <alignment vertical="center"/>
    </xf>
    <xf numFmtId="196" fontId="209" fillId="0" borderId="153" xfId="51" applyNumberFormat="1" applyFont="1" applyBorder="1" applyAlignment="1">
      <alignment vertical="center" shrinkToFit="1"/>
    </xf>
    <xf numFmtId="179" fontId="209" fillId="0" borderId="153" xfId="51" applyNumberFormat="1" applyFont="1" applyBorder="1">
      <alignment vertical="center"/>
    </xf>
    <xf numFmtId="196" fontId="207" fillId="0" borderId="153" xfId="51" applyNumberFormat="1" applyFont="1" applyBorder="1" applyAlignment="1">
      <alignment vertical="center" shrinkToFit="1"/>
    </xf>
    <xf numFmtId="179" fontId="207" fillId="0" borderId="153" xfId="51" applyNumberFormat="1" applyFont="1" applyBorder="1">
      <alignment vertical="center"/>
    </xf>
    <xf numFmtId="38" fontId="209" fillId="0" borderId="153" xfId="52" applyFont="1" applyFill="1" applyBorder="1">
      <alignment vertical="center"/>
    </xf>
    <xf numFmtId="195" fontId="1" fillId="0" borderId="177" xfId="51" applyNumberFormat="1" applyBorder="1">
      <alignment vertical="center"/>
    </xf>
    <xf numFmtId="38" fontId="207" fillId="0" borderId="153" xfId="52" applyFont="1" applyBorder="1" applyAlignment="1">
      <alignment vertical="center" shrinkToFit="1"/>
    </xf>
    <xf numFmtId="0" fontId="0" fillId="49" borderId="153" xfId="51" applyFont="1" applyFill="1" applyBorder="1">
      <alignment vertical="center"/>
    </xf>
    <xf numFmtId="0" fontId="0" fillId="48" borderId="153" xfId="51" applyFont="1" applyFill="1" applyBorder="1" applyAlignment="1">
      <alignment vertical="center" shrinkToFit="1"/>
    </xf>
    <xf numFmtId="195" fontId="0" fillId="50" borderId="166" xfId="51" applyNumberFormat="1" applyFont="1" applyFill="1" applyBorder="1" applyProtection="1">
      <alignment vertical="center"/>
      <protection locked="0"/>
    </xf>
    <xf numFmtId="179" fontId="0" fillId="0" borderId="153" xfId="51" applyNumberFormat="1" applyFont="1" applyBorder="1" applyAlignment="1">
      <alignment vertical="center" shrinkToFit="1"/>
    </xf>
    <xf numFmtId="179" fontId="207" fillId="0" borderId="153" xfId="51" applyNumberFormat="1" applyFont="1" applyBorder="1" applyAlignment="1">
      <alignment vertical="center" shrinkToFit="1"/>
    </xf>
    <xf numFmtId="0" fontId="0" fillId="0" borderId="153" xfId="51" applyFont="1" applyBorder="1" applyAlignment="1">
      <alignment vertical="center" shrinkToFit="1"/>
    </xf>
    <xf numFmtId="0" fontId="1" fillId="49" borderId="153" xfId="51" applyFill="1" applyBorder="1">
      <alignment vertical="center"/>
    </xf>
    <xf numFmtId="176" fontId="0" fillId="0" borderId="153" xfId="51" applyNumberFormat="1" applyFont="1" applyBorder="1">
      <alignment vertical="center"/>
    </xf>
    <xf numFmtId="179" fontId="209" fillId="0" borderId="153" xfId="51" applyNumberFormat="1" applyFont="1" applyBorder="1" applyAlignment="1">
      <alignment vertical="center" shrinkToFit="1"/>
    </xf>
    <xf numFmtId="0" fontId="0" fillId="0" borderId="153" xfId="51" applyFont="1" applyBorder="1" applyAlignment="1">
      <alignment horizontal="left" vertical="center"/>
    </xf>
    <xf numFmtId="196" fontId="0" fillId="0" borderId="153" xfId="51" applyNumberFormat="1" applyFont="1" applyBorder="1" applyAlignment="1">
      <alignment vertical="center" shrinkToFit="1"/>
    </xf>
    <xf numFmtId="176" fontId="0" fillId="50" borderId="166" xfId="51" applyNumberFormat="1" applyFont="1" applyFill="1" applyBorder="1" applyProtection="1">
      <alignment vertical="center"/>
      <protection locked="0"/>
    </xf>
    <xf numFmtId="176" fontId="0" fillId="36" borderId="166" xfId="51" applyNumberFormat="1" applyFont="1" applyFill="1" applyBorder="1" applyProtection="1">
      <alignment vertical="center"/>
      <protection locked="0"/>
    </xf>
    <xf numFmtId="0" fontId="0" fillId="50" borderId="166" xfId="51" applyFont="1" applyFill="1" applyBorder="1" applyProtection="1">
      <alignment vertical="center"/>
      <protection locked="0"/>
    </xf>
    <xf numFmtId="0" fontId="0" fillId="48" borderId="153" xfId="51" applyFont="1" applyFill="1" applyBorder="1">
      <alignment vertical="center"/>
    </xf>
    <xf numFmtId="195" fontId="0" fillId="50" borderId="166" xfId="51" applyNumberFormat="1" applyFont="1" applyFill="1" applyBorder="1">
      <alignment vertical="center"/>
    </xf>
    <xf numFmtId="196" fontId="0" fillId="0" borderId="153" xfId="51" applyNumberFormat="1" applyFont="1" applyBorder="1" applyAlignment="1">
      <alignment horizontal="right" vertical="center"/>
    </xf>
    <xf numFmtId="0" fontId="2" fillId="0" borderId="153" xfId="51" applyFont="1" applyBorder="1">
      <alignment vertical="center"/>
    </xf>
    <xf numFmtId="0" fontId="210" fillId="0" borderId="153" xfId="51" applyFont="1" applyBorder="1">
      <alignment vertical="center"/>
    </xf>
    <xf numFmtId="0" fontId="0" fillId="0" borderId="0" xfId="53" applyFont="1">
      <alignment vertical="center"/>
    </xf>
    <xf numFmtId="196" fontId="0" fillId="0" borderId="0" xfId="53" applyNumberFormat="1" applyFont="1">
      <alignment vertical="center"/>
    </xf>
    <xf numFmtId="0" fontId="0" fillId="0" borderId="153" xfId="53" applyFont="1" applyBorder="1">
      <alignment vertical="center"/>
    </xf>
    <xf numFmtId="0" fontId="1" fillId="37" borderId="0" xfId="53" applyFill="1">
      <alignment vertical="center"/>
    </xf>
    <xf numFmtId="0" fontId="1" fillId="37" borderId="153" xfId="53" applyFill="1" applyBorder="1">
      <alignment vertical="center"/>
    </xf>
    <xf numFmtId="196" fontId="1" fillId="37" borderId="153" xfId="53" applyNumberFormat="1" applyFill="1" applyBorder="1">
      <alignment vertical="center"/>
    </xf>
    <xf numFmtId="0" fontId="1" fillId="37" borderId="153" xfId="53" applyFill="1" applyBorder="1" applyAlignment="1">
      <alignment vertical="top"/>
    </xf>
    <xf numFmtId="0" fontId="1" fillId="37" borderId="154" xfId="53" applyFill="1" applyBorder="1">
      <alignment vertical="center"/>
    </xf>
    <xf numFmtId="196" fontId="21" fillId="37" borderId="154" xfId="53" applyNumberFormat="1" applyFont="1" applyFill="1" applyBorder="1">
      <alignment vertical="center"/>
    </xf>
    <xf numFmtId="0" fontId="1" fillId="37" borderId="0" xfId="53" applyFill="1" applyAlignment="1">
      <alignment horizontal="right" vertical="center"/>
    </xf>
    <xf numFmtId="0" fontId="1" fillId="37" borderId="155" xfId="53" applyFill="1" applyBorder="1">
      <alignment vertical="center"/>
    </xf>
    <xf numFmtId="0" fontId="1" fillId="37" borderId="156" xfId="53" applyFill="1" applyBorder="1">
      <alignment vertical="center"/>
    </xf>
    <xf numFmtId="0" fontId="1" fillId="37" borderId="157" xfId="53" applyFill="1" applyBorder="1">
      <alignment vertical="center"/>
    </xf>
    <xf numFmtId="0" fontId="1" fillId="37" borderId="159" xfId="53" applyFill="1" applyBorder="1" applyAlignment="1">
      <alignment horizontal="right" vertical="center"/>
    </xf>
    <xf numFmtId="0" fontId="1" fillId="37" borderId="160" xfId="53" applyFill="1" applyBorder="1">
      <alignment vertical="center"/>
    </xf>
    <xf numFmtId="0" fontId="1" fillId="37" borderId="161" xfId="53" applyFill="1" applyBorder="1">
      <alignment vertical="center"/>
    </xf>
    <xf numFmtId="196" fontId="1" fillId="51" borderId="162" xfId="53" applyNumberFormat="1" applyFill="1" applyBorder="1" applyAlignment="1">
      <alignment vertical="center" shrinkToFit="1"/>
    </xf>
    <xf numFmtId="0" fontId="1" fillId="37" borderId="163" xfId="53" applyFill="1" applyBorder="1">
      <alignment vertical="center"/>
    </xf>
    <xf numFmtId="0" fontId="1" fillId="37" borderId="164" xfId="53" applyFill="1" applyBorder="1">
      <alignment vertical="center"/>
    </xf>
    <xf numFmtId="196" fontId="115" fillId="37" borderId="153" xfId="53" applyNumberFormat="1" applyFont="1" applyFill="1" applyBorder="1" applyAlignment="1">
      <alignment vertical="center" shrinkToFit="1"/>
    </xf>
    <xf numFmtId="0" fontId="206" fillId="37" borderId="153" xfId="53" applyFont="1" applyFill="1" applyBorder="1">
      <alignment vertical="center"/>
    </xf>
    <xf numFmtId="0" fontId="1" fillId="37" borderId="153" xfId="53" applyFill="1" applyBorder="1" applyAlignment="1">
      <alignment horizontal="right" vertical="center"/>
    </xf>
    <xf numFmtId="196" fontId="207" fillId="37" borderId="153" xfId="53" applyNumberFormat="1" applyFont="1" applyFill="1" applyBorder="1" applyAlignment="1">
      <alignment vertical="center" shrinkToFit="1"/>
    </xf>
    <xf numFmtId="0" fontId="208" fillId="37" borderId="153" xfId="53" applyFont="1" applyFill="1" applyBorder="1">
      <alignment vertical="center"/>
    </xf>
    <xf numFmtId="0" fontId="1" fillId="37" borderId="165" xfId="53" applyFill="1" applyBorder="1">
      <alignment vertical="center"/>
    </xf>
    <xf numFmtId="195" fontId="1" fillId="36" borderId="166" xfId="53" applyNumberFormat="1" applyFill="1" applyBorder="1" applyProtection="1">
      <alignment vertical="center"/>
      <protection locked="0"/>
    </xf>
    <xf numFmtId="0" fontId="1" fillId="37" borderId="167" xfId="53" applyFill="1" applyBorder="1">
      <alignment vertical="center"/>
    </xf>
    <xf numFmtId="0" fontId="1" fillId="37" borderId="168" xfId="53" applyFill="1" applyBorder="1">
      <alignment vertical="center"/>
    </xf>
    <xf numFmtId="0" fontId="1" fillId="37" borderId="170" xfId="53" applyFill="1" applyBorder="1" applyAlignment="1">
      <alignment horizontal="right" vertical="center"/>
    </xf>
    <xf numFmtId="0" fontId="1" fillId="37" borderId="171" xfId="53" applyFill="1" applyBorder="1" applyAlignment="1">
      <alignment horizontal="right" vertical="center"/>
    </xf>
    <xf numFmtId="0" fontId="1" fillId="37" borderId="172" xfId="53" applyFill="1" applyBorder="1">
      <alignment vertical="center"/>
    </xf>
    <xf numFmtId="177" fontId="1" fillId="37" borderId="0" xfId="53" applyNumberFormat="1" applyFill="1" applyAlignment="1">
      <alignment vertical="center" shrinkToFit="1"/>
    </xf>
    <xf numFmtId="179" fontId="1" fillId="37" borderId="0" xfId="53" applyNumberFormat="1" applyFill="1" applyAlignment="1">
      <alignment vertical="center" shrinkToFit="1"/>
    </xf>
    <xf numFmtId="0" fontId="1" fillId="37" borderId="173" xfId="53" applyFill="1" applyBorder="1">
      <alignment vertical="center"/>
    </xf>
    <xf numFmtId="0" fontId="1" fillId="37" borderId="174" xfId="53" applyFill="1" applyBorder="1">
      <alignment vertical="center"/>
    </xf>
    <xf numFmtId="196" fontId="1" fillId="51" borderId="175" xfId="53" applyNumberFormat="1" applyFill="1" applyBorder="1" applyAlignment="1">
      <alignment vertical="center" shrinkToFit="1"/>
    </xf>
    <xf numFmtId="0" fontId="1" fillId="37" borderId="176" xfId="53" applyFill="1" applyBorder="1">
      <alignment vertical="center"/>
    </xf>
    <xf numFmtId="0" fontId="1" fillId="37" borderId="171" xfId="53" applyFill="1" applyBorder="1">
      <alignment vertical="center"/>
    </xf>
    <xf numFmtId="196" fontId="209" fillId="37" borderId="153" xfId="53" applyNumberFormat="1" applyFont="1" applyFill="1" applyBorder="1" applyAlignment="1">
      <alignment vertical="center" shrinkToFit="1"/>
    </xf>
    <xf numFmtId="179" fontId="209" fillId="37" borderId="153" xfId="53" applyNumberFormat="1" applyFont="1" applyFill="1" applyBorder="1">
      <alignment vertical="center"/>
    </xf>
    <xf numFmtId="179" fontId="207" fillId="37" borderId="153" xfId="53" applyNumberFormat="1" applyFont="1" applyFill="1" applyBorder="1">
      <alignment vertical="center"/>
    </xf>
    <xf numFmtId="177" fontId="1" fillId="37" borderId="0" xfId="53" applyNumberFormat="1" applyFill="1">
      <alignment vertical="center"/>
    </xf>
    <xf numFmtId="179" fontId="1" fillId="37" borderId="0" xfId="53" applyNumberFormat="1" applyFill="1">
      <alignment vertical="center"/>
    </xf>
    <xf numFmtId="0" fontId="1" fillId="37" borderId="177" xfId="53" applyFill="1" applyBorder="1">
      <alignment vertical="center"/>
    </xf>
    <xf numFmtId="195" fontId="1" fillId="37" borderId="0" xfId="53" applyNumberFormat="1" applyFill="1">
      <alignment vertical="center"/>
    </xf>
    <xf numFmtId="0" fontId="1" fillId="37" borderId="172" xfId="53" applyFill="1" applyBorder="1" applyAlignment="1">
      <alignment horizontal="right" vertical="center"/>
    </xf>
    <xf numFmtId="179" fontId="1" fillId="37" borderId="153" xfId="53" applyNumberFormat="1" applyFill="1" applyBorder="1" applyAlignment="1">
      <alignment vertical="center" shrinkToFit="1"/>
    </xf>
    <xf numFmtId="195" fontId="1" fillId="37" borderId="177" xfId="53" applyNumberFormat="1" applyFill="1" applyBorder="1">
      <alignment vertical="center"/>
    </xf>
    <xf numFmtId="38" fontId="207" fillId="37" borderId="153" xfId="52" applyFont="1" applyFill="1" applyBorder="1" applyAlignment="1">
      <alignment vertical="center" shrinkToFit="1"/>
    </xf>
    <xf numFmtId="0" fontId="208" fillId="37" borderId="155" xfId="53" applyFont="1" applyFill="1" applyBorder="1">
      <alignment vertical="center"/>
    </xf>
    <xf numFmtId="0" fontId="1" fillId="51" borderId="153" xfId="53" applyFill="1" applyBorder="1" applyAlignment="1">
      <alignment vertical="center" shrinkToFit="1"/>
    </xf>
    <xf numFmtId="0" fontId="1" fillId="52" borderId="153" xfId="53" applyFill="1" applyBorder="1">
      <alignment vertical="center"/>
    </xf>
    <xf numFmtId="179" fontId="207" fillId="37" borderId="153" xfId="53" applyNumberFormat="1" applyFont="1" applyFill="1" applyBorder="1" applyAlignment="1">
      <alignment vertical="center" shrinkToFit="1"/>
    </xf>
    <xf numFmtId="176" fontId="1" fillId="37" borderId="153" xfId="53" applyNumberFormat="1" applyFill="1" applyBorder="1">
      <alignment vertical="center"/>
    </xf>
    <xf numFmtId="179" fontId="209" fillId="37" borderId="153" xfId="53" applyNumberFormat="1" applyFont="1" applyFill="1" applyBorder="1" applyAlignment="1">
      <alignment vertical="center" shrinkToFit="1"/>
    </xf>
    <xf numFmtId="0" fontId="206" fillId="37" borderId="155" xfId="53" applyFont="1" applyFill="1" applyBorder="1">
      <alignment vertical="center"/>
    </xf>
    <xf numFmtId="0" fontId="1" fillId="37" borderId="153" xfId="53" applyFill="1" applyBorder="1" applyAlignment="1">
      <alignment horizontal="left" vertical="center"/>
    </xf>
    <xf numFmtId="179" fontId="1" fillId="37" borderId="153" xfId="53" applyNumberFormat="1" applyFill="1" applyBorder="1">
      <alignment vertical="center"/>
    </xf>
    <xf numFmtId="196" fontId="1" fillId="37" borderId="153" xfId="53" applyNumberFormat="1" applyFill="1" applyBorder="1" applyAlignment="1">
      <alignment vertical="center" shrinkToFit="1"/>
    </xf>
    <xf numFmtId="179" fontId="1" fillId="0" borderId="153" xfId="53" applyNumberFormat="1" applyBorder="1" applyAlignment="1">
      <alignment vertical="center" shrinkToFit="1"/>
    </xf>
    <xf numFmtId="0" fontId="1" fillId="51" borderId="153" xfId="53" applyFill="1" applyBorder="1">
      <alignment vertical="center"/>
    </xf>
    <xf numFmtId="0" fontId="1" fillId="36" borderId="178" xfId="53" applyFill="1" applyBorder="1" applyProtection="1">
      <alignment vertical="center"/>
      <protection locked="0"/>
    </xf>
    <xf numFmtId="176" fontId="1" fillId="36" borderId="166" xfId="53" applyNumberFormat="1" applyFill="1" applyBorder="1" applyProtection="1">
      <alignment vertical="center"/>
      <protection locked="0"/>
    </xf>
    <xf numFmtId="0" fontId="1" fillId="36" borderId="166" xfId="53" applyFill="1" applyBorder="1" applyProtection="1">
      <alignment vertical="center"/>
      <protection locked="0"/>
    </xf>
    <xf numFmtId="195" fontId="1" fillId="36" borderId="166" xfId="53" applyNumberFormat="1" applyFill="1" applyBorder="1">
      <alignment vertical="center"/>
    </xf>
    <xf numFmtId="196" fontId="1" fillId="37" borderId="153" xfId="53" applyNumberFormat="1" applyFill="1" applyBorder="1" applyAlignment="1">
      <alignment horizontal="right" vertical="center"/>
    </xf>
    <xf numFmtId="0" fontId="2" fillId="37" borderId="153" xfId="53" applyFont="1" applyFill="1" applyBorder="1">
      <alignment vertical="center"/>
    </xf>
    <xf numFmtId="14" fontId="1" fillId="37" borderId="0" xfId="53" applyNumberFormat="1" applyFill="1">
      <alignment vertical="center"/>
    </xf>
    <xf numFmtId="0" fontId="210" fillId="37" borderId="153" xfId="53" applyFont="1" applyFill="1" applyBorder="1">
      <alignment vertical="center"/>
    </xf>
    <xf numFmtId="196" fontId="1" fillId="37" borderId="0" xfId="53" applyNumberFormat="1" applyFill="1">
      <alignment vertical="center"/>
    </xf>
    <xf numFmtId="31" fontId="12" fillId="0" borderId="108" xfId="0" applyNumberFormat="1" applyFont="1" applyBorder="1" applyAlignment="1" applyProtection="1">
      <alignment horizontal="left" vertical="center" shrinkToFit="1"/>
      <protection hidden="1"/>
    </xf>
    <xf numFmtId="0" fontId="30" fillId="29" borderId="46" xfId="0" applyFont="1" applyFill="1" applyBorder="1" applyAlignment="1" applyProtection="1">
      <alignment horizontal="right" vertical="center"/>
      <protection hidden="1"/>
    </xf>
    <xf numFmtId="0" fontId="30" fillId="28" borderId="0" xfId="0" applyFont="1" applyFill="1" applyAlignment="1" applyProtection="1">
      <alignment horizontal="right" vertical="top"/>
      <protection hidden="1"/>
    </xf>
    <xf numFmtId="0" fontId="51" fillId="28" borderId="0" xfId="0" applyFont="1" applyFill="1" applyProtection="1">
      <alignment vertical="center"/>
      <protection hidden="1"/>
    </xf>
    <xf numFmtId="0" fontId="30" fillId="28" borderId="24" xfId="0" applyFont="1" applyFill="1" applyBorder="1" applyAlignment="1" applyProtection="1">
      <alignment horizontal="right" vertical="center"/>
      <protection hidden="1"/>
    </xf>
    <xf numFmtId="0" fontId="91" fillId="29" borderId="44" xfId="0" applyFont="1" applyFill="1" applyBorder="1" applyProtection="1">
      <alignment vertical="center"/>
      <protection hidden="1"/>
    </xf>
    <xf numFmtId="0" fontId="42" fillId="29" borderId="35" xfId="0" applyFont="1" applyFill="1" applyBorder="1" applyAlignment="1" applyProtection="1">
      <alignment horizontal="center" vertical="center"/>
      <protection hidden="1"/>
    </xf>
    <xf numFmtId="0" fontId="158" fillId="29" borderId="35" xfId="0" applyFont="1" applyFill="1" applyBorder="1" applyAlignment="1" applyProtection="1">
      <alignment horizontal="right" vertical="center"/>
      <protection hidden="1"/>
    </xf>
    <xf numFmtId="176" fontId="158" fillId="29" borderId="35" xfId="0" applyNumberFormat="1" applyFont="1" applyFill="1" applyBorder="1" applyAlignment="1" applyProtection="1">
      <alignment horizontal="center" vertical="center"/>
      <protection hidden="1"/>
    </xf>
    <xf numFmtId="0" fontId="214" fillId="29" borderId="44" xfId="0" applyFont="1" applyFill="1" applyBorder="1" applyProtection="1">
      <alignment vertical="center"/>
      <protection hidden="1"/>
    </xf>
    <xf numFmtId="0" fontId="12" fillId="35" borderId="70" xfId="0" applyFont="1" applyFill="1" applyBorder="1" applyProtection="1">
      <alignment vertical="center"/>
      <protection locked="0"/>
    </xf>
    <xf numFmtId="0" fontId="63" fillId="0" borderId="14" xfId="0" applyFont="1" applyBorder="1" applyProtection="1">
      <alignment vertical="center"/>
      <protection hidden="1"/>
    </xf>
    <xf numFmtId="0" fontId="202" fillId="0" borderId="34" xfId="0" applyFont="1" applyBorder="1" applyAlignment="1" applyProtection="1">
      <alignment horizontal="left" vertical="center"/>
      <protection hidden="1"/>
    </xf>
    <xf numFmtId="0" fontId="202" fillId="0" borderId="34" xfId="0" applyFont="1" applyBorder="1" applyProtection="1">
      <alignment vertical="center"/>
      <protection hidden="1"/>
    </xf>
    <xf numFmtId="0" fontId="18" fillId="30" borderId="35" xfId="0" applyFont="1" applyFill="1" applyBorder="1" applyAlignment="1" applyProtection="1">
      <alignment horizontal="centerContinuous" vertical="center" shrinkToFit="1"/>
      <protection hidden="1"/>
    </xf>
    <xf numFmtId="0" fontId="18" fillId="30" borderId="45" xfId="0" applyFont="1" applyFill="1" applyBorder="1" applyAlignment="1" applyProtection="1">
      <alignment horizontal="centerContinuous" vertical="center" shrinkToFit="1"/>
      <protection hidden="1"/>
    </xf>
    <xf numFmtId="0" fontId="9" fillId="25" borderId="180" xfId="0" applyFont="1" applyFill="1" applyBorder="1" applyAlignment="1" applyProtection="1">
      <alignment horizontal="center" vertical="center"/>
      <protection hidden="1"/>
    </xf>
    <xf numFmtId="0" fontId="167" fillId="30" borderId="33" xfId="0" applyFont="1" applyFill="1" applyBorder="1" applyAlignment="1" applyProtection="1">
      <alignment horizontal="centerContinuous" vertical="center" shrinkToFit="1"/>
      <protection hidden="1"/>
    </xf>
    <xf numFmtId="9" fontId="18" fillId="30" borderId="71" xfId="28" applyFont="1" applyFill="1" applyBorder="1" applyAlignment="1" applyProtection="1">
      <alignment horizontal="center" vertical="center" shrinkToFit="1"/>
      <protection hidden="1"/>
    </xf>
    <xf numFmtId="0" fontId="167" fillId="30" borderId="35" xfId="0" applyFont="1" applyFill="1" applyBorder="1" applyAlignment="1" applyProtection="1">
      <alignment horizontal="centerContinuous" vertical="center" shrinkToFit="1"/>
      <protection hidden="1"/>
    </xf>
    <xf numFmtId="0" fontId="167" fillId="30" borderId="71" xfId="0" applyFont="1" applyFill="1" applyBorder="1" applyAlignment="1" applyProtection="1">
      <alignment horizontal="centerContinuous" vertical="center" shrinkToFit="1"/>
      <protection hidden="1"/>
    </xf>
    <xf numFmtId="0" fontId="145" fillId="30" borderId="71" xfId="0" applyFont="1" applyFill="1" applyBorder="1" applyAlignment="1" applyProtection="1">
      <alignment horizontal="centerContinuous" vertical="center" shrinkToFit="1"/>
      <protection hidden="1"/>
    </xf>
    <xf numFmtId="0" fontId="12" fillId="30" borderId="70" xfId="0" applyFont="1" applyFill="1" applyBorder="1" applyAlignment="1" applyProtection="1">
      <alignment horizontal="centerContinuous" vertical="center" shrinkToFit="1"/>
      <protection hidden="1"/>
    </xf>
    <xf numFmtId="0" fontId="12" fillId="30" borderId="86"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vertical="center" shrinkToFit="1"/>
      <protection hidden="1"/>
    </xf>
    <xf numFmtId="0" fontId="18" fillId="40" borderId="86" xfId="0" applyFont="1" applyFill="1" applyBorder="1" applyAlignment="1" applyProtection="1">
      <alignment vertical="center" shrinkToFit="1"/>
      <protection hidden="1"/>
    </xf>
    <xf numFmtId="0" fontId="12" fillId="34" borderId="71" xfId="0" applyFont="1" applyFill="1" applyBorder="1" applyAlignment="1" applyProtection="1">
      <alignment vertical="center" wrapText="1"/>
      <protection hidden="1"/>
    </xf>
    <xf numFmtId="0" fontId="12" fillId="34" borderId="86" xfId="0" applyFont="1" applyFill="1" applyBorder="1" applyAlignment="1" applyProtection="1">
      <alignment vertical="center" wrapText="1"/>
      <protection hidden="1"/>
    </xf>
    <xf numFmtId="0" fontId="167" fillId="40" borderId="70" xfId="0" applyFont="1" applyFill="1" applyBorder="1" applyAlignment="1" applyProtection="1">
      <alignment vertical="center" shrinkToFit="1"/>
      <protection hidden="1"/>
    </xf>
    <xf numFmtId="191" fontId="12" fillId="35" borderId="19" xfId="0" applyNumberFormat="1" applyFont="1" applyFill="1" applyBorder="1" applyAlignment="1" applyProtection="1">
      <alignment horizontal="center" vertical="center"/>
      <protection locked="0"/>
    </xf>
    <xf numFmtId="0" fontId="175" fillId="0" borderId="0" xfId="0" applyFont="1" applyAlignment="1" applyProtection="1">
      <alignment horizontal="right" vertical="center"/>
      <protection hidden="1"/>
    </xf>
    <xf numFmtId="191" fontId="194" fillId="35" borderId="34" xfId="0" applyNumberFormat="1" applyFont="1" applyFill="1" applyBorder="1" applyAlignment="1" applyProtection="1">
      <alignment horizontal="left" vertical="center"/>
      <protection locked="0"/>
    </xf>
    <xf numFmtId="0" fontId="202" fillId="25" borderId="119" xfId="0" applyFont="1" applyFill="1" applyBorder="1" applyProtection="1">
      <alignment vertical="center"/>
      <protection hidden="1"/>
    </xf>
    <xf numFmtId="0" fontId="202" fillId="34" borderId="119" xfId="0" applyFont="1" applyFill="1" applyBorder="1" applyProtection="1">
      <alignment vertical="center"/>
      <protection hidden="1"/>
    </xf>
    <xf numFmtId="0" fontId="202" fillId="34" borderId="91" xfId="0" applyFont="1" applyFill="1" applyBorder="1" applyProtection="1">
      <alignment vertical="center"/>
      <protection hidden="1"/>
    </xf>
    <xf numFmtId="0" fontId="202" fillId="25" borderId="115" xfId="0" applyFont="1" applyFill="1" applyBorder="1" applyProtection="1">
      <alignment vertical="center"/>
      <protection hidden="1"/>
    </xf>
    <xf numFmtId="0" fontId="202" fillId="30" borderId="12" xfId="0" applyFont="1" applyFill="1" applyBorder="1" applyAlignment="1" applyProtection="1">
      <alignment horizontal="centerContinuous" vertical="center" shrinkToFit="1"/>
      <protection hidden="1"/>
    </xf>
    <xf numFmtId="0" fontId="202" fillId="30" borderId="90" xfId="0" applyFont="1" applyFill="1" applyBorder="1" applyAlignment="1" applyProtection="1">
      <alignment horizontal="centerContinuous" vertical="center" shrinkToFit="1"/>
      <protection hidden="1"/>
    </xf>
    <xf numFmtId="0" fontId="202" fillId="30" borderId="91" xfId="0" applyFont="1" applyFill="1" applyBorder="1" applyAlignment="1" applyProtection="1">
      <alignment horizontal="centerContinuous" vertical="center" shrinkToFit="1"/>
      <protection hidden="1"/>
    </xf>
    <xf numFmtId="191" fontId="26" fillId="40" borderId="19" xfId="0" applyNumberFormat="1" applyFont="1" applyFill="1" applyBorder="1" applyAlignment="1" applyProtection="1">
      <alignment horizontal="center" vertical="center"/>
      <protection hidden="1"/>
    </xf>
    <xf numFmtId="195" fontId="0" fillId="48" borderId="153" xfId="51" applyNumberFormat="1" applyFont="1" applyFill="1" applyBorder="1" applyAlignment="1" applyProtection="1">
      <alignment vertical="center" shrinkToFit="1"/>
      <protection hidden="1"/>
    </xf>
    <xf numFmtId="0" fontId="0" fillId="48" borderId="153" xfId="51" applyFont="1" applyFill="1" applyBorder="1" applyAlignment="1" applyProtection="1">
      <alignment vertical="center" shrinkToFit="1"/>
      <protection hidden="1"/>
    </xf>
    <xf numFmtId="179" fontId="0" fillId="48" borderId="153" xfId="51" applyNumberFormat="1" applyFont="1" applyFill="1" applyBorder="1" applyAlignment="1" applyProtection="1">
      <alignment vertical="center" shrinkToFit="1"/>
      <protection hidden="1"/>
    </xf>
    <xf numFmtId="196" fontId="0" fillId="48" borderId="153" xfId="51" applyNumberFormat="1" applyFont="1" applyFill="1" applyBorder="1" applyAlignment="1" applyProtection="1">
      <alignment vertical="center" shrinkToFit="1"/>
      <protection hidden="1"/>
    </xf>
    <xf numFmtId="196" fontId="0" fillId="48" borderId="169" xfId="51" applyNumberFormat="1" applyFont="1" applyFill="1" applyBorder="1" applyAlignment="1" applyProtection="1">
      <alignment vertical="center" shrinkToFit="1"/>
      <protection hidden="1"/>
    </xf>
    <xf numFmtId="196" fontId="21" fillId="48" borderId="158" xfId="51" applyNumberFormat="1" applyFont="1" applyFill="1" applyBorder="1" applyAlignment="1" applyProtection="1">
      <alignment vertical="center" shrinkToFit="1"/>
      <protection hidden="1"/>
    </xf>
    <xf numFmtId="195" fontId="1" fillId="51" borderId="153" xfId="53" applyNumberFormat="1" applyFill="1" applyBorder="1" applyAlignment="1" applyProtection="1">
      <alignment vertical="center" shrinkToFit="1"/>
      <protection hidden="1"/>
    </xf>
    <xf numFmtId="0" fontId="1" fillId="51" borderId="153" xfId="53" applyFill="1" applyBorder="1" applyAlignment="1" applyProtection="1">
      <alignment vertical="center" shrinkToFit="1"/>
      <protection hidden="1"/>
    </xf>
    <xf numFmtId="0" fontId="1" fillId="51" borderId="153" xfId="53" applyFill="1" applyBorder="1" applyProtection="1">
      <alignment vertical="center"/>
      <protection hidden="1"/>
    </xf>
    <xf numFmtId="0" fontId="1" fillId="37" borderId="153" xfId="53" applyFill="1" applyBorder="1" applyProtection="1">
      <alignment vertical="center"/>
      <protection hidden="1"/>
    </xf>
    <xf numFmtId="179" fontId="1" fillId="51" borderId="153" xfId="53" applyNumberFormat="1" applyFill="1" applyBorder="1" applyAlignment="1" applyProtection="1">
      <alignment vertical="center" shrinkToFit="1"/>
      <protection hidden="1"/>
    </xf>
    <xf numFmtId="196" fontId="1" fillId="51" borderId="153" xfId="53" applyNumberFormat="1" applyFill="1" applyBorder="1" applyAlignment="1" applyProtection="1">
      <alignment vertical="center" shrinkToFit="1"/>
      <protection hidden="1"/>
    </xf>
    <xf numFmtId="0" fontId="1" fillId="37" borderId="0" xfId="53" applyFill="1" applyProtection="1">
      <alignment vertical="center"/>
      <protection hidden="1"/>
    </xf>
    <xf numFmtId="0" fontId="1" fillId="37" borderId="153" xfId="53" applyFill="1" applyBorder="1" applyAlignment="1" applyProtection="1">
      <alignment horizontal="right" vertical="center"/>
      <protection hidden="1"/>
    </xf>
    <xf numFmtId="196" fontId="1" fillId="51" borderId="169" xfId="53" applyNumberFormat="1" applyFill="1" applyBorder="1" applyAlignment="1" applyProtection="1">
      <alignment vertical="center" shrinkToFit="1"/>
      <protection hidden="1"/>
    </xf>
    <xf numFmtId="196" fontId="21" fillId="51" borderId="158" xfId="53" applyNumberFormat="1" applyFont="1" applyFill="1" applyBorder="1" applyAlignment="1" applyProtection="1">
      <alignment vertical="center" shrinkToFit="1"/>
      <protection hidden="1"/>
    </xf>
    <xf numFmtId="0" fontId="46" fillId="26" borderId="22" xfId="0" applyFont="1" applyFill="1" applyBorder="1" applyProtection="1">
      <alignment vertical="center"/>
      <protection hidden="1"/>
    </xf>
    <xf numFmtId="0" fontId="15" fillId="26" borderId="23" xfId="0" applyFont="1" applyFill="1" applyBorder="1" applyAlignment="1" applyProtection="1">
      <alignment horizontal="right" vertical="center"/>
      <protection hidden="1"/>
    </xf>
    <xf numFmtId="0" fontId="15" fillId="26" borderId="23" xfId="0" applyFont="1" applyFill="1" applyBorder="1" applyProtection="1">
      <alignment vertical="center"/>
      <protection hidden="1"/>
    </xf>
    <xf numFmtId="0" fontId="46" fillId="26" borderId="23" xfId="0" applyFont="1" applyFill="1" applyBorder="1" applyProtection="1">
      <alignment vertical="center"/>
      <protection hidden="1"/>
    </xf>
    <xf numFmtId="0" fontId="78" fillId="26" borderId="24" xfId="0" applyFont="1" applyFill="1" applyBorder="1" applyProtection="1">
      <alignment vertical="center"/>
      <protection hidden="1"/>
    </xf>
    <xf numFmtId="0" fontId="24" fillId="0" borderId="0" xfId="0" applyFont="1" applyProtection="1">
      <alignment vertical="center"/>
      <protection hidden="1"/>
    </xf>
    <xf numFmtId="0" fontId="58" fillId="24" borderId="25" xfId="0" applyFont="1" applyFill="1" applyBorder="1" applyProtection="1">
      <alignment vertical="center"/>
      <protection hidden="1"/>
    </xf>
    <xf numFmtId="0" fontId="7" fillId="24" borderId="26" xfId="0" applyFont="1" applyFill="1" applyBorder="1" applyAlignment="1" applyProtection="1">
      <alignment horizontal="right" vertical="center"/>
      <protection hidden="1"/>
    </xf>
    <xf numFmtId="0" fontId="31" fillId="24" borderId="26" xfId="0" applyFont="1" applyFill="1" applyBorder="1" applyProtection="1">
      <alignment vertical="center"/>
      <protection hidden="1"/>
    </xf>
    <xf numFmtId="0" fontId="10" fillId="24" borderId="26" xfId="0" applyFont="1" applyFill="1" applyBorder="1" applyProtection="1">
      <alignment vertical="center"/>
      <protection hidden="1"/>
    </xf>
    <xf numFmtId="0" fontId="10" fillId="24" borderId="27" xfId="0" applyFont="1" applyFill="1" applyBorder="1" applyProtection="1">
      <alignment vertical="center"/>
      <protection hidden="1"/>
    </xf>
    <xf numFmtId="0" fontId="0" fillId="0" borderId="70" xfId="0" applyBorder="1" applyProtection="1">
      <alignment vertical="center"/>
      <protection hidden="1"/>
    </xf>
    <xf numFmtId="0" fontId="0" fillId="0" borderId="71" xfId="0" applyBorder="1" applyProtection="1">
      <alignment vertical="center"/>
      <protection hidden="1"/>
    </xf>
    <xf numFmtId="0" fontId="0" fillId="0" borderId="86" xfId="0" applyBorder="1" applyProtection="1">
      <alignment vertical="center"/>
      <protection hidden="1"/>
    </xf>
    <xf numFmtId="0" fontId="74" fillId="24" borderId="0" xfId="0" applyFont="1" applyFill="1" applyProtection="1">
      <alignment vertical="center"/>
      <protection hidden="1"/>
    </xf>
    <xf numFmtId="0" fontId="75" fillId="24" borderId="0" xfId="0" applyFont="1" applyFill="1" applyAlignment="1" applyProtection="1">
      <alignment horizontal="right"/>
      <protection hidden="1"/>
    </xf>
    <xf numFmtId="0" fontId="76" fillId="24" borderId="0" xfId="0" applyFont="1" applyFill="1" applyProtection="1">
      <alignment vertical="center"/>
      <protection hidden="1"/>
    </xf>
    <xf numFmtId="0" fontId="28" fillId="26" borderId="14" xfId="0" applyFont="1" applyFill="1" applyBorder="1" applyAlignment="1" applyProtection="1">
      <alignment horizontal="left" vertical="center"/>
      <protection hidden="1"/>
    </xf>
    <xf numFmtId="0" fontId="7" fillId="26" borderId="20" xfId="0" applyFont="1" applyFill="1" applyBorder="1" applyAlignment="1" applyProtection="1">
      <alignment horizontal="right" vertical="center"/>
      <protection hidden="1"/>
    </xf>
    <xf numFmtId="0" fontId="29" fillId="26" borderId="20" xfId="0" applyFont="1" applyFill="1" applyBorder="1" applyProtection="1">
      <alignment vertical="center"/>
      <protection hidden="1"/>
    </xf>
    <xf numFmtId="0" fontId="28" fillId="26" borderId="20" xfId="0" applyFont="1" applyFill="1" applyBorder="1" applyProtection="1">
      <alignment vertical="center"/>
      <protection hidden="1"/>
    </xf>
    <xf numFmtId="184" fontId="6" fillId="26" borderId="14" xfId="0" applyNumberFormat="1" applyFont="1" applyFill="1" applyBorder="1" applyAlignment="1" applyProtection="1">
      <alignment horizontal="left" vertical="center"/>
      <protection hidden="1"/>
    </xf>
    <xf numFmtId="184" fontId="6" fillId="26" borderId="20" xfId="0" applyNumberFormat="1" applyFont="1" applyFill="1" applyBorder="1" applyAlignment="1" applyProtection="1">
      <alignment horizontal="left" vertical="center"/>
      <protection hidden="1"/>
    </xf>
    <xf numFmtId="184" fontId="6" fillId="26" borderId="21" xfId="0" applyNumberFormat="1" applyFont="1" applyFill="1" applyBorder="1" applyAlignment="1" applyProtection="1">
      <alignment horizontal="left" vertical="center"/>
      <protection hidden="1"/>
    </xf>
    <xf numFmtId="178" fontId="6" fillId="26" borderId="20" xfId="0" applyNumberFormat="1" applyFont="1" applyFill="1" applyBorder="1" applyAlignment="1" applyProtection="1">
      <alignment horizontal="left" vertical="center"/>
      <protection hidden="1"/>
    </xf>
    <xf numFmtId="181" fontId="17" fillId="26" borderId="19" xfId="0" applyNumberFormat="1" applyFont="1" applyFill="1" applyBorder="1" applyProtection="1">
      <alignment vertical="center"/>
      <protection hidden="1"/>
    </xf>
    <xf numFmtId="0" fontId="4" fillId="0" borderId="10" xfId="0" applyFont="1" applyBorder="1" applyProtection="1">
      <alignment vertical="center"/>
      <protection hidden="1"/>
    </xf>
    <xf numFmtId="0" fontId="7" fillId="0" borderId="0" xfId="0" applyFont="1" applyAlignment="1" applyProtection="1">
      <alignment horizontal="right" vertical="center"/>
      <protection hidden="1"/>
    </xf>
    <xf numFmtId="0" fontId="31" fillId="0" borderId="0" xfId="0" applyFont="1" applyProtection="1">
      <alignment vertical="center"/>
      <protection hidden="1"/>
    </xf>
    <xf numFmtId="0" fontId="10" fillId="0" borderId="0" xfId="0" applyFont="1" applyProtection="1">
      <alignment vertical="center"/>
      <protection hidden="1"/>
    </xf>
    <xf numFmtId="181" fontId="9" fillId="0" borderId="0" xfId="0" applyNumberFormat="1" applyFont="1" applyAlignment="1" applyProtection="1">
      <alignment horizontal="center" vertical="center" wrapText="1"/>
      <protection hidden="1"/>
    </xf>
    <xf numFmtId="181" fontId="7" fillId="0" borderId="142" xfId="0" applyNumberFormat="1" applyFont="1" applyBorder="1" applyAlignment="1" applyProtection="1">
      <alignment horizontal="center" vertical="center" wrapText="1"/>
      <protection hidden="1"/>
    </xf>
    <xf numFmtId="181" fontId="61" fillId="0" borderId="83" xfId="0" applyNumberFormat="1" applyFont="1" applyBorder="1" applyAlignment="1" applyProtection="1">
      <alignment horizontal="center" vertical="center" wrapText="1"/>
      <protection hidden="1"/>
    </xf>
    <xf numFmtId="0" fontId="28" fillId="29" borderId="14" xfId="0" applyFont="1" applyFill="1" applyBorder="1" applyProtection="1">
      <alignment vertical="center"/>
      <protection hidden="1"/>
    </xf>
    <xf numFmtId="0" fontId="8" fillId="29" borderId="20" xfId="0" applyFont="1" applyFill="1" applyBorder="1" applyAlignment="1" applyProtection="1">
      <alignment horizontal="right" vertical="center"/>
      <protection hidden="1"/>
    </xf>
    <xf numFmtId="180" fontId="29" fillId="29" borderId="20" xfId="0" applyNumberFormat="1" applyFont="1" applyFill="1" applyBorder="1" applyAlignment="1" applyProtection="1">
      <alignment horizontal="center" vertical="center"/>
      <protection hidden="1"/>
    </xf>
    <xf numFmtId="180" fontId="28" fillId="29" borderId="20" xfId="0" applyNumberFormat="1" applyFont="1" applyFill="1" applyBorder="1" applyAlignment="1" applyProtection="1">
      <alignment horizontal="center" vertical="center"/>
      <protection hidden="1"/>
    </xf>
    <xf numFmtId="184" fontId="6" fillId="29" borderId="14" xfId="0" applyNumberFormat="1" applyFont="1" applyFill="1" applyBorder="1" applyAlignment="1" applyProtection="1">
      <alignment horizontal="left" vertical="center"/>
      <protection hidden="1"/>
    </xf>
    <xf numFmtId="184" fontId="6" fillId="29" borderId="20" xfId="0" applyNumberFormat="1" applyFont="1" applyFill="1" applyBorder="1" applyAlignment="1" applyProtection="1">
      <alignment horizontal="left" vertical="center"/>
      <protection hidden="1"/>
    </xf>
    <xf numFmtId="184" fontId="6" fillId="29" borderId="21" xfId="0" applyNumberFormat="1" applyFont="1" applyFill="1" applyBorder="1" applyAlignment="1" applyProtection="1">
      <alignment horizontal="left"/>
      <protection hidden="1"/>
    </xf>
    <xf numFmtId="185" fontId="24" fillId="29" borderId="20" xfId="0" applyNumberFormat="1" applyFont="1" applyFill="1" applyBorder="1" applyAlignment="1" applyProtection="1">
      <alignment horizontal="center" vertical="center"/>
      <protection hidden="1"/>
    </xf>
    <xf numFmtId="192" fontId="52" fillId="29" borderId="143" xfId="0" applyNumberFormat="1" applyFont="1" applyFill="1" applyBorder="1" applyAlignment="1" applyProtection="1">
      <alignment horizontal="center" vertical="center"/>
      <protection hidden="1"/>
    </xf>
    <xf numFmtId="181" fontId="169" fillId="29" borderId="19" xfId="0" applyNumberFormat="1" applyFont="1" applyFill="1" applyBorder="1" applyAlignment="1" applyProtection="1">
      <alignment horizontal="center" vertical="center"/>
      <protection hidden="1"/>
    </xf>
    <xf numFmtId="2" fontId="0" fillId="0" borderId="34" xfId="0" applyNumberFormat="1" applyBorder="1" applyProtection="1">
      <alignment vertical="center"/>
      <protection hidden="1"/>
    </xf>
    <xf numFmtId="2" fontId="0" fillId="39" borderId="34" xfId="0" applyNumberFormat="1" applyFill="1" applyBorder="1" applyProtection="1">
      <alignment vertical="center"/>
      <protection hidden="1"/>
    </xf>
    <xf numFmtId="193" fontId="0" fillId="39" borderId="34" xfId="0" applyNumberFormat="1" applyFill="1" applyBorder="1" applyProtection="1">
      <alignment vertical="center"/>
      <protection hidden="1"/>
    </xf>
    <xf numFmtId="193" fontId="0" fillId="0" borderId="33" xfId="0" applyNumberFormat="1" applyBorder="1" applyProtection="1">
      <alignment vertical="center"/>
      <protection hidden="1"/>
    </xf>
    <xf numFmtId="193" fontId="0" fillId="0" borderId="34" xfId="0" applyNumberFormat="1" applyBorder="1" applyProtection="1">
      <alignment vertical="center"/>
      <protection hidden="1"/>
    </xf>
    <xf numFmtId="0" fontId="32" fillId="30" borderId="14" xfId="0" applyFont="1" applyFill="1" applyBorder="1" applyProtection="1">
      <alignment vertical="center"/>
      <protection hidden="1"/>
    </xf>
    <xf numFmtId="0" fontId="32" fillId="30" borderId="20" xfId="0" applyFont="1" applyFill="1" applyBorder="1" applyAlignment="1" applyProtection="1">
      <alignment horizontal="left" vertical="center"/>
      <protection hidden="1"/>
    </xf>
    <xf numFmtId="0" fontId="36" fillId="30" borderId="20" xfId="0" applyFont="1" applyFill="1" applyBorder="1" applyAlignment="1" applyProtection="1">
      <alignment horizontal="left" vertical="center"/>
      <protection hidden="1"/>
    </xf>
    <xf numFmtId="184" fontId="36" fillId="30" borderId="14" xfId="0" applyNumberFormat="1" applyFont="1" applyFill="1" applyBorder="1" applyAlignment="1" applyProtection="1">
      <alignment horizontal="left" vertical="center"/>
      <protection hidden="1"/>
    </xf>
    <xf numFmtId="184" fontId="36" fillId="30" borderId="20" xfId="0" applyNumberFormat="1" applyFont="1" applyFill="1" applyBorder="1" applyAlignment="1" applyProtection="1">
      <alignment horizontal="left" vertical="center"/>
      <protection hidden="1"/>
    </xf>
    <xf numFmtId="184" fontId="36" fillId="30" borderId="21" xfId="0" applyNumberFormat="1" applyFont="1" applyFill="1" applyBorder="1" applyAlignment="1" applyProtection="1">
      <alignment horizontal="left"/>
      <protection hidden="1"/>
    </xf>
    <xf numFmtId="178" fontId="36" fillId="30" borderId="20" xfId="0" applyNumberFormat="1" applyFont="1" applyFill="1" applyBorder="1" applyAlignment="1" applyProtection="1">
      <alignment horizontal="left"/>
      <protection hidden="1"/>
    </xf>
    <xf numFmtId="192" fontId="163" fillId="30" borderId="143" xfId="0" applyNumberFormat="1" applyFont="1" applyFill="1" applyBorder="1" applyAlignment="1" applyProtection="1">
      <alignment horizontal="center" vertical="center"/>
      <protection hidden="1"/>
    </xf>
    <xf numFmtId="181" fontId="138" fillId="30" borderId="19" xfId="0" applyNumberFormat="1" applyFont="1" applyFill="1" applyBorder="1" applyAlignment="1" applyProtection="1">
      <alignment horizontal="center" vertical="center"/>
      <protection hidden="1"/>
    </xf>
    <xf numFmtId="2" fontId="9" fillId="0" borderId="0" xfId="0" applyNumberFormat="1" applyFont="1" applyAlignment="1" applyProtection="1">
      <alignment horizontal="center" vertical="justify"/>
      <protection hidden="1"/>
    </xf>
    <xf numFmtId="2" fontId="0" fillId="0" borderId="33" xfId="0" applyNumberFormat="1" applyBorder="1" applyProtection="1">
      <alignment vertical="center"/>
      <protection hidden="1"/>
    </xf>
    <xf numFmtId="0" fontId="4" fillId="34" borderId="10" xfId="0" quotePrefix="1" applyFont="1" applyFill="1" applyBorder="1" applyAlignment="1" applyProtection="1">
      <alignment horizontal="left" vertical="center"/>
      <protection hidden="1"/>
    </xf>
    <xf numFmtId="0" fontId="26" fillId="34" borderId="12" xfId="0" applyFont="1" applyFill="1" applyBorder="1" applyAlignment="1" applyProtection="1">
      <alignment horizontal="left" vertical="center"/>
      <protection hidden="1"/>
    </xf>
    <xf numFmtId="0" fontId="0" fillId="34" borderId="12" xfId="0" applyFill="1" applyBorder="1" applyProtection="1">
      <alignment vertical="center"/>
      <protection hidden="1"/>
    </xf>
    <xf numFmtId="184" fontId="2" fillId="34" borderId="32" xfId="0" applyNumberFormat="1" applyFont="1" applyFill="1" applyBorder="1" applyProtection="1">
      <alignment vertical="center"/>
      <protection hidden="1"/>
    </xf>
    <xf numFmtId="184" fontId="0" fillId="34" borderId="12" xfId="0" applyNumberFormat="1" applyFill="1" applyBorder="1" applyProtection="1">
      <alignment vertical="center"/>
      <protection hidden="1"/>
    </xf>
    <xf numFmtId="184" fontId="0" fillId="34" borderId="13" xfId="0" applyNumberFormat="1" applyFill="1" applyBorder="1" applyProtection="1">
      <alignment vertical="center"/>
      <protection hidden="1"/>
    </xf>
    <xf numFmtId="181" fontId="19" fillId="34" borderId="12" xfId="0" applyNumberFormat="1" applyFont="1" applyFill="1" applyBorder="1" applyAlignment="1" applyProtection="1">
      <alignment horizontal="center" vertical="center"/>
      <protection hidden="1"/>
    </xf>
    <xf numFmtId="192" fontId="135" fillId="34" borderId="139" xfId="0" applyNumberFormat="1" applyFont="1" applyFill="1" applyBorder="1" applyAlignment="1" applyProtection="1">
      <alignment horizontal="center" vertical="center"/>
      <protection hidden="1"/>
    </xf>
    <xf numFmtId="181" fontId="163" fillId="34" borderId="83" xfId="0" applyNumberFormat="1" applyFont="1" applyFill="1" applyBorder="1" applyAlignment="1" applyProtection="1">
      <alignment horizontal="center" vertical="center"/>
      <protection hidden="1"/>
    </xf>
    <xf numFmtId="2" fontId="0" fillId="0" borderId="80" xfId="0" applyNumberFormat="1" applyBorder="1" applyProtection="1">
      <alignment vertical="center"/>
      <protection hidden="1"/>
    </xf>
    <xf numFmtId="193" fontId="0" fillId="0" borderId="80" xfId="0" applyNumberFormat="1" applyBorder="1" applyProtection="1">
      <alignment vertical="center"/>
      <protection hidden="1"/>
    </xf>
    <xf numFmtId="0" fontId="26" fillId="34" borderId="10" xfId="0" applyFont="1" applyFill="1" applyBorder="1" applyAlignment="1" applyProtection="1">
      <alignment horizontal="right"/>
      <protection hidden="1"/>
    </xf>
    <xf numFmtId="0" fontId="26" fillId="34" borderId="69" xfId="0" applyFont="1" applyFill="1" applyBorder="1" applyAlignment="1" applyProtection="1">
      <alignment horizontal="left" vertical="center"/>
      <protection hidden="1"/>
    </xf>
    <xf numFmtId="184" fontId="2" fillId="34" borderId="92" xfId="0" applyNumberFormat="1" applyFont="1" applyFill="1" applyBorder="1" applyProtection="1">
      <alignment vertical="center"/>
      <protection hidden="1"/>
    </xf>
    <xf numFmtId="184" fontId="0" fillId="34" borderId="71" xfId="0" applyNumberFormat="1" applyFill="1" applyBorder="1" applyProtection="1">
      <alignment vertical="center"/>
      <protection hidden="1"/>
    </xf>
    <xf numFmtId="184" fontId="0" fillId="34" borderId="88" xfId="0" applyNumberFormat="1" applyFill="1" applyBorder="1" applyProtection="1">
      <alignment vertical="center"/>
      <protection hidden="1"/>
    </xf>
    <xf numFmtId="181" fontId="19" fillId="34" borderId="71" xfId="0" applyNumberFormat="1" applyFont="1" applyFill="1" applyBorder="1" applyAlignment="1" applyProtection="1">
      <alignment horizontal="center" vertical="center"/>
      <protection hidden="1"/>
    </xf>
    <xf numFmtId="192" fontId="71" fillId="34" borderId="140" xfId="0" applyNumberFormat="1" applyFont="1" applyFill="1" applyBorder="1" applyAlignment="1" applyProtection="1">
      <alignment horizontal="center" vertical="center"/>
      <protection hidden="1"/>
    </xf>
    <xf numFmtId="181" fontId="135" fillId="34" borderId="83" xfId="0" applyNumberFormat="1" applyFont="1" applyFill="1" applyBorder="1" applyProtection="1">
      <alignment vertical="center"/>
      <protection hidden="1"/>
    </xf>
    <xf numFmtId="0" fontId="26" fillId="34" borderId="68" xfId="0" applyFont="1" applyFill="1" applyBorder="1" applyAlignment="1" applyProtection="1">
      <alignment horizontal="left" vertical="center"/>
      <protection hidden="1"/>
    </xf>
    <xf numFmtId="0" fontId="12" fillId="34" borderId="35" xfId="0" applyFont="1" applyFill="1" applyBorder="1" applyProtection="1">
      <alignment vertical="center"/>
      <protection hidden="1"/>
    </xf>
    <xf numFmtId="0" fontId="4" fillId="34" borderId="68" xfId="0" applyFont="1" applyFill="1" applyBorder="1" applyAlignment="1" applyProtection="1">
      <alignment horizontal="right" vertical="center"/>
      <protection hidden="1"/>
    </xf>
    <xf numFmtId="56" fontId="26" fillId="34" borderId="69" xfId="0" applyNumberFormat="1" applyFont="1" applyFill="1" applyBorder="1" applyAlignment="1" applyProtection="1">
      <alignment horizontal="left" vertical="center"/>
      <protection hidden="1"/>
    </xf>
    <xf numFmtId="56" fontId="12" fillId="34" borderId="71" xfId="0" applyNumberFormat="1" applyFont="1" applyFill="1" applyBorder="1" applyAlignment="1" applyProtection="1">
      <alignment horizontal="left" vertical="center"/>
      <protection hidden="1"/>
    </xf>
    <xf numFmtId="184" fontId="2" fillId="34" borderId="92" xfId="0" applyNumberFormat="1" applyFont="1" applyFill="1" applyBorder="1" applyAlignment="1" applyProtection="1">
      <alignment horizontal="left" vertical="center"/>
      <protection hidden="1"/>
    </xf>
    <xf numFmtId="2" fontId="0" fillId="0" borderId="82" xfId="0" applyNumberFormat="1" applyBorder="1" applyProtection="1">
      <alignment vertical="center"/>
      <protection hidden="1"/>
    </xf>
    <xf numFmtId="193" fontId="0" fillId="0" borderId="82" xfId="0" applyNumberFormat="1" applyBorder="1" applyProtection="1">
      <alignment vertical="center"/>
      <protection hidden="1"/>
    </xf>
    <xf numFmtId="0" fontId="26" fillId="34" borderId="79" xfId="0" applyFont="1" applyFill="1" applyBorder="1" applyAlignment="1" applyProtection="1">
      <alignment horizontal="right"/>
      <protection hidden="1"/>
    </xf>
    <xf numFmtId="56" fontId="12" fillId="34" borderId="70" xfId="0" applyNumberFormat="1" applyFont="1" applyFill="1" applyBorder="1" applyAlignment="1" applyProtection="1">
      <alignment horizontal="left" vertical="center"/>
      <protection hidden="1"/>
    </xf>
    <xf numFmtId="0" fontId="1" fillId="34" borderId="71" xfId="0" applyFont="1" applyFill="1" applyBorder="1" applyProtection="1">
      <alignment vertical="center"/>
      <protection hidden="1"/>
    </xf>
    <xf numFmtId="181" fontId="135" fillId="34" borderId="144" xfId="0" applyNumberFormat="1" applyFont="1" applyFill="1" applyBorder="1" applyProtection="1">
      <alignment vertical="center"/>
      <protection hidden="1"/>
    </xf>
    <xf numFmtId="0" fontId="4" fillId="34" borderId="44" xfId="0" quotePrefix="1" applyFont="1" applyFill="1" applyBorder="1" applyAlignment="1" applyProtection="1">
      <alignment horizontal="left" vertical="center"/>
      <protection hidden="1"/>
    </xf>
    <xf numFmtId="0" fontId="26" fillId="34" borderId="71" xfId="0" applyFont="1" applyFill="1" applyBorder="1" applyAlignment="1" applyProtection="1">
      <alignment horizontal="left" vertical="center"/>
      <protection hidden="1"/>
    </xf>
    <xf numFmtId="192" fontId="135" fillId="34" borderId="140" xfId="0" applyNumberFormat="1" applyFont="1" applyFill="1" applyBorder="1" applyAlignment="1" applyProtection="1">
      <alignment horizontal="center" vertical="center"/>
      <protection hidden="1"/>
    </xf>
    <xf numFmtId="181" fontId="163" fillId="34" borderId="85" xfId="0" applyNumberFormat="1" applyFont="1" applyFill="1" applyBorder="1" applyAlignment="1" applyProtection="1">
      <alignment horizontal="center" vertical="center"/>
      <protection hidden="1"/>
    </xf>
    <xf numFmtId="0" fontId="0" fillId="34" borderId="71" xfId="0" applyFill="1" applyBorder="1" applyAlignment="1" applyProtection="1">
      <alignment horizontal="left" vertical="center"/>
      <protection hidden="1"/>
    </xf>
    <xf numFmtId="184" fontId="135" fillId="34" borderId="83" xfId="0" applyNumberFormat="1" applyFont="1" applyFill="1" applyBorder="1" applyProtection="1">
      <alignment vertical="center"/>
      <protection hidden="1"/>
    </xf>
    <xf numFmtId="56" fontId="4" fillId="34" borderId="68" xfId="0" applyNumberFormat="1" applyFont="1" applyFill="1" applyBorder="1" applyAlignment="1" applyProtection="1">
      <alignment horizontal="right" vertical="center"/>
      <protection hidden="1"/>
    </xf>
    <xf numFmtId="0" fontId="26" fillId="34" borderId="79" xfId="0" quotePrefix="1" applyFont="1" applyFill="1" applyBorder="1" applyAlignment="1" applyProtection="1">
      <alignment horizontal="right" vertical="center"/>
      <protection hidden="1"/>
    </xf>
    <xf numFmtId="184" fontId="2" fillId="34" borderId="71" xfId="0" applyNumberFormat="1" applyFont="1" applyFill="1" applyBorder="1" applyAlignment="1" applyProtection="1">
      <alignment horizontal="left" vertical="center"/>
      <protection hidden="1"/>
    </xf>
    <xf numFmtId="184" fontId="135" fillId="34" borderId="83" xfId="0" applyNumberFormat="1" applyFont="1" applyFill="1" applyBorder="1" applyAlignment="1" applyProtection="1">
      <alignment horizontal="center" vertical="center"/>
      <protection hidden="1"/>
    </xf>
    <xf numFmtId="184" fontId="135" fillId="34" borderId="144" xfId="0" applyNumberFormat="1" applyFont="1" applyFill="1" applyBorder="1" applyAlignment="1" applyProtection="1">
      <alignment horizontal="center" vertical="center"/>
      <protection hidden="1"/>
    </xf>
    <xf numFmtId="181" fontId="163" fillId="34" borderId="84" xfId="0" applyNumberFormat="1" applyFont="1" applyFill="1" applyBorder="1" applyAlignment="1" applyProtection="1">
      <alignment horizontal="center" vertical="center"/>
      <protection hidden="1"/>
    </xf>
    <xf numFmtId="0" fontId="26" fillId="34" borderId="35" xfId="0" applyFont="1" applyFill="1" applyBorder="1" applyAlignment="1" applyProtection="1">
      <alignment horizontal="left" vertical="center"/>
      <protection hidden="1"/>
    </xf>
    <xf numFmtId="0" fontId="0" fillId="34" borderId="35" xfId="0" applyFill="1" applyBorder="1" applyProtection="1">
      <alignment vertical="center"/>
      <protection hidden="1"/>
    </xf>
    <xf numFmtId="184" fontId="0" fillId="34" borderId="35" xfId="0" applyNumberFormat="1" applyFill="1" applyBorder="1" applyProtection="1">
      <alignment vertical="center"/>
      <protection hidden="1"/>
    </xf>
    <xf numFmtId="184" fontId="0" fillId="34" borderId="46" xfId="0" applyNumberFormat="1" applyFill="1" applyBorder="1" applyProtection="1">
      <alignment vertical="center"/>
      <protection hidden="1"/>
    </xf>
    <xf numFmtId="181" fontId="19" fillId="34" borderId="35" xfId="0" applyNumberFormat="1" applyFont="1" applyFill="1" applyBorder="1" applyAlignment="1" applyProtection="1">
      <alignment horizontal="center" vertical="center"/>
      <protection hidden="1"/>
    </xf>
    <xf numFmtId="192" fontId="135" fillId="34" borderId="141" xfId="0" applyNumberFormat="1" applyFont="1" applyFill="1" applyBorder="1" applyAlignment="1" applyProtection="1">
      <alignment horizontal="center" vertical="center"/>
      <protection hidden="1"/>
    </xf>
    <xf numFmtId="184" fontId="2" fillId="30" borderId="14" xfId="0" applyNumberFormat="1" applyFont="1" applyFill="1" applyBorder="1" applyAlignment="1" applyProtection="1">
      <alignment horizontal="left" vertical="center"/>
      <protection hidden="1"/>
    </xf>
    <xf numFmtId="181" fontId="24" fillId="34" borderId="12" xfId="0" applyNumberFormat="1" applyFont="1" applyFill="1" applyBorder="1" applyAlignment="1" applyProtection="1">
      <alignment horizontal="center" vertical="center"/>
      <protection hidden="1"/>
    </xf>
    <xf numFmtId="192" fontId="71" fillId="34" borderId="139" xfId="0" applyNumberFormat="1" applyFont="1" applyFill="1" applyBorder="1" applyAlignment="1" applyProtection="1">
      <alignment horizontal="center" vertical="center"/>
      <protection hidden="1"/>
    </xf>
    <xf numFmtId="181" fontId="24" fillId="34" borderId="71" xfId="0" applyNumberFormat="1" applyFont="1" applyFill="1" applyBorder="1" applyAlignment="1" applyProtection="1">
      <alignment horizontal="center" vertical="center"/>
      <protection hidden="1"/>
    </xf>
    <xf numFmtId="181" fontId="80" fillId="34" borderId="83" xfId="0" applyNumberFormat="1" applyFont="1" applyFill="1" applyBorder="1" applyProtection="1">
      <alignment vertical="center"/>
      <protection hidden="1"/>
    </xf>
    <xf numFmtId="181" fontId="80" fillId="34" borderId="144" xfId="0" applyNumberFormat="1" applyFont="1" applyFill="1" applyBorder="1" applyProtection="1">
      <alignment vertical="center"/>
      <protection hidden="1"/>
    </xf>
    <xf numFmtId="56" fontId="4" fillId="34" borderId="44" xfId="0" quotePrefix="1" applyNumberFormat="1" applyFont="1" applyFill="1" applyBorder="1" applyAlignment="1" applyProtection="1">
      <alignment horizontal="left" vertical="center"/>
      <protection hidden="1"/>
    </xf>
    <xf numFmtId="0" fontId="0" fillId="34" borderId="35" xfId="0" applyFill="1" applyBorder="1" applyAlignment="1" applyProtection="1">
      <alignment horizontal="left" vertical="center"/>
      <protection hidden="1"/>
    </xf>
    <xf numFmtId="181" fontId="24" fillId="34" borderId="35" xfId="0" applyNumberFormat="1" applyFont="1" applyFill="1" applyBorder="1" applyAlignment="1" applyProtection="1">
      <alignment horizontal="center" vertical="center"/>
      <protection hidden="1"/>
    </xf>
    <xf numFmtId="192" fontId="71" fillId="34" borderId="141" xfId="0" applyNumberFormat="1" applyFont="1" applyFill="1" applyBorder="1" applyAlignment="1" applyProtection="1">
      <alignment horizontal="center" vertical="center"/>
      <protection hidden="1"/>
    </xf>
    <xf numFmtId="184" fontId="2" fillId="29" borderId="14" xfId="0" applyNumberFormat="1" applyFont="1" applyFill="1" applyBorder="1" applyAlignment="1" applyProtection="1">
      <alignment horizontal="left" vertical="center"/>
      <protection hidden="1"/>
    </xf>
    <xf numFmtId="181" fontId="163" fillId="34" borderId="94" xfId="0" applyNumberFormat="1" applyFont="1" applyFill="1" applyBorder="1" applyAlignment="1" applyProtection="1">
      <alignment horizontal="center" vertical="center"/>
      <protection hidden="1"/>
    </xf>
    <xf numFmtId="0" fontId="12" fillId="34" borderId="35" xfId="0" applyFont="1" applyFill="1" applyBorder="1" applyAlignment="1" applyProtection="1">
      <alignment horizontal="left" vertical="center"/>
      <protection hidden="1"/>
    </xf>
    <xf numFmtId="0" fontId="4" fillId="34" borderId="22" xfId="0" quotePrefix="1" applyFont="1" applyFill="1" applyBorder="1" applyAlignment="1" applyProtection="1">
      <alignment horizontal="left" vertical="center"/>
      <protection hidden="1"/>
    </xf>
    <xf numFmtId="0" fontId="26" fillId="34" borderId="29" xfId="0" applyFont="1" applyFill="1" applyBorder="1" applyAlignment="1" applyProtection="1">
      <alignment horizontal="left" vertical="center"/>
      <protection hidden="1"/>
    </xf>
    <xf numFmtId="0" fontId="0" fillId="34" borderId="29" xfId="0" applyFill="1" applyBorder="1" applyProtection="1">
      <alignment vertical="center"/>
      <protection hidden="1"/>
    </xf>
    <xf numFmtId="184" fontId="2" fillId="34" borderId="28" xfId="0" applyNumberFormat="1" applyFont="1" applyFill="1" applyBorder="1" applyAlignment="1" applyProtection="1">
      <alignment horizontal="left" vertical="center"/>
      <protection hidden="1"/>
    </xf>
    <xf numFmtId="184" fontId="0" fillId="34" borderId="29" xfId="0" applyNumberFormat="1" applyFill="1" applyBorder="1" applyProtection="1">
      <alignment vertical="center"/>
      <protection hidden="1"/>
    </xf>
    <xf numFmtId="184" fontId="0" fillId="34" borderId="95" xfId="0" applyNumberFormat="1" applyFill="1" applyBorder="1" applyProtection="1">
      <alignment vertical="center"/>
      <protection hidden="1"/>
    </xf>
    <xf numFmtId="181" fontId="24" fillId="34" borderId="29" xfId="0" applyNumberFormat="1" applyFont="1" applyFill="1" applyBorder="1" applyAlignment="1" applyProtection="1">
      <alignment horizontal="center" vertical="center"/>
      <protection hidden="1"/>
    </xf>
    <xf numFmtId="192" fontId="71" fillId="34" borderId="138" xfId="0" applyNumberFormat="1" applyFont="1" applyFill="1" applyBorder="1" applyAlignment="1" applyProtection="1">
      <alignment horizontal="center" vertical="center"/>
      <protection hidden="1"/>
    </xf>
    <xf numFmtId="56" fontId="33" fillId="34" borderId="69" xfId="0" applyNumberFormat="1" applyFont="1" applyFill="1" applyBorder="1" applyAlignment="1" applyProtection="1">
      <alignment horizontal="left" vertical="center"/>
      <protection hidden="1"/>
    </xf>
    <xf numFmtId="0" fontId="26" fillId="34" borderId="25" xfId="0" applyFont="1" applyFill="1" applyBorder="1" applyAlignment="1" applyProtection="1">
      <alignment horizontal="right"/>
      <protection hidden="1"/>
    </xf>
    <xf numFmtId="56" fontId="4" fillId="34" borderId="81" xfId="0" applyNumberFormat="1" applyFont="1" applyFill="1" applyBorder="1" applyAlignment="1" applyProtection="1">
      <alignment horizontal="right" vertical="center"/>
      <protection hidden="1"/>
    </xf>
    <xf numFmtId="56" fontId="9" fillId="34" borderId="133" xfId="0" applyNumberFormat="1" applyFont="1" applyFill="1" applyBorder="1" applyAlignment="1" applyProtection="1">
      <alignment horizontal="left" vertical="center"/>
      <protection hidden="1"/>
    </xf>
    <xf numFmtId="0" fontId="12" fillId="34" borderId="134" xfId="0" applyFont="1" applyFill="1" applyBorder="1" applyAlignment="1" applyProtection="1">
      <alignment horizontal="left" vertical="center"/>
      <protection hidden="1"/>
    </xf>
    <xf numFmtId="0" fontId="0" fillId="34" borderId="134" xfId="0" applyFill="1" applyBorder="1" applyAlignment="1" applyProtection="1">
      <alignment horizontal="left" vertical="center"/>
      <protection hidden="1"/>
    </xf>
    <xf numFmtId="184" fontId="2" fillId="34" borderId="136" xfId="0" applyNumberFormat="1" applyFont="1" applyFill="1" applyBorder="1" applyAlignment="1" applyProtection="1">
      <alignment horizontal="left" vertical="center"/>
      <protection hidden="1"/>
    </xf>
    <xf numFmtId="184" fontId="0" fillId="34" borderId="134" xfId="0" applyNumberFormat="1" applyFill="1" applyBorder="1" applyProtection="1">
      <alignment vertical="center"/>
      <protection hidden="1"/>
    </xf>
    <xf numFmtId="184" fontId="0" fillId="34" borderId="137" xfId="0" applyNumberFormat="1" applyFill="1" applyBorder="1" applyProtection="1">
      <alignment vertical="center"/>
      <protection hidden="1"/>
    </xf>
    <xf numFmtId="181" fontId="24" fillId="34" borderId="134" xfId="0" applyNumberFormat="1" applyFont="1" applyFill="1" applyBorder="1" applyAlignment="1" applyProtection="1">
      <alignment horizontal="center" vertical="center"/>
      <protection hidden="1"/>
    </xf>
    <xf numFmtId="192" fontId="71" fillId="34" borderId="145" xfId="0" applyNumberFormat="1" applyFont="1" applyFill="1" applyBorder="1" applyAlignment="1" applyProtection="1">
      <alignment horizontal="center" vertical="center"/>
      <protection hidden="1"/>
    </xf>
    <xf numFmtId="181" fontId="80" fillId="34" borderId="113" xfId="0" applyNumberFormat="1" applyFont="1" applyFill="1" applyBorder="1" applyProtection="1">
      <alignment vertical="center"/>
      <protection hidden="1"/>
    </xf>
    <xf numFmtId="0" fontId="26" fillId="37" borderId="0" xfId="0" applyFont="1" applyFill="1" applyAlignment="1" applyProtection="1">
      <alignment horizontal="right"/>
      <protection hidden="1"/>
    </xf>
    <xf numFmtId="0" fontId="4" fillId="37" borderId="0" xfId="0" applyFont="1" applyFill="1" applyAlignment="1" applyProtection="1">
      <alignment horizontal="right" vertical="center"/>
      <protection hidden="1"/>
    </xf>
    <xf numFmtId="0" fontId="12" fillId="37" borderId="0" xfId="0" applyFont="1" applyFill="1" applyAlignment="1" applyProtection="1">
      <alignment horizontal="left" vertical="center"/>
      <protection hidden="1"/>
    </xf>
    <xf numFmtId="0" fontId="0" fillId="37" borderId="0" xfId="0" applyFill="1" applyAlignment="1" applyProtection="1">
      <alignment horizontal="left" vertical="center"/>
      <protection hidden="1"/>
    </xf>
    <xf numFmtId="178" fontId="2" fillId="37" borderId="0" xfId="0" applyNumberFormat="1" applyFont="1" applyFill="1" applyAlignment="1" applyProtection="1">
      <alignment horizontal="left" vertical="top" wrapText="1"/>
      <protection hidden="1"/>
    </xf>
    <xf numFmtId="185" fontId="39" fillId="30" borderId="19" xfId="0" applyNumberFormat="1" applyFont="1" applyFill="1" applyBorder="1" applyAlignment="1" applyProtection="1">
      <alignment horizontal="center" vertical="center"/>
      <protection hidden="1"/>
    </xf>
    <xf numFmtId="0" fontId="32" fillId="30" borderId="21" xfId="0" applyFont="1" applyFill="1" applyBorder="1" applyAlignment="1" applyProtection="1">
      <alignment horizontal="left" vertical="center"/>
      <protection hidden="1"/>
    </xf>
    <xf numFmtId="0" fontId="4" fillId="25" borderId="22" xfId="0" quotePrefix="1" applyFont="1" applyFill="1" applyBorder="1" applyAlignment="1" applyProtection="1">
      <alignment horizontal="right" vertical="center"/>
      <protection hidden="1"/>
    </xf>
    <xf numFmtId="0" fontId="26" fillId="25" borderId="29" xfId="0" applyFont="1" applyFill="1" applyBorder="1" applyAlignment="1" applyProtection="1">
      <alignment horizontal="left" vertical="center"/>
      <protection hidden="1"/>
    </xf>
    <xf numFmtId="0" fontId="0" fillId="25" borderId="29" xfId="0" applyFill="1" applyBorder="1" applyProtection="1">
      <alignment vertical="center"/>
      <protection hidden="1"/>
    </xf>
    <xf numFmtId="180" fontId="39" fillId="34" borderId="89" xfId="0" applyNumberFormat="1" applyFont="1" applyFill="1" applyBorder="1" applyAlignment="1" applyProtection="1">
      <alignment horizontal="center" vertical="center"/>
      <protection hidden="1"/>
    </xf>
    <xf numFmtId="0" fontId="4" fillId="34" borderId="23" xfId="0" quotePrefix="1" applyFont="1" applyFill="1" applyBorder="1" applyAlignment="1" applyProtection="1">
      <alignment horizontal="right" vertical="center"/>
      <protection hidden="1"/>
    </xf>
    <xf numFmtId="180" fontId="39" fillId="34" borderId="130" xfId="0" applyNumberFormat="1" applyFont="1" applyFill="1" applyBorder="1" applyAlignment="1" applyProtection="1">
      <alignment horizontal="center" vertical="center"/>
      <protection hidden="1"/>
    </xf>
    <xf numFmtId="0" fontId="4" fillId="25" borderId="10" xfId="0" quotePrefix="1" applyFont="1" applyFill="1" applyBorder="1" applyAlignment="1" applyProtection="1">
      <alignment horizontal="right" vertical="center"/>
      <protection hidden="1"/>
    </xf>
    <xf numFmtId="0" fontId="12" fillId="25" borderId="70" xfId="0" applyFont="1" applyFill="1" applyBorder="1" applyAlignment="1" applyProtection="1">
      <alignment horizontal="left" vertical="center"/>
      <protection hidden="1"/>
    </xf>
    <xf numFmtId="180" fontId="18" fillId="34" borderId="34" xfId="0" applyNumberFormat="1" applyFont="1" applyFill="1" applyBorder="1" applyAlignment="1" applyProtection="1">
      <alignment horizontal="center" vertical="center"/>
      <protection hidden="1"/>
    </xf>
    <xf numFmtId="0" fontId="4" fillId="34" borderId="0" xfId="0" quotePrefix="1" applyFont="1" applyFill="1" applyAlignment="1" applyProtection="1">
      <alignment horizontal="right" vertical="center"/>
      <protection hidden="1"/>
    </xf>
    <xf numFmtId="0" fontId="12" fillId="34" borderId="70" xfId="0" applyFont="1" applyFill="1" applyBorder="1" applyAlignment="1" applyProtection="1">
      <alignment horizontal="left" vertical="center"/>
      <protection hidden="1"/>
    </xf>
    <xf numFmtId="0" fontId="0" fillId="34" borderId="86" xfId="0" applyFill="1" applyBorder="1" applyAlignment="1" applyProtection="1">
      <alignment horizontal="left" vertical="center"/>
      <protection hidden="1"/>
    </xf>
    <xf numFmtId="180" fontId="18" fillId="34" borderId="129" xfId="0" applyNumberFormat="1" applyFont="1" applyFill="1" applyBorder="1" applyAlignment="1" applyProtection="1">
      <alignment horizontal="center" vertical="center"/>
      <protection hidden="1"/>
    </xf>
    <xf numFmtId="56" fontId="12" fillId="34" borderId="12" xfId="0" applyNumberFormat="1" applyFont="1" applyFill="1" applyBorder="1" applyAlignment="1" applyProtection="1">
      <alignment horizontal="left" vertical="center"/>
      <protection hidden="1"/>
    </xf>
    <xf numFmtId="0" fontId="0" fillId="34" borderId="12" xfId="0" applyFill="1" applyBorder="1" applyAlignment="1" applyProtection="1">
      <alignment horizontal="left" vertical="center"/>
      <protection hidden="1"/>
    </xf>
    <xf numFmtId="0" fontId="4" fillId="25" borderId="39" xfId="0" quotePrefix="1" applyFont="1" applyFill="1" applyBorder="1" applyAlignment="1" applyProtection="1">
      <alignment horizontal="right" vertical="center"/>
      <protection hidden="1"/>
    </xf>
    <xf numFmtId="0" fontId="4" fillId="34" borderId="82" xfId="0" quotePrefix="1" applyFont="1" applyFill="1" applyBorder="1" applyAlignment="1" applyProtection="1">
      <alignment horizontal="right" vertical="center"/>
      <protection hidden="1"/>
    </xf>
    <xf numFmtId="0" fontId="12" fillId="34" borderId="12" xfId="0" applyFont="1" applyFill="1" applyBorder="1" applyAlignment="1" applyProtection="1">
      <alignment horizontal="left" vertical="center"/>
      <protection hidden="1"/>
    </xf>
    <xf numFmtId="0" fontId="26" fillId="25" borderId="12" xfId="0" applyFont="1" applyFill="1" applyBorder="1" applyAlignment="1" applyProtection="1">
      <alignment horizontal="left" vertical="center"/>
      <protection hidden="1"/>
    </xf>
    <xf numFmtId="0" fontId="0" fillId="25" borderId="12" xfId="0" applyFill="1" applyBorder="1" applyProtection="1">
      <alignment vertical="center"/>
      <protection hidden="1"/>
    </xf>
    <xf numFmtId="180" fontId="39" fillId="34" borderId="34" xfId="0" applyNumberFormat="1" applyFont="1" applyFill="1" applyBorder="1" applyAlignment="1" applyProtection="1">
      <alignment horizontal="center" vertical="center"/>
      <protection hidden="1"/>
    </xf>
    <xf numFmtId="180" fontId="39" fillId="34" borderId="129" xfId="0" applyNumberFormat="1" applyFont="1" applyFill="1" applyBorder="1" applyAlignment="1" applyProtection="1">
      <alignment horizontal="center" vertical="center"/>
      <protection hidden="1"/>
    </xf>
    <xf numFmtId="0" fontId="12" fillId="25" borderId="69" xfId="0" applyFont="1" applyFill="1" applyBorder="1" applyAlignment="1" applyProtection="1">
      <alignment horizontal="left" vertical="center"/>
      <protection hidden="1"/>
    </xf>
    <xf numFmtId="0" fontId="12" fillId="34" borderId="69" xfId="0" applyFont="1" applyFill="1" applyBorder="1" applyAlignment="1" applyProtection="1">
      <alignment horizontal="left" vertical="center"/>
      <protection hidden="1"/>
    </xf>
    <xf numFmtId="0" fontId="4" fillId="25" borderId="25" xfId="0" quotePrefix="1" applyFont="1" applyFill="1" applyBorder="1" applyAlignment="1" applyProtection="1">
      <alignment horizontal="right" vertical="center"/>
      <protection hidden="1"/>
    </xf>
    <xf numFmtId="0" fontId="12" fillId="25" borderId="133" xfId="0" applyFont="1" applyFill="1" applyBorder="1" applyAlignment="1" applyProtection="1">
      <alignment horizontal="left" vertical="center"/>
      <protection hidden="1"/>
    </xf>
    <xf numFmtId="0" fontId="18" fillId="34" borderId="131" xfId="0" applyFont="1" applyFill="1" applyBorder="1" applyAlignment="1" applyProtection="1">
      <alignment horizontal="center" vertical="center"/>
      <protection hidden="1"/>
    </xf>
    <xf numFmtId="0" fontId="4" fillId="34" borderId="26" xfId="0" quotePrefix="1" applyFont="1" applyFill="1" applyBorder="1" applyAlignment="1" applyProtection="1">
      <alignment horizontal="right" vertical="center"/>
      <protection hidden="1"/>
    </xf>
    <xf numFmtId="0" fontId="12" fillId="34" borderId="133" xfId="0" applyFont="1" applyFill="1" applyBorder="1" applyAlignment="1" applyProtection="1">
      <alignment horizontal="left" vertical="center"/>
      <protection hidden="1"/>
    </xf>
    <xf numFmtId="0" fontId="0" fillId="34" borderId="135" xfId="0" applyFill="1" applyBorder="1" applyAlignment="1" applyProtection="1">
      <alignment horizontal="left" vertical="center"/>
      <protection hidden="1"/>
    </xf>
    <xf numFmtId="180" fontId="18" fillId="34" borderId="132" xfId="0" applyNumberFormat="1" applyFont="1" applyFill="1" applyBorder="1" applyAlignment="1" applyProtection="1">
      <alignment horizontal="center" vertical="center"/>
      <protection hidden="1"/>
    </xf>
    <xf numFmtId="0" fontId="4" fillId="25" borderId="32" xfId="0" quotePrefix="1" applyFont="1" applyFill="1" applyBorder="1" applyAlignment="1" applyProtection="1">
      <alignment horizontal="right" vertical="center"/>
      <protection hidden="1"/>
    </xf>
    <xf numFmtId="180" fontId="18" fillId="34" borderId="131" xfId="0" applyNumberFormat="1" applyFont="1" applyFill="1" applyBorder="1" applyAlignment="1" applyProtection="1">
      <alignment horizontal="center" vertical="center"/>
      <protection hidden="1"/>
    </xf>
    <xf numFmtId="0" fontId="26" fillId="34" borderId="22" xfId="0" applyFont="1" applyFill="1" applyBorder="1" applyAlignment="1" applyProtection="1">
      <alignment horizontal="left" vertical="center"/>
      <protection hidden="1"/>
    </xf>
    <xf numFmtId="0" fontId="4" fillId="34" borderId="23" xfId="0" applyFont="1" applyFill="1" applyBorder="1" applyProtection="1">
      <alignment vertical="center"/>
      <protection hidden="1"/>
    </xf>
    <xf numFmtId="0" fontId="9" fillId="34" borderId="89" xfId="0" applyFont="1" applyFill="1" applyBorder="1" applyAlignment="1" applyProtection="1">
      <alignment horizontal="center" vertical="center"/>
      <protection hidden="1"/>
    </xf>
    <xf numFmtId="0" fontId="64" fillId="34" borderId="89" xfId="0" applyFont="1" applyFill="1" applyBorder="1" applyAlignment="1" applyProtection="1">
      <alignment horizontal="center" vertical="center"/>
      <protection hidden="1"/>
    </xf>
    <xf numFmtId="0" fontId="64" fillId="34" borderId="130" xfId="0" applyFont="1" applyFill="1" applyBorder="1" applyAlignment="1" applyProtection="1">
      <alignment horizontal="center" vertical="center"/>
      <protection hidden="1"/>
    </xf>
    <xf numFmtId="0" fontId="4" fillId="30" borderId="92" xfId="0" applyFont="1" applyFill="1" applyBorder="1" applyAlignment="1" applyProtection="1">
      <alignment horizontal="left" vertical="center"/>
      <protection hidden="1"/>
    </xf>
    <xf numFmtId="0" fontId="4" fillId="30" borderId="71" xfId="0" applyFont="1" applyFill="1" applyBorder="1" applyAlignment="1" applyProtection="1">
      <alignment horizontal="left" vertical="center"/>
      <protection hidden="1"/>
    </xf>
    <xf numFmtId="0" fontId="12" fillId="30" borderId="71" xfId="0" applyFont="1" applyFill="1" applyBorder="1" applyAlignment="1" applyProtection="1">
      <alignment horizontal="left" vertical="center"/>
      <protection hidden="1"/>
    </xf>
    <xf numFmtId="178" fontId="6" fillId="30" borderId="71" xfId="0" applyNumberFormat="1" applyFont="1" applyFill="1" applyBorder="1" applyAlignment="1" applyProtection="1">
      <alignment horizontal="left" vertical="center"/>
      <protection hidden="1"/>
    </xf>
    <xf numFmtId="178" fontId="6" fillId="30" borderId="88" xfId="0" applyNumberFormat="1" applyFont="1" applyFill="1" applyBorder="1" applyAlignment="1" applyProtection="1">
      <alignment horizontal="left" vertical="center"/>
      <protection hidden="1"/>
    </xf>
    <xf numFmtId="56" fontId="24" fillId="34" borderId="10" xfId="0" applyNumberFormat="1" applyFont="1" applyFill="1" applyBorder="1" applyAlignment="1" applyProtection="1">
      <alignment horizontal="left" vertical="center"/>
      <protection hidden="1"/>
    </xf>
    <xf numFmtId="0" fontId="9" fillId="34" borderId="0" xfId="0" applyFont="1" applyFill="1" applyProtection="1">
      <alignment vertical="center"/>
      <protection hidden="1"/>
    </xf>
    <xf numFmtId="0" fontId="4" fillId="34" borderId="34" xfId="0" applyFont="1" applyFill="1" applyBorder="1" applyAlignment="1" applyProtection="1">
      <alignment horizontal="center" vertical="center"/>
      <protection hidden="1"/>
    </xf>
    <xf numFmtId="194" fontId="4" fillId="34" borderId="34" xfId="0" applyNumberFormat="1" applyFont="1" applyFill="1" applyBorder="1" applyAlignment="1" applyProtection="1">
      <alignment horizontal="center" vertical="center"/>
      <protection hidden="1"/>
    </xf>
    <xf numFmtId="194" fontId="4" fillId="43" borderId="34" xfId="0" applyNumberFormat="1" applyFont="1" applyFill="1" applyBorder="1" applyAlignment="1" applyProtection="1">
      <alignment horizontal="center" vertical="center"/>
      <protection hidden="1"/>
    </xf>
    <xf numFmtId="194" fontId="4" fillId="43" borderId="129" xfId="0" applyNumberFormat="1" applyFont="1" applyFill="1" applyBorder="1" applyAlignment="1" applyProtection="1">
      <alignment horizontal="center" vertical="center"/>
      <protection hidden="1"/>
    </xf>
    <xf numFmtId="0" fontId="0" fillId="34" borderId="0" xfId="0" applyFill="1" applyProtection="1">
      <alignment vertical="center"/>
      <protection hidden="1"/>
    </xf>
    <xf numFmtId="0" fontId="24" fillId="34" borderId="10" xfId="0" applyFont="1" applyFill="1" applyBorder="1" applyAlignment="1" applyProtection="1">
      <alignment horizontal="left" vertical="center"/>
      <protection hidden="1"/>
    </xf>
    <xf numFmtId="194" fontId="12" fillId="30" borderId="71" xfId="0" applyNumberFormat="1" applyFont="1" applyFill="1" applyBorder="1" applyAlignment="1" applyProtection="1">
      <alignment horizontal="left" vertical="center"/>
      <protection hidden="1"/>
    </xf>
    <xf numFmtId="194" fontId="6" fillId="30" borderId="71" xfId="0" applyNumberFormat="1" applyFont="1" applyFill="1" applyBorder="1" applyAlignment="1" applyProtection="1">
      <alignment horizontal="left" vertical="center"/>
      <protection hidden="1"/>
    </xf>
    <xf numFmtId="194" fontId="6" fillId="30" borderId="88" xfId="0" applyNumberFormat="1" applyFont="1" applyFill="1" applyBorder="1" applyAlignment="1" applyProtection="1">
      <alignment horizontal="left" vertical="center"/>
      <protection hidden="1"/>
    </xf>
    <xf numFmtId="56" fontId="24" fillId="34" borderId="25" xfId="0" applyNumberFormat="1" applyFont="1" applyFill="1" applyBorder="1" applyAlignment="1" applyProtection="1">
      <alignment horizontal="left" vertical="center"/>
      <protection hidden="1"/>
    </xf>
    <xf numFmtId="0" fontId="0" fillId="34" borderId="26" xfId="0" applyFill="1" applyBorder="1" applyProtection="1">
      <alignment vertical="center"/>
      <protection hidden="1"/>
    </xf>
    <xf numFmtId="0" fontId="4" fillId="34" borderId="131" xfId="0" applyFont="1" applyFill="1" applyBorder="1" applyAlignment="1" applyProtection="1">
      <alignment horizontal="center" vertical="center"/>
      <protection hidden="1"/>
    </xf>
    <xf numFmtId="194" fontId="4" fillId="34" borderId="131" xfId="0" applyNumberFormat="1" applyFont="1" applyFill="1" applyBorder="1" applyAlignment="1" applyProtection="1">
      <alignment horizontal="center" vertical="center"/>
      <protection hidden="1"/>
    </xf>
    <xf numFmtId="194" fontId="4" fillId="34" borderId="132" xfId="0" applyNumberFormat="1" applyFont="1" applyFill="1" applyBorder="1" applyAlignment="1" applyProtection="1">
      <alignment horizontal="center" vertical="center"/>
      <protection hidden="1"/>
    </xf>
    <xf numFmtId="0" fontId="18" fillId="24" borderId="10" xfId="0" applyFont="1" applyFill="1" applyBorder="1" applyAlignment="1" applyProtection="1">
      <alignment horizontal="left" vertical="top" wrapText="1"/>
      <protection hidden="1"/>
    </xf>
    <xf numFmtId="0" fontId="18" fillId="24" borderId="0" xfId="0" applyFont="1" applyFill="1" applyAlignment="1" applyProtection="1">
      <alignment horizontal="left" vertical="top" wrapText="1"/>
      <protection hidden="1"/>
    </xf>
    <xf numFmtId="0" fontId="18" fillId="24" borderId="11" xfId="0" applyFont="1" applyFill="1" applyBorder="1" applyAlignment="1" applyProtection="1">
      <alignment horizontal="left" vertical="top" wrapText="1"/>
      <protection hidden="1"/>
    </xf>
    <xf numFmtId="0" fontId="18" fillId="24" borderId="25" xfId="0" applyFont="1" applyFill="1" applyBorder="1" applyAlignment="1" applyProtection="1">
      <alignment horizontal="left" vertical="top" wrapText="1"/>
      <protection hidden="1"/>
    </xf>
    <xf numFmtId="0" fontId="18" fillId="24" borderId="26" xfId="0" applyFont="1" applyFill="1" applyBorder="1" applyAlignment="1" applyProtection="1">
      <alignment horizontal="left" vertical="top" wrapText="1"/>
      <protection hidden="1"/>
    </xf>
    <xf numFmtId="0" fontId="18" fillId="24" borderId="27" xfId="0" applyFont="1" applyFill="1" applyBorder="1" applyAlignment="1" applyProtection="1">
      <alignment horizontal="left" vertical="top" wrapText="1"/>
      <protection hidden="1"/>
    </xf>
    <xf numFmtId="0" fontId="64" fillId="24" borderId="32" xfId="0" applyFont="1" applyFill="1" applyBorder="1" applyAlignment="1" applyProtection="1">
      <alignment horizontal="left" vertical="top" wrapText="1"/>
      <protection hidden="1"/>
    </xf>
    <xf numFmtId="0" fontId="64" fillId="24" borderId="12" xfId="0" applyFont="1" applyFill="1" applyBorder="1" applyAlignment="1" applyProtection="1">
      <alignment horizontal="left" vertical="top" wrapText="1"/>
      <protection hidden="1"/>
    </xf>
    <xf numFmtId="0" fontId="64" fillId="24" borderId="90" xfId="0" applyFont="1" applyFill="1" applyBorder="1" applyAlignment="1" applyProtection="1">
      <alignment horizontal="left" vertical="top" wrapText="1"/>
      <protection hidden="1"/>
    </xf>
    <xf numFmtId="0" fontId="64" fillId="24" borderId="91" xfId="0" applyFont="1" applyFill="1" applyBorder="1" applyAlignment="1" applyProtection="1">
      <alignment horizontal="left" vertical="top" wrapText="1"/>
      <protection hidden="1"/>
    </xf>
    <xf numFmtId="0" fontId="64" fillId="24" borderId="13" xfId="0" applyFont="1" applyFill="1" applyBorder="1" applyAlignment="1" applyProtection="1">
      <alignment horizontal="left" vertical="top" wrapText="1"/>
      <protection hidden="1"/>
    </xf>
    <xf numFmtId="0" fontId="64" fillId="24" borderId="25" xfId="0" applyFont="1" applyFill="1" applyBorder="1" applyAlignment="1" applyProtection="1">
      <alignment horizontal="left" vertical="top" wrapText="1"/>
      <protection hidden="1"/>
    </xf>
    <xf numFmtId="0" fontId="64" fillId="24" borderId="26" xfId="0" applyFont="1" applyFill="1" applyBorder="1" applyAlignment="1" applyProtection="1">
      <alignment horizontal="left" vertical="top" wrapText="1"/>
      <protection hidden="1"/>
    </xf>
    <xf numFmtId="0" fontId="64" fillId="24" borderId="109" xfId="0" applyFont="1" applyFill="1" applyBorder="1" applyAlignment="1" applyProtection="1">
      <alignment horizontal="left" vertical="top" wrapText="1"/>
      <protection hidden="1"/>
    </xf>
    <xf numFmtId="0" fontId="64" fillId="24" borderId="81" xfId="0" applyFont="1" applyFill="1" applyBorder="1" applyAlignment="1" applyProtection="1">
      <alignment horizontal="left" vertical="top" wrapText="1"/>
      <protection hidden="1"/>
    </xf>
    <xf numFmtId="0" fontId="64" fillId="24" borderId="27" xfId="0" applyFont="1" applyFill="1" applyBorder="1" applyAlignment="1" applyProtection="1">
      <alignment horizontal="left" vertical="top" wrapText="1"/>
      <protection hidden="1"/>
    </xf>
    <xf numFmtId="0" fontId="63" fillId="36" borderId="70" xfId="0" applyFont="1" applyFill="1" applyBorder="1" applyAlignment="1" applyProtection="1">
      <alignment horizontal="left" vertical="center"/>
      <protection hidden="1"/>
    </xf>
    <xf numFmtId="0" fontId="63" fillId="36" borderId="71" xfId="0" applyFont="1" applyFill="1" applyBorder="1" applyAlignment="1" applyProtection="1">
      <alignment horizontal="left" vertical="center"/>
      <protection hidden="1"/>
    </xf>
    <xf numFmtId="0" fontId="63" fillId="36" borderId="86" xfId="0" applyFont="1" applyFill="1" applyBorder="1" applyAlignment="1" applyProtection="1">
      <alignment horizontal="left" vertical="center"/>
      <protection hidden="1"/>
    </xf>
    <xf numFmtId="0" fontId="35" fillId="36" borderId="70" xfId="0" applyFont="1" applyFill="1" applyBorder="1" applyAlignment="1" applyProtection="1">
      <alignment horizontal="left" vertical="center"/>
      <protection hidden="1"/>
    </xf>
    <xf numFmtId="0" fontId="35" fillId="36" borderId="71" xfId="0" applyFont="1" applyFill="1" applyBorder="1" applyAlignment="1" applyProtection="1">
      <alignment horizontal="left" vertical="center"/>
      <protection hidden="1"/>
    </xf>
    <xf numFmtId="0" fontId="35" fillId="36" borderId="86" xfId="0" applyFont="1" applyFill="1" applyBorder="1" applyAlignment="1" applyProtection="1">
      <alignment horizontal="left" vertical="center"/>
      <protection hidden="1"/>
    </xf>
    <xf numFmtId="0" fontId="48" fillId="0" borderId="10" xfId="0" applyFont="1" applyBorder="1" applyAlignment="1" applyProtection="1">
      <alignment horizontal="left" vertical="center" wrapText="1"/>
      <protection hidden="1"/>
    </xf>
    <xf numFmtId="0" fontId="48" fillId="0" borderId="0" xfId="0" applyFont="1" applyAlignment="1" applyProtection="1">
      <alignment horizontal="left" vertical="center" wrapText="1"/>
      <protection hidden="1"/>
    </xf>
    <xf numFmtId="0" fontId="48" fillId="0" borderId="11" xfId="0" applyFont="1" applyBorder="1" applyAlignment="1" applyProtection="1">
      <alignment horizontal="left" vertical="center" wrapText="1"/>
      <protection hidden="1"/>
    </xf>
    <xf numFmtId="0" fontId="48" fillId="0" borderId="25" xfId="0" applyFont="1" applyBorder="1" applyAlignment="1" applyProtection="1">
      <alignment horizontal="left" vertical="center" wrapText="1"/>
      <protection hidden="1"/>
    </xf>
    <xf numFmtId="0" fontId="48" fillId="0" borderId="26" xfId="0" applyFont="1" applyBorder="1" applyAlignment="1" applyProtection="1">
      <alignment horizontal="left" vertical="center" wrapText="1"/>
      <protection hidden="1"/>
    </xf>
    <xf numFmtId="0" fontId="48" fillId="0" borderId="27" xfId="0" applyFont="1" applyBorder="1" applyAlignment="1" applyProtection="1">
      <alignment horizontal="left" vertical="center" wrapText="1"/>
      <protection hidden="1"/>
    </xf>
    <xf numFmtId="0" fontId="13" fillId="31" borderId="44" xfId="0" applyFont="1" applyFill="1" applyBorder="1" applyAlignment="1" applyProtection="1">
      <alignment horizontal="left" vertical="center"/>
      <protection hidden="1"/>
    </xf>
    <xf numFmtId="0" fontId="13" fillId="31" borderId="35" xfId="0" applyFont="1" applyFill="1" applyBorder="1" applyAlignment="1" applyProtection="1">
      <alignment horizontal="left" vertical="center"/>
      <protection hidden="1"/>
    </xf>
    <xf numFmtId="0" fontId="13" fillId="31" borderId="46" xfId="0" applyFont="1" applyFill="1" applyBorder="1" applyAlignment="1" applyProtection="1">
      <alignment horizontal="left" vertical="center"/>
      <protection hidden="1"/>
    </xf>
    <xf numFmtId="0" fontId="64" fillId="0" borderId="32" xfId="0" applyFont="1" applyBorder="1" applyAlignment="1" applyProtection="1">
      <alignment horizontal="left" vertical="top" wrapText="1"/>
      <protection hidden="1"/>
    </xf>
    <xf numFmtId="0" fontId="64" fillId="0" borderId="12" xfId="0" applyFont="1" applyBorder="1" applyAlignment="1" applyProtection="1">
      <alignment horizontal="left" vertical="top" wrapText="1"/>
      <protection hidden="1"/>
    </xf>
    <xf numFmtId="0" fontId="64" fillId="0" borderId="90" xfId="0" applyFont="1" applyBorder="1" applyAlignment="1" applyProtection="1">
      <alignment horizontal="left" vertical="top" wrapText="1"/>
      <protection hidden="1"/>
    </xf>
    <xf numFmtId="0" fontId="32" fillId="0" borderId="110" xfId="29" applyNumberFormat="1" applyFont="1" applyFill="1" applyBorder="1" applyAlignment="1" applyProtection="1">
      <alignment horizontal="center" vertical="center"/>
      <protection hidden="1"/>
    </xf>
    <xf numFmtId="0" fontId="32" fillId="0" borderId="111" xfId="29" applyNumberFormat="1" applyFont="1" applyFill="1" applyBorder="1" applyAlignment="1" applyProtection="1">
      <alignment horizontal="center" vertical="center"/>
      <protection hidden="1"/>
    </xf>
    <xf numFmtId="0" fontId="32" fillId="0" borderId="112" xfId="29" applyNumberFormat="1" applyFont="1" applyFill="1" applyBorder="1" applyAlignment="1" applyProtection="1">
      <alignment horizontal="center" vertical="center"/>
      <protection hidden="1"/>
    </xf>
    <xf numFmtId="0" fontId="12" fillId="0" borderId="108" xfId="0" applyFont="1" applyBorder="1" applyAlignment="1" applyProtection="1">
      <alignment horizontal="left" vertical="center"/>
      <protection hidden="1"/>
    </xf>
    <xf numFmtId="0" fontId="12" fillId="0" borderId="46" xfId="0" applyFont="1" applyBorder="1" applyAlignment="1" applyProtection="1">
      <alignment horizontal="left" vertical="center"/>
      <protection hidden="1"/>
    </xf>
    <xf numFmtId="190" fontId="12" fillId="24" borderId="98" xfId="0" applyNumberFormat="1" applyFont="1" applyFill="1" applyBorder="1" applyAlignment="1" applyProtection="1">
      <alignment horizontal="left" vertical="center"/>
      <protection hidden="1"/>
    </xf>
    <xf numFmtId="190" fontId="12" fillId="24" borderId="11" xfId="0" applyNumberFormat="1" applyFont="1" applyFill="1" applyBorder="1" applyAlignment="1" applyProtection="1">
      <alignment horizontal="left" vertical="center"/>
      <protection hidden="1"/>
    </xf>
    <xf numFmtId="0" fontId="12" fillId="0" borderId="98"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0" fillId="0" borderId="11" xfId="0" applyBorder="1" applyAlignment="1">
      <alignment horizontal="left" vertical="center" shrinkToFit="1"/>
    </xf>
    <xf numFmtId="55" fontId="12" fillId="24" borderId="98" xfId="0" applyNumberFormat="1"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189" fontId="12" fillId="24" borderId="98" xfId="0" applyNumberFormat="1" applyFont="1" applyFill="1" applyBorder="1" applyAlignment="1" applyProtection="1">
      <alignment horizontal="left" vertical="center"/>
      <protection hidden="1"/>
    </xf>
    <xf numFmtId="189" fontId="12" fillId="24" borderId="11" xfId="0" applyNumberFormat="1" applyFont="1" applyFill="1" applyBorder="1" applyAlignment="1" applyProtection="1">
      <alignment horizontal="left" vertical="center"/>
      <protection hidden="1"/>
    </xf>
    <xf numFmtId="0" fontId="12" fillId="0" borderId="96" xfId="0" applyFont="1" applyBorder="1" applyAlignment="1" applyProtection="1">
      <alignment horizontal="left" vertical="center" shrinkToFit="1"/>
      <protection hidden="1"/>
    </xf>
    <xf numFmtId="0" fontId="0" fillId="0" borderId="13" xfId="0" applyBorder="1" applyAlignment="1">
      <alignment horizontal="left" vertical="center" shrinkToFit="1"/>
    </xf>
    <xf numFmtId="56" fontId="160" fillId="28" borderId="43" xfId="0" applyNumberFormat="1" applyFont="1" applyFill="1" applyBorder="1" applyAlignment="1" applyProtection="1">
      <alignment horizontal="left" vertical="center"/>
      <protection hidden="1"/>
    </xf>
    <xf numFmtId="56" fontId="160" fillId="28" borderId="20" xfId="0" applyNumberFormat="1" applyFont="1" applyFill="1" applyBorder="1" applyAlignment="1" applyProtection="1">
      <alignment horizontal="left" vertical="center"/>
      <protection hidden="1"/>
    </xf>
    <xf numFmtId="56" fontId="160" fillId="28" borderId="21" xfId="0" applyNumberFormat="1" applyFont="1" applyFill="1" applyBorder="1" applyAlignment="1" applyProtection="1">
      <alignment horizontal="left" vertical="center"/>
      <protection hidden="1"/>
    </xf>
    <xf numFmtId="3" fontId="12" fillId="24" borderId="96" xfId="0" applyNumberFormat="1" applyFont="1" applyFill="1" applyBorder="1" applyAlignment="1" applyProtection="1">
      <alignment horizontal="left" vertical="center"/>
      <protection hidden="1"/>
    </xf>
    <xf numFmtId="3" fontId="12" fillId="24" borderId="13" xfId="0" applyNumberFormat="1" applyFont="1" applyFill="1" applyBorder="1" applyAlignment="1" applyProtection="1">
      <alignment horizontal="left" vertical="center"/>
      <protection hidden="1"/>
    </xf>
    <xf numFmtId="179" fontId="12" fillId="24" borderId="101" xfId="0" applyNumberFormat="1" applyFont="1" applyFill="1" applyBorder="1" applyAlignment="1" applyProtection="1">
      <alignment horizontal="left" vertical="center"/>
      <protection locked="0"/>
    </xf>
    <xf numFmtId="179" fontId="12" fillId="24" borderId="51" xfId="0" applyNumberFormat="1" applyFont="1" applyFill="1" applyBorder="1" applyAlignment="1" applyProtection="1">
      <alignment horizontal="left" vertical="center"/>
      <protection locked="0"/>
    </xf>
    <xf numFmtId="179" fontId="12" fillId="24" borderId="52" xfId="0" applyNumberFormat="1" applyFont="1" applyFill="1" applyBorder="1" applyAlignment="1" applyProtection="1">
      <alignment horizontal="left" vertical="center"/>
      <protection locked="0"/>
    </xf>
    <xf numFmtId="179" fontId="12" fillId="24" borderId="91" xfId="0" applyNumberFormat="1"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38" fontId="12" fillId="24" borderId="70" xfId="36" applyFont="1" applyFill="1" applyBorder="1" applyAlignment="1" applyProtection="1">
      <alignment horizontal="right" vertical="center"/>
      <protection locked="0"/>
    </xf>
    <xf numFmtId="38" fontId="12" fillId="24" borderId="86" xfId="36" applyFont="1" applyFill="1" applyBorder="1" applyAlignment="1" applyProtection="1">
      <alignment horizontal="right" vertical="center"/>
      <protection locked="0"/>
    </xf>
    <xf numFmtId="185" fontId="12" fillId="24" borderId="70" xfId="36" applyNumberFormat="1" applyFont="1" applyFill="1" applyBorder="1" applyAlignment="1" applyProtection="1">
      <alignment horizontal="right" vertical="center"/>
      <protection locked="0"/>
    </xf>
    <xf numFmtId="185" fontId="12" fillId="24" borderId="86" xfId="36" applyNumberFormat="1" applyFont="1" applyFill="1" applyBorder="1" applyAlignment="1" applyProtection="1">
      <alignment horizontal="right" vertical="center"/>
      <protection locked="0"/>
    </xf>
    <xf numFmtId="186" fontId="12" fillId="24" borderId="70" xfId="36" applyNumberFormat="1" applyFont="1" applyFill="1" applyBorder="1" applyAlignment="1" applyProtection="1">
      <alignment horizontal="right" vertical="center"/>
      <protection locked="0"/>
    </xf>
    <xf numFmtId="186" fontId="12" fillId="24" borderId="86" xfId="36" applyNumberFormat="1" applyFont="1" applyFill="1" applyBorder="1" applyAlignment="1" applyProtection="1">
      <alignment horizontal="right" vertical="center"/>
      <protection locked="0"/>
    </xf>
    <xf numFmtId="185" fontId="12" fillId="24" borderId="69" xfId="36" applyNumberFormat="1" applyFont="1" applyFill="1" applyBorder="1" applyAlignment="1" applyProtection="1">
      <alignment horizontal="right" vertical="center"/>
      <protection locked="0"/>
    </xf>
    <xf numFmtId="185" fontId="12" fillId="24" borderId="45" xfId="36" applyNumberFormat="1"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12" fillId="24" borderId="86" xfId="0" applyFont="1" applyFill="1" applyBorder="1" applyAlignment="1" applyProtection="1">
      <alignment horizontal="right" vertical="center"/>
      <protection locked="0"/>
    </xf>
    <xf numFmtId="0" fontId="12" fillId="24" borderId="99" xfId="0" applyFont="1" applyFill="1" applyBorder="1" applyAlignment="1" applyProtection="1">
      <alignment horizontal="right" vertical="center"/>
      <protection locked="0"/>
    </xf>
    <xf numFmtId="0" fontId="12" fillId="24" borderId="100" xfId="0" applyFont="1" applyFill="1" applyBorder="1" applyAlignment="1" applyProtection="1">
      <alignment horizontal="right" vertical="center"/>
      <protection locked="0"/>
    </xf>
    <xf numFmtId="55" fontId="12" fillId="24" borderId="70" xfId="0" applyNumberFormat="1" applyFont="1" applyFill="1" applyBorder="1" applyAlignment="1" applyProtection="1">
      <alignment horizontal="right" vertical="center"/>
      <protection locked="0"/>
    </xf>
    <xf numFmtId="55" fontId="12" fillId="24" borderId="86" xfId="0" applyNumberFormat="1" applyFont="1" applyFill="1" applyBorder="1" applyAlignment="1" applyProtection="1">
      <alignment horizontal="right" vertical="center"/>
      <protection locked="0"/>
    </xf>
    <xf numFmtId="0" fontId="12" fillId="24" borderId="91" xfId="0" applyFont="1" applyFill="1" applyBorder="1" applyAlignment="1" applyProtection="1">
      <alignment horizontal="right" vertical="center"/>
      <protection hidden="1"/>
    </xf>
    <xf numFmtId="0" fontId="12" fillId="24" borderId="90" xfId="0" applyFont="1" applyFill="1" applyBorder="1" applyAlignment="1" applyProtection="1">
      <alignment horizontal="right" vertical="center"/>
      <protection hidden="1"/>
    </xf>
    <xf numFmtId="56" fontId="14" fillId="28" borderId="43" xfId="0" applyNumberFormat="1" applyFont="1" applyFill="1" applyBorder="1" applyAlignment="1" applyProtection="1">
      <alignment horizontal="left" vertical="center"/>
      <protection hidden="1"/>
    </xf>
    <xf numFmtId="56" fontId="14" fillId="28" borderId="20" xfId="0" applyNumberFormat="1" applyFont="1" applyFill="1" applyBorder="1" applyAlignment="1" applyProtection="1">
      <alignment horizontal="left" vertical="center"/>
      <protection hidden="1"/>
    </xf>
    <xf numFmtId="56" fontId="14" fillId="28" borderId="21" xfId="0" applyNumberFormat="1" applyFont="1" applyFill="1" applyBorder="1" applyAlignment="1" applyProtection="1">
      <alignment horizontal="left" vertical="center"/>
      <protection hidden="1"/>
    </xf>
    <xf numFmtId="0" fontId="185" fillId="0" borderId="26" xfId="0" applyFont="1" applyBorder="1" applyAlignment="1" applyProtection="1">
      <alignment horizontal="center" vertical="center"/>
      <protection hidden="1"/>
    </xf>
    <xf numFmtId="0" fontId="185" fillId="0" borderId="0" xfId="0" applyFont="1" applyAlignment="1" applyProtection="1">
      <alignment horizontal="center" vertical="center"/>
      <protection hidden="1"/>
    </xf>
    <xf numFmtId="0" fontId="136" fillId="0" borderId="33" xfId="0" applyFont="1" applyBorder="1" applyAlignment="1" applyProtection="1">
      <alignment horizontal="center" vertical="center" wrapText="1"/>
      <protection hidden="1"/>
    </xf>
    <xf numFmtId="0" fontId="136" fillId="0" borderId="80" xfId="0" applyFont="1" applyBorder="1" applyAlignment="1" applyProtection="1">
      <alignment horizontal="center" vertical="center"/>
      <protection hidden="1"/>
    </xf>
    <xf numFmtId="0" fontId="136" fillId="0" borderId="82" xfId="0" applyFont="1" applyBorder="1" applyAlignment="1" applyProtection="1">
      <alignment horizontal="center" vertical="center"/>
      <protection hidden="1"/>
    </xf>
    <xf numFmtId="0" fontId="136" fillId="0" borderId="129" xfId="0" applyFont="1" applyBorder="1" applyAlignment="1" applyProtection="1">
      <alignment horizontal="center" vertical="center" wrapText="1"/>
      <protection hidden="1"/>
    </xf>
    <xf numFmtId="0" fontId="200" fillId="47" borderId="10" xfId="0" applyFont="1" applyFill="1" applyBorder="1" applyAlignment="1" applyProtection="1">
      <alignment horizontal="left" vertical="center"/>
      <protection hidden="1"/>
    </xf>
    <xf numFmtId="0" fontId="200" fillId="47" borderId="0" xfId="0" applyFont="1" applyFill="1" applyAlignment="1" applyProtection="1">
      <alignment horizontal="left" vertical="center"/>
      <protection hidden="1"/>
    </xf>
    <xf numFmtId="0" fontId="200" fillId="47" borderId="11" xfId="0" applyFont="1" applyFill="1" applyBorder="1" applyAlignment="1" applyProtection="1">
      <alignment horizontal="left" vertical="center"/>
      <protection hidden="1"/>
    </xf>
    <xf numFmtId="0" fontId="202" fillId="44" borderId="92" xfId="0" applyFont="1" applyFill="1" applyBorder="1" applyAlignment="1">
      <alignment horizontal="center" vertical="center"/>
    </xf>
    <xf numFmtId="0" fontId="202" fillId="44" borderId="86" xfId="0" applyFont="1" applyFill="1" applyBorder="1" applyAlignment="1">
      <alignment horizontal="center" vertical="center"/>
    </xf>
    <xf numFmtId="0" fontId="136" fillId="37" borderId="92" xfId="0" applyFont="1" applyFill="1" applyBorder="1" applyAlignment="1" applyProtection="1">
      <alignment horizontal="left" vertical="center" indent="2"/>
      <protection hidden="1"/>
    </xf>
    <xf numFmtId="0" fontId="136" fillId="37" borderId="86" xfId="0" applyFont="1" applyFill="1" applyBorder="1" applyAlignment="1" applyProtection="1">
      <alignment horizontal="left" vertical="center" indent="2"/>
      <protection hidden="1"/>
    </xf>
    <xf numFmtId="0" fontId="183" fillId="0" borderId="26" xfId="0" applyFont="1" applyBorder="1" applyAlignment="1" applyProtection="1">
      <alignment horizontal="center" vertical="center"/>
      <protection hidden="1"/>
    </xf>
    <xf numFmtId="182" fontId="62" fillId="0" borderId="11" xfId="36" applyNumberFormat="1" applyFont="1" applyFill="1" applyBorder="1" applyAlignment="1" applyProtection="1">
      <alignment horizontal="center" vertical="center"/>
      <protection hidden="1"/>
    </xf>
    <xf numFmtId="0" fontId="39" fillId="0" borderId="0" xfId="0" applyFont="1" applyAlignment="1" applyProtection="1">
      <alignment horizontal="center" vertical="center"/>
      <protection hidden="1"/>
    </xf>
    <xf numFmtId="2" fontId="0" fillId="0" borderId="33" xfId="0" applyNumberFormat="1" applyBorder="1" applyAlignment="1" applyProtection="1">
      <alignment horizontal="center" vertical="center"/>
      <protection hidden="1"/>
    </xf>
    <xf numFmtId="2" fontId="0" fillId="0" borderId="80" xfId="0" applyNumberFormat="1" applyBorder="1" applyAlignment="1" applyProtection="1">
      <alignment horizontal="center" vertical="center"/>
      <protection hidden="1"/>
    </xf>
    <xf numFmtId="2" fontId="0" fillId="0" borderId="82" xfId="0" applyNumberFormat="1" applyBorder="1" applyAlignment="1" applyProtection="1">
      <alignment horizontal="center" vertical="center"/>
      <protection hidden="1"/>
    </xf>
    <xf numFmtId="184" fontId="4" fillId="0" borderId="14" xfId="0" applyNumberFormat="1" applyFont="1" applyBorder="1" applyAlignment="1" applyProtection="1">
      <alignment horizontal="center" vertical="center"/>
      <protection hidden="1"/>
    </xf>
    <xf numFmtId="184" fontId="4" fillId="0" borderId="20" xfId="0" applyNumberFormat="1" applyFont="1" applyBorder="1" applyAlignment="1" applyProtection="1">
      <alignment horizontal="center" vertical="center"/>
      <protection hidden="1"/>
    </xf>
    <xf numFmtId="184" fontId="4" fillId="0" borderId="21" xfId="0" applyNumberFormat="1" applyFont="1" applyBorder="1" applyAlignment="1" applyProtection="1">
      <alignment horizontal="center" vertical="center"/>
      <protection hidden="1"/>
    </xf>
    <xf numFmtId="0" fontId="0" fillId="33" borderId="107" xfId="0" applyFill="1" applyBorder="1" applyAlignment="1" applyProtection="1">
      <alignment vertical="top" wrapText="1"/>
      <protection locked="0" hidden="1"/>
    </xf>
    <xf numFmtId="0" fontId="0" fillId="33" borderId="87" xfId="0" applyFill="1" applyBorder="1" applyAlignment="1" applyProtection="1">
      <alignment vertical="top" wrapText="1"/>
      <protection locked="0" hidden="1"/>
    </xf>
    <xf numFmtId="0" fontId="0" fillId="33" borderId="81" xfId="0" applyFill="1" applyBorder="1" applyAlignment="1" applyProtection="1">
      <alignment horizontal="left" vertical="top" wrapText="1"/>
      <protection locked="0" hidden="1"/>
    </xf>
    <xf numFmtId="0" fontId="0" fillId="33" borderId="26" xfId="0" applyFill="1" applyBorder="1" applyAlignment="1" applyProtection="1">
      <alignment horizontal="left" vertical="top" wrapText="1"/>
      <protection locked="0" hidden="1"/>
    </xf>
    <xf numFmtId="0" fontId="0" fillId="0" borderId="27" xfId="0" applyBorder="1" applyAlignment="1" applyProtection="1">
      <alignment horizontal="left" vertical="top" wrapText="1"/>
      <protection locked="0" hidden="1"/>
    </xf>
    <xf numFmtId="0" fontId="0" fillId="33" borderId="70" xfId="0" applyFill="1" applyBorder="1" applyAlignment="1" applyProtection="1">
      <alignment horizontal="left" vertical="top" wrapText="1"/>
      <protection locked="0" hidden="1"/>
    </xf>
    <xf numFmtId="0" fontId="0" fillId="33" borderId="71" xfId="0" applyFill="1" applyBorder="1" applyAlignment="1" applyProtection="1">
      <alignment horizontal="left" vertical="top" wrapText="1"/>
      <protection locked="0" hidden="1"/>
    </xf>
    <xf numFmtId="0" fontId="0" fillId="0" borderId="88" xfId="0" applyBorder="1" applyAlignment="1" applyProtection="1">
      <alignment horizontal="left" vertical="top" wrapText="1"/>
      <protection locked="0" hidden="1"/>
    </xf>
    <xf numFmtId="0" fontId="0" fillId="33" borderId="68" xfId="0" applyFill="1" applyBorder="1" applyAlignment="1" applyProtection="1">
      <alignment horizontal="left" vertical="top" wrapText="1"/>
      <protection locked="0" hidden="1"/>
    </xf>
    <xf numFmtId="0" fontId="0" fillId="33" borderId="0" xfId="0" applyFill="1" applyAlignment="1" applyProtection="1">
      <alignment horizontal="left" vertical="top" wrapText="1"/>
      <protection locked="0" hidden="1"/>
    </xf>
    <xf numFmtId="0" fontId="0" fillId="0" borderId="11" xfId="0" applyBorder="1" applyAlignment="1" applyProtection="1">
      <alignment horizontal="left" vertical="top" wrapText="1"/>
      <protection locked="0" hidden="1"/>
    </xf>
    <xf numFmtId="0" fontId="0" fillId="30" borderId="102" xfId="0" applyFill="1" applyBorder="1" applyAlignment="1" applyProtection="1">
      <alignment horizontal="center" vertical="center"/>
      <protection hidden="1"/>
    </xf>
    <xf numFmtId="0" fontId="0" fillId="30" borderId="37" xfId="0" applyFill="1" applyBorder="1" applyAlignment="1" applyProtection="1">
      <alignment horizontal="center" vertical="center"/>
      <protection hidden="1"/>
    </xf>
    <xf numFmtId="0" fontId="0" fillId="30" borderId="103" xfId="0" applyFill="1" applyBorder="1" applyAlignment="1" applyProtection="1">
      <alignment horizontal="center" vertical="center"/>
      <protection hidden="1"/>
    </xf>
    <xf numFmtId="0" fontId="0" fillId="33" borderId="11" xfId="0" applyFill="1" applyBorder="1" applyAlignment="1" applyProtection="1">
      <alignment horizontal="left" vertical="top" wrapText="1"/>
      <protection locked="0" hidden="1"/>
    </xf>
    <xf numFmtId="0" fontId="0" fillId="33" borderId="104" xfId="0" applyFill="1" applyBorder="1" applyAlignment="1" applyProtection="1">
      <alignment horizontal="left" vertical="top" wrapText="1"/>
      <protection locked="0" hidden="1"/>
    </xf>
    <xf numFmtId="0" fontId="0" fillId="33" borderId="105" xfId="0" applyFill="1" applyBorder="1" applyAlignment="1" applyProtection="1">
      <alignment horizontal="left" vertical="top" wrapText="1"/>
      <protection locked="0" hidden="1"/>
    </xf>
    <xf numFmtId="0" fontId="0" fillId="0" borderId="106" xfId="0" applyBorder="1" applyAlignment="1" applyProtection="1">
      <alignment horizontal="left" vertical="top" wrapText="1"/>
      <protection locked="0" hidden="1"/>
    </xf>
    <xf numFmtId="0" fontId="0" fillId="33" borderId="82" xfId="0" applyFill="1" applyBorder="1" applyAlignment="1" applyProtection="1">
      <alignment vertical="top" wrapText="1"/>
      <protection locked="0" hidden="1"/>
    </xf>
    <xf numFmtId="0" fontId="0" fillId="33" borderId="34" xfId="0" applyFill="1" applyBorder="1" applyAlignment="1" applyProtection="1">
      <alignment vertical="top" wrapText="1"/>
      <protection locked="0" hidden="1"/>
    </xf>
    <xf numFmtId="0" fontId="0" fillId="35" borderId="34" xfId="0" applyFill="1" applyBorder="1" applyAlignment="1" applyProtection="1">
      <alignment vertical="top" wrapText="1"/>
      <protection locked="0" hidden="1"/>
    </xf>
    <xf numFmtId="0" fontId="167" fillId="40" borderId="71" xfId="0" applyFont="1" applyFill="1" applyBorder="1" applyAlignment="1" applyProtection="1">
      <alignment horizontal="center" vertical="center" shrinkToFit="1"/>
      <protection hidden="1"/>
    </xf>
    <xf numFmtId="0" fontId="18" fillId="40" borderId="71" xfId="0" applyFont="1" applyFill="1" applyBorder="1" applyAlignment="1" applyProtection="1">
      <alignment horizontal="center" vertical="center" shrinkToFit="1"/>
      <protection hidden="1"/>
    </xf>
    <xf numFmtId="0" fontId="18" fillId="40" borderId="86" xfId="0" applyFont="1" applyFill="1" applyBorder="1" applyAlignment="1" applyProtection="1">
      <alignment horizontal="center" vertical="center" shrinkToFit="1"/>
      <protection hidden="1"/>
    </xf>
    <xf numFmtId="0" fontId="145" fillId="34" borderId="71" xfId="0" applyFont="1" applyFill="1" applyBorder="1" applyAlignment="1" applyProtection="1">
      <alignment horizontal="left" vertical="center" wrapText="1"/>
      <protection hidden="1"/>
    </xf>
    <xf numFmtId="0" fontId="145" fillId="34" borderId="86" xfId="0" applyFont="1" applyFill="1" applyBorder="1" applyAlignment="1" applyProtection="1">
      <alignment horizontal="left" vertical="center" wrapText="1"/>
      <protection hidden="1"/>
    </xf>
    <xf numFmtId="0" fontId="146" fillId="34" borderId="71" xfId="0" applyFont="1" applyFill="1" applyBorder="1" applyAlignment="1" applyProtection="1">
      <alignment horizontal="left" vertical="center" wrapText="1"/>
      <protection hidden="1"/>
    </xf>
    <xf numFmtId="0" fontId="190" fillId="34" borderId="71" xfId="0" applyFont="1" applyFill="1" applyBorder="1" applyAlignment="1" applyProtection="1">
      <alignment horizontal="left" vertical="center" wrapText="1"/>
      <protection hidden="1"/>
    </xf>
    <xf numFmtId="0" fontId="190" fillId="34" borderId="86" xfId="0" applyFont="1" applyFill="1" applyBorder="1" applyAlignment="1" applyProtection="1">
      <alignment horizontal="left" vertical="center" wrapText="1"/>
      <protection hidden="1"/>
    </xf>
    <xf numFmtId="0" fontId="18" fillId="34" borderId="71" xfId="0" applyFont="1" applyFill="1" applyBorder="1" applyAlignment="1" applyProtection="1">
      <alignment horizontal="left" vertical="center" wrapText="1"/>
      <protection hidden="1"/>
    </xf>
    <xf numFmtId="0" fontId="18" fillId="34" borderId="86" xfId="0" applyFont="1" applyFill="1" applyBorder="1" applyAlignment="1" applyProtection="1">
      <alignment horizontal="left" vertical="center" wrapText="1"/>
      <protection hidden="1"/>
    </xf>
    <xf numFmtId="0" fontId="12" fillId="40" borderId="70" xfId="0" applyFont="1" applyFill="1" applyBorder="1" applyAlignment="1" applyProtection="1">
      <alignment horizontal="center" vertical="center" shrinkToFit="1"/>
      <protection hidden="1"/>
    </xf>
    <xf numFmtId="0" fontId="12" fillId="40" borderId="71" xfId="0" applyFont="1" applyFill="1" applyBorder="1" applyAlignment="1" applyProtection="1">
      <alignment horizontal="center" vertical="center" shrinkToFit="1"/>
      <protection hidden="1"/>
    </xf>
    <xf numFmtId="0" fontId="12" fillId="40" borderId="86" xfId="0" applyFont="1" applyFill="1" applyBorder="1" applyAlignment="1" applyProtection="1">
      <alignment horizontal="center" vertical="center" shrinkToFit="1"/>
      <protection hidden="1"/>
    </xf>
    <xf numFmtId="0" fontId="12" fillId="34" borderId="128" xfId="0" applyFont="1" applyFill="1" applyBorder="1" applyAlignment="1" applyProtection="1">
      <alignment horizontal="left" vertical="center" wrapText="1"/>
      <protection hidden="1"/>
    </xf>
    <xf numFmtId="0" fontId="12" fillId="34" borderId="146" xfId="0" applyFont="1" applyFill="1" applyBorder="1" applyAlignment="1" applyProtection="1">
      <alignment horizontal="left" vertical="center" wrapText="1"/>
      <protection hidden="1"/>
    </xf>
    <xf numFmtId="0" fontId="12" fillId="34" borderId="147" xfId="0" applyFont="1" applyFill="1" applyBorder="1" applyAlignment="1" applyProtection="1">
      <alignment horizontal="left" vertical="center" wrapText="1"/>
      <protection hidden="1"/>
    </xf>
    <xf numFmtId="0" fontId="18" fillId="34" borderId="92" xfId="0" applyFont="1" applyFill="1" applyBorder="1" applyAlignment="1" applyProtection="1">
      <alignment horizontal="left" vertical="center" wrapText="1"/>
      <protection hidden="1"/>
    </xf>
    <xf numFmtId="0" fontId="18" fillId="34" borderId="35" xfId="0" applyFont="1" applyFill="1" applyBorder="1" applyAlignment="1" applyProtection="1">
      <alignment horizontal="left" vertical="center" wrapText="1"/>
      <protection hidden="1"/>
    </xf>
    <xf numFmtId="0" fontId="18" fillId="34" borderId="45" xfId="0" applyFont="1" applyFill="1" applyBorder="1" applyAlignment="1" applyProtection="1">
      <alignment horizontal="left" vertical="center" wrapText="1"/>
      <protection hidden="1"/>
    </xf>
    <xf numFmtId="0" fontId="18" fillId="34" borderId="0" xfId="0" applyFont="1" applyFill="1" applyAlignment="1" applyProtection="1">
      <alignment horizontal="left" vertical="center" wrapText="1"/>
      <protection hidden="1"/>
    </xf>
    <xf numFmtId="0" fontId="18" fillId="34" borderId="47" xfId="0" applyFont="1" applyFill="1" applyBorder="1" applyAlignment="1" applyProtection="1">
      <alignment horizontal="left" vertical="center" wrapText="1"/>
      <protection hidden="1"/>
    </xf>
    <xf numFmtId="0" fontId="18" fillId="34" borderId="12" xfId="0" applyFont="1" applyFill="1" applyBorder="1" applyAlignment="1" applyProtection="1">
      <alignment horizontal="left" vertical="center" wrapText="1"/>
      <protection hidden="1"/>
    </xf>
    <xf numFmtId="0" fontId="18" fillId="34" borderId="90" xfId="0" applyFont="1" applyFill="1" applyBorder="1" applyAlignment="1" applyProtection="1">
      <alignment horizontal="left" vertical="center" wrapText="1"/>
      <protection hidden="1"/>
    </xf>
    <xf numFmtId="0" fontId="64" fillId="34" borderId="92" xfId="0" applyFont="1" applyFill="1" applyBorder="1" applyAlignment="1" applyProtection="1">
      <alignment horizontal="left" vertical="center" wrapText="1"/>
      <protection hidden="1"/>
    </xf>
    <xf numFmtId="0" fontId="64" fillId="34" borderId="71" xfId="0" applyFont="1" applyFill="1" applyBorder="1" applyAlignment="1" applyProtection="1">
      <alignment horizontal="left" vertical="center" wrapText="1"/>
      <protection hidden="1"/>
    </xf>
    <xf numFmtId="0" fontId="64" fillId="34" borderId="86" xfId="0" applyFont="1" applyFill="1" applyBorder="1" applyAlignment="1" applyProtection="1">
      <alignment horizontal="left" vertical="center" wrapText="1"/>
      <protection hidden="1"/>
    </xf>
    <xf numFmtId="0" fontId="167" fillId="40" borderId="70" xfId="0" applyFont="1" applyFill="1" applyBorder="1" applyAlignment="1" applyProtection="1">
      <alignment horizontal="center" vertical="center" shrinkToFit="1"/>
      <protection hidden="1"/>
    </xf>
    <xf numFmtId="0" fontId="18" fillId="34" borderId="71" xfId="0" applyFont="1" applyFill="1" applyBorder="1" applyAlignment="1" applyProtection="1">
      <alignment horizontal="left" vertical="center"/>
      <protection hidden="1"/>
    </xf>
    <xf numFmtId="0" fontId="18" fillId="34" borderId="86" xfId="0" applyFont="1" applyFill="1" applyBorder="1" applyAlignment="1" applyProtection="1">
      <alignment horizontal="left" vertical="center"/>
      <protection hidden="1"/>
    </xf>
    <xf numFmtId="0" fontId="12" fillId="34" borderId="71" xfId="0" applyFont="1" applyFill="1" applyBorder="1" applyAlignment="1" applyProtection="1">
      <alignment horizontal="left" vertical="center"/>
      <protection hidden="1"/>
    </xf>
    <xf numFmtId="0" fontId="12" fillId="34" borderId="86" xfId="0" applyFont="1" applyFill="1" applyBorder="1" applyAlignment="1" applyProtection="1">
      <alignment horizontal="left" vertical="center"/>
      <protection hidden="1"/>
    </xf>
    <xf numFmtId="0" fontId="12" fillId="34" borderId="71" xfId="0" applyFont="1" applyFill="1" applyBorder="1" applyAlignment="1" applyProtection="1">
      <alignment horizontal="left" vertical="center" wrapText="1"/>
      <protection hidden="1"/>
    </xf>
    <xf numFmtId="0" fontId="12" fillId="34" borderId="86"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protection hidden="1"/>
    </xf>
    <xf numFmtId="0" fontId="12" fillId="34" borderId="92" xfId="0" applyFont="1" applyFill="1" applyBorder="1" applyAlignment="1" applyProtection="1">
      <alignment horizontal="left" vertical="center" wrapText="1"/>
      <protection hidden="1"/>
    </xf>
    <xf numFmtId="0" fontId="2" fillId="34" borderId="92" xfId="0" applyFont="1" applyFill="1" applyBorder="1" applyAlignment="1" applyProtection="1">
      <alignment horizontal="left" vertical="center" wrapText="1"/>
      <protection hidden="1"/>
    </xf>
    <xf numFmtId="0" fontId="2" fillId="34" borderId="86" xfId="0" applyFont="1" applyFill="1" applyBorder="1" applyAlignment="1" applyProtection="1">
      <alignment horizontal="left" vertical="center" wrapText="1"/>
      <protection hidden="1"/>
    </xf>
    <xf numFmtId="0" fontId="2" fillId="34" borderId="70" xfId="0" applyFont="1" applyFill="1" applyBorder="1" applyAlignment="1" applyProtection="1">
      <alignment horizontal="left" vertical="center" wrapText="1"/>
      <protection hidden="1"/>
    </xf>
    <xf numFmtId="0" fontId="2" fillId="34" borderId="71" xfId="0" applyFont="1" applyFill="1" applyBorder="1" applyAlignment="1" applyProtection="1">
      <alignment horizontal="left" vertical="center" wrapText="1"/>
      <protection hidden="1"/>
    </xf>
    <xf numFmtId="0" fontId="12" fillId="25" borderId="119" xfId="0" applyFont="1" applyFill="1" applyBorder="1" applyAlignment="1" applyProtection="1">
      <alignment horizontal="left" vertical="center" wrapText="1"/>
      <protection hidden="1"/>
    </xf>
    <xf numFmtId="0" fontId="12" fillId="25" borderId="120" xfId="0" applyFont="1" applyFill="1" applyBorder="1" applyAlignment="1" applyProtection="1">
      <alignment horizontal="left" vertical="center" wrapText="1"/>
      <protection hidden="1"/>
    </xf>
    <xf numFmtId="0" fontId="12" fillId="25" borderId="121" xfId="0" applyFont="1" applyFill="1" applyBorder="1" applyAlignment="1" applyProtection="1">
      <alignment horizontal="left" vertical="center" wrapText="1"/>
      <protection hidden="1"/>
    </xf>
    <xf numFmtId="0" fontId="0" fillId="0" borderId="146" xfId="0" applyBorder="1" applyAlignment="1">
      <alignment horizontal="left" vertical="center" wrapText="1"/>
    </xf>
    <xf numFmtId="0" fontId="0" fillId="0" borderId="147" xfId="0" applyBorder="1" applyAlignment="1">
      <alignment horizontal="left" vertical="center" wrapText="1"/>
    </xf>
    <xf numFmtId="0" fontId="2" fillId="34" borderId="70" xfId="0" applyFont="1" applyFill="1" applyBorder="1" applyAlignment="1" applyProtection="1">
      <alignment horizontal="center" vertical="center" wrapText="1"/>
      <protection hidden="1"/>
    </xf>
    <xf numFmtId="0" fontId="2" fillId="34" borderId="86" xfId="0" applyFont="1" applyFill="1" applyBorder="1" applyAlignment="1" applyProtection="1">
      <alignment horizontal="center" vertical="center" wrapText="1"/>
      <protection hidden="1"/>
    </xf>
    <xf numFmtId="0" fontId="12" fillId="34" borderId="119" xfId="0" applyFont="1" applyFill="1" applyBorder="1" applyAlignment="1" applyProtection="1">
      <alignment horizontal="left" vertical="center" wrapText="1"/>
      <protection hidden="1"/>
    </xf>
    <xf numFmtId="0" fontId="0" fillId="0" borderId="120" xfId="0" applyBorder="1" applyAlignment="1">
      <alignment horizontal="left" vertical="center" wrapText="1"/>
    </xf>
    <xf numFmtId="0" fontId="0" fillId="0" borderId="121" xfId="0" applyBorder="1" applyAlignment="1">
      <alignment horizontal="left" vertical="center" wrapText="1"/>
    </xf>
    <xf numFmtId="0" fontId="12" fillId="34" borderId="71" xfId="0" applyFont="1" applyFill="1" applyBorder="1" applyProtection="1">
      <alignment vertical="center"/>
      <protection hidden="1"/>
    </xf>
    <xf numFmtId="0" fontId="12" fillId="34" borderId="86" xfId="0" applyFont="1" applyFill="1" applyBorder="1" applyProtection="1">
      <alignment vertical="center"/>
      <protection hidden="1"/>
    </xf>
    <xf numFmtId="0" fontId="0" fillId="34" borderId="71" xfId="0" applyFill="1" applyBorder="1" applyAlignment="1">
      <alignment vertical="center" wrapText="1"/>
    </xf>
    <xf numFmtId="0" fontId="0" fillId="34" borderId="86" xfId="0" applyFill="1" applyBorder="1" applyAlignment="1">
      <alignment vertical="center" wrapText="1"/>
    </xf>
    <xf numFmtId="0" fontId="12" fillId="34" borderId="120" xfId="0" applyFont="1" applyFill="1" applyBorder="1" applyAlignment="1" applyProtection="1">
      <alignment horizontal="left" vertical="center" wrapText="1"/>
      <protection hidden="1"/>
    </xf>
    <xf numFmtId="0" fontId="12" fillId="34" borderId="121" xfId="0" applyFont="1" applyFill="1" applyBorder="1" applyAlignment="1" applyProtection="1">
      <alignment horizontal="left" vertical="center" wrapText="1"/>
      <protection hidden="1"/>
    </xf>
    <xf numFmtId="0" fontId="12" fillId="34" borderId="70" xfId="0" applyFont="1" applyFill="1" applyBorder="1" applyAlignment="1" applyProtection="1">
      <alignment horizontal="left" vertical="center" wrapText="1"/>
      <protection hidden="1"/>
    </xf>
    <xf numFmtId="0" fontId="0" fillId="34" borderId="71" xfId="0" applyFill="1" applyBorder="1" applyAlignment="1">
      <alignment horizontal="left" vertical="center" wrapText="1"/>
    </xf>
    <xf numFmtId="0" fontId="0" fillId="34" borderId="86" xfId="0" applyFill="1" applyBorder="1" applyAlignment="1">
      <alignment horizontal="left" vertical="center" wrapText="1"/>
    </xf>
    <xf numFmtId="0" fontId="12" fillId="25" borderId="115" xfId="0" applyFont="1" applyFill="1" applyBorder="1" applyAlignment="1" applyProtection="1">
      <alignment horizontal="left" vertical="center" wrapText="1"/>
      <protection hidden="1"/>
    </xf>
    <xf numFmtId="0" fontId="12" fillId="25" borderId="116" xfId="0" applyFont="1" applyFill="1" applyBorder="1" applyAlignment="1" applyProtection="1">
      <alignment horizontal="left" vertical="center" wrapText="1"/>
      <protection hidden="1"/>
    </xf>
    <xf numFmtId="0" fontId="12" fillId="25" borderId="117" xfId="0" applyFont="1" applyFill="1" applyBorder="1" applyAlignment="1" applyProtection="1">
      <alignment horizontal="left" vertical="center" wrapText="1"/>
      <protection hidden="1"/>
    </xf>
    <xf numFmtId="0" fontId="12" fillId="25" borderId="128" xfId="0" applyFont="1" applyFill="1" applyBorder="1" applyAlignment="1" applyProtection="1">
      <alignment horizontal="left" vertical="center" wrapText="1"/>
      <protection hidden="1"/>
    </xf>
    <xf numFmtId="0" fontId="12" fillId="25" borderId="146" xfId="0" applyFont="1" applyFill="1" applyBorder="1" applyAlignment="1" applyProtection="1">
      <alignment horizontal="left" vertical="center" wrapText="1"/>
      <protection hidden="1"/>
    </xf>
    <xf numFmtId="0" fontId="12" fillId="25" borderId="147"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shrinkToFit="1"/>
      <protection hidden="1"/>
    </xf>
    <xf numFmtId="0" fontId="12" fillId="34" borderId="86" xfId="0" applyFont="1" applyFill="1" applyBorder="1" applyAlignment="1" applyProtection="1">
      <alignment horizontal="left" vertical="center" shrinkToFit="1"/>
      <protection hidden="1"/>
    </xf>
    <xf numFmtId="0" fontId="170" fillId="30" borderId="92" xfId="0" applyFont="1" applyFill="1" applyBorder="1" applyAlignment="1" applyProtection="1">
      <alignment horizontal="left" vertical="center" wrapText="1" shrinkToFit="1"/>
      <protection hidden="1"/>
    </xf>
    <xf numFmtId="0" fontId="170" fillId="30" borderId="71" xfId="0" applyFont="1" applyFill="1" applyBorder="1" applyAlignment="1" applyProtection="1">
      <alignment horizontal="left" vertical="center" wrapText="1" shrinkToFit="1"/>
      <protection hidden="1"/>
    </xf>
    <xf numFmtId="0" fontId="202" fillId="25" borderId="119" xfId="0" applyFont="1" applyFill="1" applyBorder="1" applyAlignment="1" applyProtection="1">
      <alignment horizontal="left" vertical="center" wrapText="1"/>
      <protection hidden="1"/>
    </xf>
    <xf numFmtId="0" fontId="202" fillId="25" borderId="120" xfId="0" applyFont="1" applyFill="1" applyBorder="1" applyAlignment="1" applyProtection="1">
      <alignment horizontal="left" vertical="center" wrapText="1"/>
      <protection hidden="1"/>
    </xf>
    <xf numFmtId="0" fontId="202" fillId="25" borderId="121" xfId="0" applyFont="1" applyFill="1" applyBorder="1" applyAlignment="1" applyProtection="1">
      <alignment horizontal="left" vertical="center" wrapText="1"/>
      <protection hidden="1"/>
    </xf>
    <xf numFmtId="191" fontId="26" fillId="40" borderId="179" xfId="0" applyNumberFormat="1" applyFont="1" applyFill="1" applyBorder="1" applyAlignment="1" applyProtection="1">
      <alignment horizontal="center" vertical="center"/>
      <protection hidden="1"/>
    </xf>
    <xf numFmtId="191" fontId="26" fillId="40" borderId="113" xfId="0" applyNumberFormat="1" applyFont="1" applyFill="1" applyBorder="1" applyAlignment="1" applyProtection="1">
      <alignment horizontal="center" vertical="center"/>
      <protection hidden="1"/>
    </xf>
    <xf numFmtId="0" fontId="12" fillId="25" borderId="115" xfId="0" applyFont="1" applyFill="1" applyBorder="1" applyAlignment="1" applyProtection="1">
      <alignment horizontal="left" vertical="top" wrapText="1"/>
      <protection hidden="1"/>
    </xf>
    <xf numFmtId="0" fontId="12" fillId="25" borderId="116" xfId="0" applyFont="1" applyFill="1" applyBorder="1" applyAlignment="1" applyProtection="1">
      <alignment horizontal="left" vertical="top" wrapText="1"/>
      <protection hidden="1"/>
    </xf>
    <xf numFmtId="0" fontId="12" fillId="25" borderId="117" xfId="0" applyFont="1" applyFill="1" applyBorder="1" applyAlignment="1" applyProtection="1">
      <alignment horizontal="left" vertical="top" wrapText="1"/>
      <protection hidden="1"/>
    </xf>
    <xf numFmtId="0" fontId="12" fillId="25" borderId="119" xfId="0" applyFont="1" applyFill="1" applyBorder="1" applyAlignment="1" applyProtection="1">
      <alignment horizontal="left" vertical="top" wrapText="1"/>
      <protection hidden="1"/>
    </xf>
    <xf numFmtId="0" fontId="0" fillId="0" borderId="120" xfId="0" applyBorder="1" applyAlignment="1">
      <alignment horizontal="left" vertical="top" wrapText="1"/>
    </xf>
    <xf numFmtId="0" fontId="0" fillId="0" borderId="121" xfId="0" applyBorder="1" applyAlignment="1">
      <alignment horizontal="left" vertical="top" wrapText="1"/>
    </xf>
    <xf numFmtId="0" fontId="12" fillId="34" borderId="119" xfId="0" applyFont="1" applyFill="1" applyBorder="1" applyAlignment="1" applyProtection="1">
      <alignment horizontal="left" vertical="top" wrapText="1"/>
      <protection hidden="1"/>
    </xf>
    <xf numFmtId="0" fontId="12" fillId="34" borderId="128" xfId="0" applyFont="1" applyFill="1" applyBorder="1" applyAlignment="1" applyProtection="1">
      <alignment horizontal="left" vertical="top" wrapText="1"/>
      <protection hidden="1"/>
    </xf>
    <xf numFmtId="0" fontId="0" fillId="0" borderId="146" xfId="0" applyBorder="1" applyAlignment="1">
      <alignment horizontal="left" vertical="top" wrapText="1"/>
    </xf>
    <xf numFmtId="0" fontId="0" fillId="0" borderId="147" xfId="0" applyBorder="1" applyAlignment="1">
      <alignment horizontal="left" vertical="top" wrapText="1"/>
    </xf>
    <xf numFmtId="9" fontId="12" fillId="37" borderId="34" xfId="28" applyFont="1" applyFill="1" applyBorder="1" applyAlignment="1">
      <alignment horizontal="center" vertical="center"/>
    </xf>
    <xf numFmtId="0" fontId="202" fillId="0" borderId="14" xfId="0" applyFont="1" applyBorder="1" applyAlignment="1" applyProtection="1">
      <alignment horizontal="left" vertical="center"/>
      <protection hidden="1"/>
    </xf>
    <xf numFmtId="0" fontId="202" fillId="0" borderId="20" xfId="0" applyFont="1" applyBorder="1" applyAlignment="1" applyProtection="1">
      <alignment horizontal="left" vertical="center"/>
      <protection hidden="1"/>
    </xf>
    <xf numFmtId="0" fontId="202" fillId="0" borderId="21" xfId="0" applyFont="1" applyBorder="1" applyAlignment="1" applyProtection="1">
      <alignment horizontal="left" vertical="center"/>
      <protection hidden="1"/>
    </xf>
    <xf numFmtId="0" fontId="2" fillId="35" borderId="19" xfId="0" applyFont="1" applyFill="1" applyBorder="1" applyAlignment="1" applyProtection="1">
      <alignment horizontal="center" vertical="center"/>
      <protection locked="0"/>
    </xf>
    <xf numFmtId="0" fontId="202" fillId="0" borderId="19" xfId="0" applyFont="1" applyBorder="1" applyAlignment="1" applyProtection="1">
      <alignment horizontal="left" vertical="center" wrapText="1"/>
      <protection hidden="1"/>
    </xf>
    <xf numFmtId="0" fontId="186" fillId="0" borderId="14" xfId="0" applyFont="1" applyBorder="1" applyAlignment="1" applyProtection="1">
      <alignment horizontal="center" vertical="center"/>
      <protection hidden="1"/>
    </xf>
    <xf numFmtId="0" fontId="186" fillId="0" borderId="20" xfId="0" applyFont="1" applyBorder="1" applyAlignment="1" applyProtection="1">
      <alignment horizontal="center" vertical="center"/>
      <protection hidden="1"/>
    </xf>
    <xf numFmtId="0" fontId="186" fillId="0" borderId="21" xfId="0" applyFont="1" applyBorder="1" applyAlignment="1" applyProtection="1">
      <alignment horizontal="center" vertical="center"/>
      <protection hidden="1"/>
    </xf>
    <xf numFmtId="0" fontId="12" fillId="37" borderId="34" xfId="0" applyFont="1" applyFill="1" applyBorder="1" applyAlignment="1">
      <alignment horizontal="center" vertical="center"/>
    </xf>
    <xf numFmtId="195" fontId="12" fillId="37" borderId="34" xfId="28" applyNumberFormat="1" applyFont="1" applyFill="1" applyBorder="1" applyAlignment="1">
      <alignment horizontal="center" vertical="center"/>
    </xf>
    <xf numFmtId="0" fontId="186" fillId="0" borderId="26" xfId="0" applyFont="1" applyBorder="1" applyAlignment="1" applyProtection="1">
      <alignment horizontal="center" vertical="center"/>
      <protection hidden="1"/>
    </xf>
    <xf numFmtId="0" fontId="186" fillId="0" borderId="19" xfId="0" applyFont="1" applyBorder="1" applyAlignment="1" applyProtection="1">
      <alignment horizontal="center" vertical="center"/>
      <protection hidden="1"/>
    </xf>
    <xf numFmtId="0" fontId="12" fillId="25" borderId="69" xfId="0" applyFont="1" applyFill="1" applyBorder="1" applyAlignment="1" applyProtection="1">
      <alignment horizontal="left" vertical="center" wrapText="1"/>
      <protection hidden="1"/>
    </xf>
    <xf numFmtId="0" fontId="12" fillId="25" borderId="35" xfId="0" applyFont="1" applyFill="1" applyBorder="1" applyAlignment="1" applyProtection="1">
      <alignment horizontal="left" vertical="center" wrapText="1"/>
      <protection hidden="1"/>
    </xf>
    <xf numFmtId="0" fontId="12" fillId="25" borderId="45" xfId="0" applyFont="1" applyFill="1" applyBorder="1" applyAlignment="1" applyProtection="1">
      <alignment horizontal="left" vertical="center" wrapText="1"/>
      <protection hidden="1"/>
    </xf>
    <xf numFmtId="0" fontId="12" fillId="25" borderId="68" xfId="0" applyFont="1" applyFill="1" applyBorder="1" applyAlignment="1" applyProtection="1">
      <alignment horizontal="left" vertical="center" wrapText="1"/>
      <protection hidden="1"/>
    </xf>
    <xf numFmtId="0" fontId="12" fillId="25" borderId="0" xfId="0" applyFont="1" applyFill="1" applyAlignment="1" applyProtection="1">
      <alignment horizontal="left" vertical="center" wrapText="1"/>
      <protection hidden="1"/>
    </xf>
    <xf numFmtId="0" fontId="12" fillId="25" borderId="47" xfId="0" applyFont="1" applyFill="1" applyBorder="1" applyAlignment="1" applyProtection="1">
      <alignment horizontal="left" vertical="center" wrapText="1"/>
      <protection hidden="1"/>
    </xf>
    <xf numFmtId="0" fontId="12" fillId="25" borderId="91" xfId="0" applyFont="1" applyFill="1" applyBorder="1" applyAlignment="1" applyProtection="1">
      <alignment horizontal="left" vertical="center" wrapText="1"/>
      <protection hidden="1"/>
    </xf>
    <xf numFmtId="0" fontId="12" fillId="25" borderId="12" xfId="0" applyFont="1" applyFill="1" applyBorder="1" applyAlignment="1" applyProtection="1">
      <alignment horizontal="left" vertical="center" wrapText="1"/>
      <protection hidden="1"/>
    </xf>
    <xf numFmtId="0" fontId="12" fillId="25" borderId="90" xfId="0" applyFont="1" applyFill="1" applyBorder="1" applyAlignment="1" applyProtection="1">
      <alignment horizontal="left" vertical="center" wrapText="1"/>
      <protection hidden="1"/>
    </xf>
    <xf numFmtId="0" fontId="0" fillId="0" borderId="71" xfId="0" applyBorder="1" applyAlignment="1">
      <alignment horizontal="left" vertical="center" wrapText="1"/>
    </xf>
    <xf numFmtId="0" fontId="0" fillId="0" borderId="86" xfId="0" applyBorder="1" applyAlignment="1">
      <alignment horizontal="left" vertical="center" wrapText="1"/>
    </xf>
    <xf numFmtId="0" fontId="12" fillId="34" borderId="35" xfId="0" applyFont="1" applyFill="1" applyBorder="1" applyAlignment="1" applyProtection="1">
      <alignment horizontal="center" vertical="center" wrapText="1"/>
      <protection hidden="1"/>
    </xf>
    <xf numFmtId="0" fontId="12" fillId="34" borderId="0" xfId="0" applyFont="1" applyFill="1" applyAlignment="1" applyProtection="1">
      <alignment horizontal="center" vertical="center" wrapText="1"/>
      <protection hidden="1"/>
    </xf>
    <xf numFmtId="0" fontId="12" fillId="34" borderId="12" xfId="0" applyFont="1" applyFill="1" applyBorder="1" applyAlignment="1" applyProtection="1">
      <alignment horizontal="center" vertical="center" wrapText="1"/>
      <protection hidden="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0.0]" xfId="37" xr:uid="{00000000-0005-0000-0000-000024000000}"/>
    <cellStyle name="桁区切り 4" xfId="52" xr:uid="{A0B79379-C051-4680-B2B3-C7D1532DD512}"/>
    <cellStyle name="見出し 1" xfId="38" builtinId="16" customBuiltin="1"/>
    <cellStyle name="見出し 2" xfId="39" builtinId="17" customBuiltin="1"/>
    <cellStyle name="見出し 3" xfId="40" builtinId="18" customBuiltin="1"/>
    <cellStyle name="見出し 4" xfId="41" builtinId="19" customBuiltin="1"/>
    <cellStyle name="見出し１" xfId="42" xr:uid="{00000000-0005-0000-0000-000029000000}"/>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3" xfId="51" xr:uid="{A5A3F861-7E12-4516-AB32-E1053161B782}"/>
    <cellStyle name="標準 4" xfId="53" xr:uid="{24DAABAC-274A-4746-9A5E-62C9AF5F1010}"/>
    <cellStyle name="標準_070627LCCO2計算" xfId="48" xr:uid="{00000000-0005-0000-0000-000030000000}"/>
    <cellStyle name="表?-?-?" xfId="49" xr:uid="{00000000-0005-0000-0000-000033000000}"/>
    <cellStyle name="良い" xfId="50" builtinId="26" customBuiltin="1"/>
  </cellStyles>
  <dxfs count="1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indexed="14"/>
        </patternFill>
      </fill>
    </dxf>
    <dxf>
      <fill>
        <patternFill patternType="solid">
          <fgColor auto="1"/>
          <bgColor theme="0" tint="-0.24994659260841701"/>
        </patternFill>
      </fill>
    </dxf>
    <dxf>
      <fill>
        <patternFill>
          <bgColor indexed="14"/>
        </patternFill>
      </fill>
    </dxf>
    <dxf>
      <fill>
        <patternFill patternType="solid">
          <bgColor theme="0" tint="-0.24994659260841701"/>
        </patternFill>
      </fill>
    </dxf>
    <dxf>
      <fill>
        <patternFill>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27"/>
        </patternFill>
      </fill>
    </dxf>
    <dxf>
      <font>
        <condense val="0"/>
        <extend val="0"/>
        <color auto="1"/>
      </font>
      <fill>
        <patternFill>
          <bgColor indexed="47"/>
        </patternFill>
      </fill>
    </dxf>
    <dxf>
      <font>
        <condense val="0"/>
        <extend val="0"/>
        <color auto="1"/>
      </font>
      <fill>
        <patternFill>
          <bgColor indexed="47"/>
        </patternFill>
      </fill>
    </dxf>
    <dxf>
      <fill>
        <patternFill>
          <bgColor indexed="47"/>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dxf>
    <dxf>
      <fill>
        <patternFill>
          <bgColor rgb="FFFFFF00"/>
        </patternFill>
      </fill>
    </dxf>
    <dxf>
      <font>
        <b val="0"/>
        <i val="0"/>
        <color theme="0" tint="-0.499984740745262"/>
      </font>
      <fill>
        <patternFill patternType="none">
          <bgColor auto="1"/>
        </patternFill>
      </fill>
    </dxf>
    <dxf>
      <fill>
        <patternFill>
          <bgColor indexed="27"/>
        </patternFill>
      </fill>
    </dxf>
    <dxf>
      <fill>
        <patternFill>
          <bgColor indexed="27"/>
        </patternFill>
      </fill>
    </dxf>
    <dxf>
      <fill>
        <patternFill>
          <bgColor indexed="47"/>
        </patternFill>
      </fill>
    </dxf>
    <dxf>
      <font>
        <condense val="0"/>
        <extend val="0"/>
        <color auto="1"/>
      </font>
      <fill>
        <patternFill>
          <bgColor indexed="47"/>
        </patternFill>
      </fill>
    </dxf>
    <dxf>
      <fill>
        <patternFill>
          <bgColor indexed="27"/>
        </patternFill>
      </fill>
    </dxf>
  </dxfs>
  <tableStyles count="0" defaultTableStyle="TableStyleMedium2" defaultPivotStyle="PivotStyleLight16"/>
  <colors>
    <mruColors>
      <color rgb="FFCCFFFF"/>
      <color rgb="FFC0C0C0"/>
      <color rgb="FFFFFFCC"/>
      <color rgb="FF00CC66"/>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charts/_rels/chart13.xml.rels><?xml version="1.0" encoding="UTF-8" standalone="yes"?>
<Relationships xmlns="http://schemas.openxmlformats.org/package/2006/relationships"><Relationship Id="rId1" Type="http://schemas.openxmlformats.org/officeDocument/2006/relationships/image" Target="../media/image21.png"/></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jpeg"/></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charts/_rels/chart27.xml.rels><?xml version="1.0" encoding="UTF-8" standalone="yes"?>
<Relationships xmlns="http://schemas.openxmlformats.org/package/2006/relationships"><Relationship Id="rId1" Type="http://schemas.openxmlformats.org/officeDocument/2006/relationships/image" Target="../media/image21.png"/></Relationships>
</file>

<file path=xl/charts/_rels/chart2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jpe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openxmlformats.org/officeDocument/2006/relationships/image" Target="../media/image27.png"/><Relationship Id="rId1" Type="http://schemas.openxmlformats.org/officeDocument/2006/relationships/image" Target="../media/image26.png"/></Relationships>
</file>

<file path=xl/charts/_rels/chart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 (2)'!$AD$29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3E1A-468C-8AC6-FED07AAE1594}"/>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3E1A-468C-8AC6-FED07AAE1594}"/>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3E1A-468C-8AC6-FED07AAE1594}"/>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3E1A-468C-8AC6-FED07AAE1594}"/>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3E1A-468C-8AC6-FED07AAE1594}"/>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3E1A-468C-8AC6-FED07AAE1594}"/>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3E1A-468C-8AC6-FED07AAE1594}"/>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3E1A-468C-8AC6-FED07AAE1594}"/>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3E1A-468C-8AC6-FED07AAE1594}"/>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3E1A-468C-8AC6-FED07AAE1594}"/>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3E1A-468C-8AC6-FED07AAE1594}"/>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3E1A-468C-8AC6-FED07AAE1594}"/>
              </c:ext>
            </c:extLst>
          </c:dPt>
          <c:cat>
            <c:strRef>
              <c:f>'結果 (2)'!$AC$30:$AC$41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 (2)'!$AD$30:$AD$41</c:f>
              <c:numCache>
                <c:formatCode>0.0_);[Red]\(0.0\)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18-3E1A-468C-8AC6-FED07AAE1594}"/>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1E0-4149-AF5F-E803F23CFBD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1E0-4149-AF5F-E803F23CFBD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1E0-4149-AF5F-E803F23CFBD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(2)'!$U$60:$U$62</c:f>
              <c:strCache>
                <c:ptCount val="3"/>
                <c:pt idx="0">
                  <c:v>土地資源</c:v>
                </c:pt>
                <c:pt idx="1">
                  <c:v>水資源</c:v>
                </c:pt>
                <c:pt idx="2">
                  <c:v>資源循環</c:v>
                </c:pt>
              </c:strCache>
            </c:strRef>
          </c:cat>
          <c:val>
            <c:numRef>
              <c:f>'結果 (2)'!$V$60:$V$62</c:f>
              <c:numCache>
                <c:formatCode>0.0_ </c:formatCode>
                <c:ptCount val="3"/>
                <c:pt idx="0">
                  <c:v>3</c:v>
                </c:pt>
                <c:pt idx="1">
                  <c:v>3.1</c:v>
                </c:pt>
                <c:pt idx="2">
                  <c:v>3</c:v>
                </c:pt>
              </c:numCache>
            </c:numRef>
          </c:val>
          <c:extLst>
            <c:ext xmlns:c16="http://schemas.microsoft.com/office/drawing/2014/chart" uri="{C3380CC4-5D6E-409C-BE32-E72D297353CC}">
              <c16:uniqueId val="{00000003-A1E0-4149-AF5F-E803F23CFBD4}"/>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F7C-4C69-B6E1-BD706F6ED1D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F7C-4C69-B6E1-BD706F6ED1D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F7C-4C69-B6E1-BD706F6ED1D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(2)'!$X$60:$X$62</c:f>
              <c:strCache>
                <c:ptCount val="3"/>
                <c:pt idx="0">
                  <c:v>地球温暖化
負荷の削減</c:v>
                </c:pt>
                <c:pt idx="1">
                  <c:v>交通負荷
の削減</c:v>
                </c:pt>
                <c:pt idx="2">
                  <c:v>環境阻害
の削減</c:v>
                </c:pt>
              </c:strCache>
            </c:strRef>
          </c:cat>
          <c:val>
            <c:numRef>
              <c:f>'結果 (2)'!$Y$60:$Y$62</c:f>
              <c:numCache>
                <c:formatCode>0.0_ </c:formatCode>
                <c:ptCount val="3"/>
                <c:pt idx="0">
                  <c:v>2</c:v>
                </c:pt>
                <c:pt idx="1">
                  <c:v>3</c:v>
                </c:pt>
                <c:pt idx="2">
                  <c:v>2.9</c:v>
                </c:pt>
              </c:numCache>
            </c:numRef>
          </c:val>
          <c:extLst>
            <c:ext xmlns:c16="http://schemas.microsoft.com/office/drawing/2014/chart" uri="{C3380CC4-5D6E-409C-BE32-E72D297353CC}">
              <c16:uniqueId val="{00000003-8F7C-4C69-B6E1-BD706F6ED1D1}"/>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6774-43BC-9402-1353E27D676A}"/>
              </c:ext>
            </c:extLst>
          </c:dPt>
          <c:cat>
            <c:strRef>
              <c:f>'結果 (2)'!$AC$25:$AE$25</c:f>
              <c:strCache>
                <c:ptCount val="1"/>
                <c:pt idx="0">
                  <c:v>SDGsRank(Ring)</c:v>
                </c:pt>
              </c:strCache>
            </c:strRef>
          </c:cat>
          <c:val>
            <c:numRef>
              <c:f>'結果 (2)'!$AF$25</c:f>
              <c:numCache>
                <c:formatCode>0.00_ </c:formatCode>
                <c:ptCount val="1"/>
                <c:pt idx="0">
                  <c:v>0.2</c:v>
                </c:pt>
              </c:numCache>
            </c:numRef>
          </c:val>
          <c:extLst>
            <c:ext xmlns:c16="http://schemas.microsoft.com/office/drawing/2014/chart" uri="{C3380CC4-5D6E-409C-BE32-E72D297353CC}">
              <c16:uniqueId val="{00000001-6774-43BC-9402-1353E27D676A}"/>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 (2)'!$AC$25:$AE$25</c:f>
              <c:strCache>
                <c:ptCount val="1"/>
                <c:pt idx="0">
                  <c:v>SDGsRank(Ring)</c:v>
                </c:pt>
              </c:strCache>
            </c:strRef>
          </c:cat>
          <c:val>
            <c:numRef>
              <c:f>'結果 (2)'!$AF$26</c:f>
              <c:numCache>
                <c:formatCode>0.00_ </c:formatCode>
                <c:ptCount val="1"/>
                <c:pt idx="0">
                  <c:v>0.8</c:v>
                </c:pt>
              </c:numCache>
            </c:numRef>
          </c:val>
          <c:extLst>
            <c:ext xmlns:c16="http://schemas.microsoft.com/office/drawing/2014/chart" uri="{C3380CC4-5D6E-409C-BE32-E72D297353CC}">
              <c16:uniqueId val="{00000002-6774-43BC-9402-1353E27D676A}"/>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tx>
            <c:strRef>
              <c:f>'結果 (2)'!$W$7</c:f>
              <c:strCache>
                <c:ptCount val="1"/>
                <c:pt idx="0">
                  <c:v>background</c:v>
                </c:pt>
              </c:strCache>
            </c:strRef>
          </c:tx>
          <c:spPr>
            <a:blipFill dpi="0" rotWithShape="0">
              <a:blip xmlns:r="http://schemas.openxmlformats.org/officeDocument/2006/relationships" r:embed="rId1"/>
              <a:srcRect/>
              <a:stretch>
                <a:fillRect/>
              </a:stretch>
            </a:blip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EF3F-42EA-BC8B-042350E6CE75}"/>
            </c:ext>
          </c:extLst>
        </c:ser>
        <c:ser>
          <c:idx val="1"/>
          <c:order val="1"/>
          <c:tx>
            <c:strRef>
              <c:f>'結果 (2)'!$X$7</c:f>
              <c:strCache>
                <c:ptCount val="1"/>
                <c:pt idx="0">
                  <c:v>4</c:v>
                </c:pt>
              </c:strCache>
            </c:strRef>
          </c:tx>
          <c:spPr>
            <a:no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EF3F-42EA-BC8B-042350E6CE75}"/>
            </c:ext>
          </c:extLst>
        </c:ser>
        <c:ser>
          <c:idx val="2"/>
          <c:order val="2"/>
          <c:tx>
            <c:strRef>
              <c:f>'結果 (2)'!$Y$7</c:f>
              <c:strCache>
                <c:ptCount val="1"/>
                <c:pt idx="0">
                  <c:v>2</c:v>
                </c:pt>
              </c:strCache>
            </c:strRef>
          </c:tx>
          <c:spPr>
            <a:no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EF3F-42EA-BC8B-042350E6CE75}"/>
            </c:ext>
          </c:extLst>
        </c:ser>
        <c:ser>
          <c:idx val="3"/>
          <c:order val="3"/>
          <c:tx>
            <c:strRef>
              <c:f>'結果 (2)'!$Z$7</c:f>
              <c:strCache>
                <c:ptCount val="1"/>
                <c:pt idx="0">
                  <c:v>Score(RoundDown)</c:v>
                </c:pt>
              </c:strCache>
            </c:strRef>
          </c:tx>
          <c:spPr>
            <a:pattFill prst="pct50">
              <a:fgClr>
                <a:srgbClr val="CCCCFF"/>
              </a:fgClr>
              <a:bgClr>
                <a:srgbClr val="FFFFFF"/>
              </a:bgClr>
            </a:patt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(2)'!$Z$8:$Z$13</c:f>
              <c:numCache>
                <c:formatCode>General</c:formatCode>
                <c:ptCount val="6"/>
                <c:pt idx="0">
                  <c:v>3</c:v>
                </c:pt>
                <c:pt idx="1">
                  <c:v>3.1</c:v>
                </c:pt>
                <c:pt idx="2">
                  <c:v>2.6</c:v>
                </c:pt>
                <c:pt idx="3">
                  <c:v>3</c:v>
                </c:pt>
                <c:pt idx="4">
                  <c:v>3</c:v>
                </c:pt>
                <c:pt idx="5">
                  <c:v>3</c:v>
                </c:pt>
              </c:numCache>
            </c:numRef>
          </c:val>
          <c:extLst>
            <c:ext xmlns:c16="http://schemas.microsoft.com/office/drawing/2014/chart" uri="{C3380CC4-5D6E-409C-BE32-E72D297353CC}">
              <c16:uniqueId val="{00000003-EF3F-42EA-BC8B-042350E6CE75}"/>
            </c:ext>
          </c:extLst>
        </c:ser>
        <c:ser>
          <c:idx val="4"/>
          <c:order val="4"/>
          <c:tx>
            <c:strRef>
              <c:f>'結果 (2)'!$AA$7</c:f>
              <c:strCache>
                <c:ptCount val="1"/>
                <c:pt idx="0">
                  <c:v>std</c:v>
                </c:pt>
              </c:strCache>
            </c:strRef>
          </c:tx>
          <c:spPr>
            <a:noFill/>
            <a:ln w="12700">
              <a:solidFill>
                <a:srgbClr val="FF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EF3F-42EA-BC8B-042350E6CE75}"/>
            </c:ext>
          </c:extLst>
        </c:ser>
        <c:dLbls>
          <c:showLegendKey val="0"/>
          <c:showVal val="0"/>
          <c:showCatName val="0"/>
          <c:showSerName val="0"/>
          <c:showPercent val="0"/>
          <c:showBubbleSize val="0"/>
        </c:dLbls>
        <c:axId val="497763576"/>
        <c:axId val="497763968"/>
      </c:radarChart>
      <c:catAx>
        <c:axId val="497763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497763968"/>
        <c:crosses val="autoZero"/>
        <c:auto val="0"/>
        <c:lblAlgn val="ctr"/>
        <c:lblOffset val="100"/>
        <c:noMultiLvlLbl val="0"/>
      </c:catAx>
      <c:valAx>
        <c:axId val="49776396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9776357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 (2)'!$AC$49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(2)'!$AD$49:$AE$49</c:f>
              <c:numCache>
                <c:formatCode>General</c:formatCode>
                <c:ptCount val="2"/>
                <c:pt idx="0" formatCode="0.0">
                  <c:v>3</c:v>
                </c:pt>
              </c:numCache>
            </c:numRef>
          </c:val>
          <c:extLst>
            <c:ext xmlns:c16="http://schemas.microsoft.com/office/drawing/2014/chart" uri="{C3380CC4-5D6E-409C-BE32-E72D297353CC}">
              <c16:uniqueId val="{00000000-5FD2-47E1-BEA8-ED3979E35785}"/>
            </c:ext>
          </c:extLst>
        </c:ser>
        <c:ser>
          <c:idx val="1"/>
          <c:order val="1"/>
          <c:tx>
            <c:strRef>
              <c:f>'結果 (2)'!$AC$50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(2)'!$AD$50:$AE$50</c:f>
              <c:numCache>
                <c:formatCode>General</c:formatCode>
                <c:ptCount val="2"/>
                <c:pt idx="0" formatCode="0.0">
                  <c:v>3</c:v>
                </c:pt>
              </c:numCache>
            </c:numRef>
          </c:val>
          <c:extLst>
            <c:ext xmlns:c16="http://schemas.microsoft.com/office/drawing/2014/chart" uri="{C3380CC4-5D6E-409C-BE32-E72D297353CC}">
              <c16:uniqueId val="{00000001-5FD2-47E1-BEA8-ED3979E35785}"/>
            </c:ext>
          </c:extLst>
        </c:ser>
        <c:ser>
          <c:idx val="2"/>
          <c:order val="2"/>
          <c:tx>
            <c:strRef>
              <c:f>'結果 (2)'!$AC$51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(2)'!$AD$51:$AE$51</c:f>
              <c:numCache>
                <c:formatCode>General</c:formatCode>
                <c:ptCount val="2"/>
                <c:pt idx="0" formatCode="0.0">
                  <c:v>3</c:v>
                </c:pt>
              </c:numCache>
            </c:numRef>
          </c:val>
          <c:extLst>
            <c:ext xmlns:c16="http://schemas.microsoft.com/office/drawing/2014/chart" uri="{C3380CC4-5D6E-409C-BE32-E72D297353CC}">
              <c16:uniqueId val="{00000002-5FD2-47E1-BEA8-ED3979E35785}"/>
            </c:ext>
          </c:extLst>
        </c:ser>
        <c:ser>
          <c:idx val="3"/>
          <c:order val="3"/>
          <c:tx>
            <c:strRef>
              <c:f>'結果 (2)'!$AC$52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(2)'!$AD$52:$AE$52</c:f>
              <c:numCache>
                <c:formatCode>General</c:formatCode>
                <c:ptCount val="2"/>
                <c:pt idx="0" formatCode="0.0">
                  <c:v>3</c:v>
                </c:pt>
              </c:numCache>
            </c:numRef>
          </c:val>
          <c:extLst>
            <c:ext xmlns:c16="http://schemas.microsoft.com/office/drawing/2014/chart" uri="{C3380CC4-5D6E-409C-BE32-E72D297353CC}">
              <c16:uniqueId val="{00000003-5FD2-47E1-BEA8-ED3979E35785}"/>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 (2)'!$AC$60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(2)'!$AD$60:$AE$60</c:f>
              <c:numCache>
                <c:formatCode>General</c:formatCode>
                <c:ptCount val="2"/>
                <c:pt idx="0" formatCode="0.0">
                  <c:v>3</c:v>
                </c:pt>
              </c:numCache>
            </c:numRef>
          </c:val>
          <c:extLst>
            <c:ext xmlns:c16="http://schemas.microsoft.com/office/drawing/2014/chart" uri="{C3380CC4-5D6E-409C-BE32-E72D297353CC}">
              <c16:uniqueId val="{00000000-9CE7-4E33-898C-B11270C496EF}"/>
            </c:ext>
          </c:extLst>
        </c:ser>
        <c:ser>
          <c:idx val="1"/>
          <c:order val="1"/>
          <c:tx>
            <c:strRef>
              <c:f>'結果 (2)'!$AC$61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(2)'!$AD$61:$AE$61</c:f>
              <c:numCache>
                <c:formatCode>General</c:formatCode>
                <c:ptCount val="2"/>
                <c:pt idx="0" formatCode="0.0">
                  <c:v>3</c:v>
                </c:pt>
              </c:numCache>
            </c:numRef>
          </c:val>
          <c:extLst>
            <c:ext xmlns:c16="http://schemas.microsoft.com/office/drawing/2014/chart" uri="{C3380CC4-5D6E-409C-BE32-E72D297353CC}">
              <c16:uniqueId val="{00000001-9CE7-4E33-898C-B11270C496EF}"/>
            </c:ext>
          </c:extLst>
        </c:ser>
        <c:ser>
          <c:idx val="2"/>
          <c:order val="2"/>
          <c:tx>
            <c:strRef>
              <c:f>'結果 (2)'!$AC$62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(2)'!$AD$62:$AE$62</c:f>
              <c:numCache>
                <c:formatCode>General</c:formatCode>
                <c:ptCount val="2"/>
                <c:pt idx="0" formatCode="0.0">
                  <c:v>3</c:v>
                </c:pt>
              </c:numCache>
            </c:numRef>
          </c:val>
          <c:extLst>
            <c:ext xmlns:c16="http://schemas.microsoft.com/office/drawing/2014/chart" uri="{C3380CC4-5D6E-409C-BE32-E72D297353CC}">
              <c16:uniqueId val="{00000002-9CE7-4E33-898C-B11270C496EF}"/>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結果!$AG$29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4D98-45AA-BD0C-26D1B29FB2D8}"/>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4D98-45AA-BD0C-26D1B29FB2D8}"/>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4D98-45AA-BD0C-26D1B29FB2D8}"/>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4D98-45AA-BD0C-26D1B29FB2D8}"/>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4D98-45AA-BD0C-26D1B29FB2D8}"/>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4D98-45AA-BD0C-26D1B29FB2D8}"/>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4D98-45AA-BD0C-26D1B29FB2D8}"/>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4D98-45AA-BD0C-26D1B29FB2D8}"/>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4D98-45AA-BD0C-26D1B29FB2D8}"/>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4D98-45AA-BD0C-26D1B29FB2D8}"/>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4D98-45AA-BD0C-26D1B29FB2D8}"/>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4D98-45AA-BD0C-26D1B29FB2D8}"/>
              </c:ext>
            </c:extLst>
          </c:dPt>
          <c:cat>
            <c:strRef>
              <c:f>結果!$AF$30:$AF$41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結果!$AG$30:$AG$41</c:f>
              <c:numCache>
                <c:formatCode>0.0_);[Red]\(0.0\)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18-4D98-45AA-BD0C-26D1B29FB2D8}"/>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結果!$S$13</c:f>
              <c:numCache>
                <c:formatCode>#,##0.0;[Red]\-#,##0.0</c:formatCode>
                <c:ptCount val="1"/>
                <c:pt idx="0">
                  <c:v>0.4</c:v>
                </c:pt>
              </c:numCache>
            </c:numRef>
          </c:val>
          <c:extLst>
            <c:ext xmlns:c16="http://schemas.microsoft.com/office/drawing/2014/chart" uri="{C3380CC4-5D6E-409C-BE32-E72D297353CC}">
              <c16:uniqueId val="{00000000-402D-4A2A-86F2-A0134D9E527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結果!$S$14</c:f>
              <c:numCache>
                <c:formatCode>#,##0.0;[Red]\-#,##0.0</c:formatCode>
                <c:ptCount val="1"/>
                <c:pt idx="0">
                  <c:v>0.6</c:v>
                </c:pt>
              </c:numCache>
            </c:numRef>
          </c:val>
          <c:extLst>
            <c:ext xmlns:c16="http://schemas.microsoft.com/office/drawing/2014/chart" uri="{C3380CC4-5D6E-409C-BE32-E72D297353CC}">
              <c16:uniqueId val="{00000001-402D-4A2A-86F2-A0134D9E527E}"/>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B75D-4B9C-B18A-9C10BA1908DA}"/>
              </c:ext>
            </c:extLst>
          </c:dPt>
          <c:cat>
            <c:strRef>
              <c:f>結果!$R$36</c:f>
              <c:strCache>
                <c:ptCount val="1"/>
                <c:pt idx="0">
                  <c:v>Rank(green star)</c:v>
                </c:pt>
              </c:strCache>
            </c:strRef>
          </c:cat>
          <c:val>
            <c:numRef>
              <c:f>結果!$S$36</c:f>
              <c:numCache>
                <c:formatCode>#,##0.0;[Red]\-#,##0.0</c:formatCode>
                <c:ptCount val="1"/>
                <c:pt idx="0">
                  <c:v>0.4</c:v>
                </c:pt>
              </c:numCache>
            </c:numRef>
          </c:val>
          <c:extLst>
            <c:ext xmlns:c16="http://schemas.microsoft.com/office/drawing/2014/chart" uri="{C3380CC4-5D6E-409C-BE32-E72D297353CC}">
              <c16:uniqueId val="{00000002-B75D-4B9C-B18A-9C10BA1908DA}"/>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結果!$R$36</c:f>
              <c:strCache>
                <c:ptCount val="1"/>
                <c:pt idx="0">
                  <c:v>Rank(green star)</c:v>
                </c:pt>
              </c:strCache>
            </c:strRef>
          </c:cat>
          <c:val>
            <c:numRef>
              <c:f>結果!$S$37</c:f>
              <c:numCache>
                <c:formatCode>#,##0.0;[Red]\-#,##0.0</c:formatCode>
                <c:ptCount val="1"/>
                <c:pt idx="0">
                  <c:v>0.6</c:v>
                </c:pt>
              </c:numCache>
            </c:numRef>
          </c:val>
          <c:extLst>
            <c:ext xmlns:c16="http://schemas.microsoft.com/office/drawing/2014/chart" uri="{C3380CC4-5D6E-409C-BE32-E72D297353CC}">
              <c16:uniqueId val="{00000003-B75D-4B9C-B18A-9C10BA1908DA}"/>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結果!$S$30</c:f>
              <c:strCache>
                <c:ptCount val="1"/>
                <c:pt idx="0">
                  <c:v>S</c:v>
                </c:pt>
              </c:strCache>
            </c:strRef>
          </c:tx>
          <c:spPr>
            <a:pattFill prst="pct70">
              <a:fgClr>
                <a:srgbClr val="339966"/>
              </a:fgClr>
              <a:bgClr>
                <a:srgbClr val="FFFFFF"/>
              </a:bgClr>
            </a:pattFill>
            <a:ln w="12700">
              <a:solidFill>
                <a:srgbClr val="000000"/>
              </a:solidFill>
              <a:prstDash val="solid"/>
            </a:ln>
          </c:spPr>
          <c:cat>
            <c:numRef>
              <c:f>結果!$T$24:$U$24</c:f>
              <c:numCache>
                <c:formatCode>General</c:formatCode>
                <c:ptCount val="2"/>
                <c:pt idx="0" formatCode="#,##0_);[Red]\(#,##0\)">
                  <c:v>52.469135802469147</c:v>
                </c:pt>
                <c:pt idx="1">
                  <c:v>0</c:v>
                </c:pt>
              </c:numCache>
            </c:numRef>
          </c:cat>
          <c:val>
            <c:numRef>
              <c:f>結果!$T$30:$Z$30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CBB0-49B8-BC7D-29D3B072E6C6}"/>
            </c:ext>
          </c:extLst>
        </c:ser>
        <c:ser>
          <c:idx val="3"/>
          <c:order val="4"/>
          <c:tx>
            <c:strRef>
              <c:f>結果!$S$31</c:f>
              <c:strCache>
                <c:ptCount val="1"/>
                <c:pt idx="0">
                  <c:v>A</c:v>
                </c:pt>
              </c:strCache>
            </c:strRef>
          </c:tx>
          <c:spPr>
            <a:pattFill prst="pct90">
              <a:fgClr>
                <a:srgbClr val="CCFFCC"/>
              </a:fgClr>
              <a:bgClr>
                <a:srgbClr val="FFFFFF"/>
              </a:bgClr>
            </a:pattFill>
            <a:ln w="12700">
              <a:solidFill>
                <a:srgbClr val="000000"/>
              </a:solidFill>
              <a:prstDash val="solid"/>
            </a:ln>
          </c:spPr>
          <c:cat>
            <c:numRef>
              <c:f>結果!$T$24:$U$24</c:f>
              <c:numCache>
                <c:formatCode>General</c:formatCode>
                <c:ptCount val="2"/>
                <c:pt idx="0" formatCode="#,##0_);[Red]\(#,##0\)">
                  <c:v>52.469135802469147</c:v>
                </c:pt>
                <c:pt idx="1">
                  <c:v>0</c:v>
                </c:pt>
              </c:numCache>
            </c:numRef>
          </c:cat>
          <c:val>
            <c:numRef>
              <c:f>結果!$T$31:$Z$31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CBB0-49B8-BC7D-29D3B072E6C6}"/>
            </c:ext>
          </c:extLst>
        </c:ser>
        <c:ser>
          <c:idx val="2"/>
          <c:order val="5"/>
          <c:tx>
            <c:strRef>
              <c:f>結果!$S$32</c:f>
              <c:strCache>
                <c:ptCount val="1"/>
                <c:pt idx="0">
                  <c:v>B+</c:v>
                </c:pt>
              </c:strCache>
            </c:strRef>
          </c:tx>
          <c:spPr>
            <a:solidFill>
              <a:srgbClr val="FFFFCC"/>
            </a:solidFill>
            <a:ln w="12700">
              <a:solidFill>
                <a:srgbClr val="000000"/>
              </a:solidFill>
              <a:prstDash val="solid"/>
            </a:ln>
          </c:spPr>
          <c:cat>
            <c:numRef>
              <c:f>結果!$T$24:$U$24</c:f>
              <c:numCache>
                <c:formatCode>General</c:formatCode>
                <c:ptCount val="2"/>
                <c:pt idx="0" formatCode="#,##0_);[Red]\(#,##0\)">
                  <c:v>52.469135802469147</c:v>
                </c:pt>
                <c:pt idx="1">
                  <c:v>0</c:v>
                </c:pt>
              </c:numCache>
            </c:numRef>
          </c:cat>
          <c:val>
            <c:numRef>
              <c:f>結果!$T$32:$Z$32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CBB0-49B8-BC7D-29D3B072E6C6}"/>
            </c:ext>
          </c:extLst>
        </c:ser>
        <c:ser>
          <c:idx val="1"/>
          <c:order val="6"/>
          <c:tx>
            <c:strRef>
              <c:f>結果!$S$34</c:f>
              <c:strCache>
                <c:ptCount val="1"/>
                <c:pt idx="0">
                  <c:v>B-</c:v>
                </c:pt>
              </c:strCache>
            </c:strRef>
          </c:tx>
          <c:spPr>
            <a:solidFill>
              <a:srgbClr val="FFFFFF"/>
            </a:solidFill>
            <a:ln w="12700">
              <a:solidFill>
                <a:srgbClr val="000000"/>
              </a:solidFill>
              <a:prstDash val="solid"/>
            </a:ln>
          </c:spPr>
          <c:cat>
            <c:numRef>
              <c:f>結果!$T$24:$U$24</c:f>
              <c:numCache>
                <c:formatCode>General</c:formatCode>
                <c:ptCount val="2"/>
                <c:pt idx="0" formatCode="#,##0_);[Red]\(#,##0\)">
                  <c:v>52.469135802469147</c:v>
                </c:pt>
                <c:pt idx="1">
                  <c:v>0</c:v>
                </c:pt>
              </c:numCache>
            </c:numRef>
          </c:cat>
          <c:val>
            <c:numRef>
              <c:f>結果!$T$34:$Z$34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CBB0-49B8-BC7D-29D3B072E6C6}"/>
            </c:ext>
          </c:extLst>
        </c:ser>
        <c:ser>
          <c:idx val="0"/>
          <c:order val="7"/>
          <c:tx>
            <c:strRef>
              <c:f>結果!$S$33</c:f>
              <c:strCache>
                <c:ptCount val="1"/>
                <c:pt idx="0">
                  <c:v>B</c:v>
                </c:pt>
              </c:strCache>
            </c:strRef>
          </c:tx>
          <c:spPr>
            <a:noFill/>
            <a:ln w="12700">
              <a:solidFill>
                <a:srgbClr val="000000"/>
              </a:solidFill>
              <a:prstDash val="solid"/>
            </a:ln>
          </c:spPr>
          <c:cat>
            <c:numRef>
              <c:f>結果!$T$24:$U$24</c:f>
              <c:numCache>
                <c:formatCode>General</c:formatCode>
                <c:ptCount val="2"/>
                <c:pt idx="0" formatCode="#,##0_);[Red]\(#,##0\)">
                  <c:v>52.469135802469147</c:v>
                </c:pt>
                <c:pt idx="1">
                  <c:v>0</c:v>
                </c:pt>
              </c:numCache>
            </c:numRef>
          </c:cat>
          <c:val>
            <c:numRef>
              <c:f>結果!$T$33:$Z$33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CBB0-49B8-BC7D-29D3B072E6C6}"/>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CBB0-49B8-BC7D-29D3B072E6C6}"/>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B0-49B8-BC7D-29D3B072E6C6}"/>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結果!$R$26:$U$26</c:f>
              <c:numCache>
                <c:formatCode>General</c:formatCode>
                <c:ptCount val="4"/>
                <c:pt idx="0">
                  <c:v>0</c:v>
                </c:pt>
                <c:pt idx="1">
                  <c:v>52.469135802469147</c:v>
                </c:pt>
                <c:pt idx="2" formatCode="#,##0_);[Red]\(#,##0\)">
                  <c:v>52.469135802469147</c:v>
                </c:pt>
                <c:pt idx="3">
                  <c:v>0.1</c:v>
                </c:pt>
              </c:numCache>
            </c:numRef>
          </c:xVal>
          <c:yVal>
            <c:numRef>
              <c:f>結果!$R$27:$U$27</c:f>
              <c:numCache>
                <c:formatCode>General</c:formatCode>
                <c:ptCount val="4"/>
                <c:pt idx="0">
                  <c:v>0</c:v>
                </c:pt>
                <c:pt idx="1">
                  <c:v>0</c:v>
                </c:pt>
                <c:pt idx="2">
                  <c:v>51.807760141093475</c:v>
                </c:pt>
                <c:pt idx="3" formatCode="#,##0_);[Red]\(#,##0\)">
                  <c:v>51.807760141093475</c:v>
                </c:pt>
              </c:numCache>
            </c:numRef>
          </c:yVal>
          <c:smooth val="0"/>
          <c:extLst>
            <c:ext xmlns:c16="http://schemas.microsoft.com/office/drawing/2014/chart" uri="{C3380CC4-5D6E-409C-BE32-E72D297353CC}">
              <c16:uniqueId val="{00000009-CBB0-49B8-BC7D-29D3B072E6C6}"/>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CBB0-49B8-BC7D-29D3B072E6C6}"/>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CBB0-49B8-BC7D-29D3B072E6C6}"/>
              </c:ext>
            </c:extLst>
          </c:dPt>
          <c:xVal>
            <c:numRef>
              <c:f>結果!$R$26:$U$26</c:f>
              <c:numCache>
                <c:formatCode>General</c:formatCode>
                <c:ptCount val="4"/>
                <c:pt idx="0">
                  <c:v>0</c:v>
                </c:pt>
                <c:pt idx="1">
                  <c:v>52.469135802469147</c:v>
                </c:pt>
                <c:pt idx="2" formatCode="#,##0_);[Red]\(#,##0\)">
                  <c:v>52.469135802469147</c:v>
                </c:pt>
                <c:pt idx="3">
                  <c:v>0.1</c:v>
                </c:pt>
              </c:numCache>
            </c:numRef>
          </c:xVal>
          <c:yVal>
            <c:numRef>
              <c:f>結果!$R$27:$U$27</c:f>
              <c:numCache>
                <c:formatCode>General</c:formatCode>
                <c:ptCount val="4"/>
                <c:pt idx="0">
                  <c:v>0</c:v>
                </c:pt>
                <c:pt idx="1">
                  <c:v>0</c:v>
                </c:pt>
                <c:pt idx="2">
                  <c:v>51.807760141093475</c:v>
                </c:pt>
                <c:pt idx="3" formatCode="#,##0_);[Red]\(#,##0\)">
                  <c:v>51.807760141093475</c:v>
                </c:pt>
              </c:numCache>
            </c:numRef>
          </c:yVal>
          <c:smooth val="0"/>
          <c:extLst>
            <c:ext xmlns:c16="http://schemas.microsoft.com/office/drawing/2014/chart" uri="{C3380CC4-5D6E-409C-BE32-E72D297353CC}">
              <c16:uniqueId val="{0000000C-CBB0-49B8-BC7D-29D3B072E6C6}"/>
            </c:ext>
          </c:extLst>
        </c:ser>
        <c:ser>
          <c:idx val="5"/>
          <c:order val="2"/>
          <c:tx>
            <c:strRef>
              <c:f>結果!$S$12</c:f>
              <c:strCache>
                <c:ptCount val="1"/>
                <c:pt idx="0">
                  <c:v>0.9</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CBB0-49B8-BC7D-29D3B072E6C6}"/>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CBB0-49B8-BC7D-29D3B072E6C6}"/>
              </c:ext>
            </c:extLst>
          </c:dPt>
          <c:dPt>
            <c:idx val="2"/>
            <c:bubble3D val="0"/>
            <c:spPr>
              <a:ln w="38100">
                <a:solidFill>
                  <a:srgbClr val="008000"/>
                </a:solidFill>
                <a:prstDash val="solid"/>
              </a:ln>
            </c:spPr>
            <c:extLst>
              <c:ext xmlns:c16="http://schemas.microsoft.com/office/drawing/2014/chart" uri="{C3380CC4-5D6E-409C-BE32-E72D297353CC}">
                <c16:uniqueId val="{00000011-CBB0-49B8-BC7D-29D3B072E6C6}"/>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結果!$S$24:$U$24</c:f>
              <c:numCache>
                <c:formatCode>#,##0_);[Red]\(#,##0\)</c:formatCode>
                <c:ptCount val="3"/>
                <c:pt idx="1">
                  <c:v>52.469135802469147</c:v>
                </c:pt>
                <c:pt idx="2" formatCode="General">
                  <c:v>0</c:v>
                </c:pt>
              </c:numCache>
            </c:numRef>
          </c:xVal>
          <c:yVal>
            <c:numRef>
              <c:f>結果!$S$25:$U$25</c:f>
              <c:numCache>
                <c:formatCode>#,##0_);[Red]\(#,##0\)</c:formatCode>
                <c:ptCount val="3"/>
                <c:pt idx="1">
                  <c:v>51.807760141093475</c:v>
                </c:pt>
                <c:pt idx="2" formatCode="General">
                  <c:v>0</c:v>
                </c:pt>
              </c:numCache>
            </c:numRef>
          </c:yVal>
          <c:smooth val="0"/>
          <c:extLst>
            <c:ext xmlns:c16="http://schemas.microsoft.com/office/drawing/2014/chart" uri="{C3380CC4-5D6E-409C-BE32-E72D297353CC}">
              <c16:uniqueId val="{00000012-CBB0-49B8-BC7D-29D3B072E6C6}"/>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 (2)'!$R$13</c:f>
              <c:strCache>
                <c:ptCount val="1"/>
                <c:pt idx="0">
                  <c:v>Rank(red star)</c:v>
                </c:pt>
              </c:strCache>
            </c:strRef>
          </c:cat>
          <c:val>
            <c:numRef>
              <c:f>'結果 (2)'!$S$13</c:f>
              <c:numCache>
                <c:formatCode>#,##0.0;[Red]\-#,##0.0</c:formatCode>
                <c:ptCount val="1"/>
                <c:pt idx="0">
                  <c:v>0.4</c:v>
                </c:pt>
              </c:numCache>
            </c:numRef>
          </c:val>
          <c:extLst>
            <c:ext xmlns:c16="http://schemas.microsoft.com/office/drawing/2014/chart" uri="{C3380CC4-5D6E-409C-BE32-E72D297353CC}">
              <c16:uniqueId val="{00000000-FC10-40E4-B4CE-D68FB01EDA54}"/>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 (2)'!$R$13</c:f>
              <c:strCache>
                <c:ptCount val="1"/>
                <c:pt idx="0">
                  <c:v>Rank(red star)</c:v>
                </c:pt>
              </c:strCache>
            </c:strRef>
          </c:cat>
          <c:val>
            <c:numRef>
              <c:f>'結果 (2)'!$S$14</c:f>
              <c:numCache>
                <c:formatCode>#,##0.0;[Red]\-#,##0.0</c:formatCode>
                <c:ptCount val="1"/>
                <c:pt idx="0">
                  <c:v>0.6</c:v>
                </c:pt>
              </c:numCache>
            </c:numRef>
          </c:val>
          <c:extLst>
            <c:ext xmlns:c16="http://schemas.microsoft.com/office/drawing/2014/chart" uri="{C3380CC4-5D6E-409C-BE32-E72D297353CC}">
              <c16:uniqueId val="{00000001-FC10-40E4-B4CE-D68FB01EDA54}"/>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616-4E40-83DC-A9A32147ED0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616-4E40-83DC-A9A32147ED0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616-4E40-83DC-A9A32147ED0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A616-4E40-83DC-A9A32147ED0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結果!$R$49:$R$52</c:f>
              <c:strCache>
                <c:ptCount val="4"/>
                <c:pt idx="0">
                  <c:v>自然環境</c:v>
                </c:pt>
                <c:pt idx="1">
                  <c:v>生活環境</c:v>
                </c:pt>
                <c:pt idx="2">
                  <c:v>建築物
環境配慮</c:v>
                </c:pt>
                <c:pt idx="3">
                  <c:v>環境性能
スマート化</c:v>
                </c:pt>
              </c:strCache>
            </c:strRef>
          </c:cat>
          <c:val>
            <c:numRef>
              <c:f>結果!$S$49:$S$52</c:f>
              <c:numCache>
                <c:formatCode>0.0;_Ā</c:formatCode>
                <c:ptCount val="4"/>
                <c:pt idx="0">
                  <c:v>3</c:v>
                </c:pt>
                <c:pt idx="1">
                  <c:v>3.2</c:v>
                </c:pt>
                <c:pt idx="2">
                  <c:v>3</c:v>
                </c:pt>
                <c:pt idx="3">
                  <c:v>3</c:v>
                </c:pt>
              </c:numCache>
            </c:numRef>
          </c:val>
          <c:extLst>
            <c:ext xmlns:c16="http://schemas.microsoft.com/office/drawing/2014/chart" uri="{C3380CC4-5D6E-409C-BE32-E72D297353CC}">
              <c16:uniqueId val="{00000004-A616-4E40-83DC-A9A32147ED01}"/>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245-4E00-A4B5-ECC782515A5F}"/>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245-4E00-A4B5-ECC782515A5F}"/>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245-4E00-A4B5-ECC782515A5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結果!$U$49:$U$54</c:f>
              <c:strCache>
                <c:ptCount val="6"/>
                <c:pt idx="0">
                  <c:v>ガバナンス</c:v>
                </c:pt>
                <c:pt idx="1">
                  <c:v>生活利便</c:v>
                </c:pt>
                <c:pt idx="2">
                  <c:v>健康福祉</c:v>
                </c:pt>
                <c:pt idx="3">
                  <c:v>安全安心</c:v>
                </c:pt>
                <c:pt idx="4">
                  <c:v>包摂性</c:v>
                </c:pt>
                <c:pt idx="5">
                  <c:v>社会性能
スマート化</c:v>
                </c:pt>
              </c:strCache>
            </c:strRef>
          </c:cat>
          <c:val>
            <c:numRef>
              <c:f>結果!$V$49:$V$54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4245-4E00-A4B5-ECC782515A5F}"/>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2E4-41D5-87B7-3B73662D513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2E4-41D5-87B7-3B73662D513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2E4-41D5-87B7-3B73662D513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結果!$X$49:$X$52</c:f>
              <c:strCache>
                <c:ptCount val="4"/>
                <c:pt idx="0">
                  <c:v>経済基盤</c:v>
                </c:pt>
                <c:pt idx="1">
                  <c:v>ヒューマン
キャピタル</c:v>
                </c:pt>
                <c:pt idx="2">
                  <c:v>活性化方策</c:v>
                </c:pt>
                <c:pt idx="3">
                  <c:v>経済性能
スマート化</c:v>
                </c:pt>
              </c:strCache>
            </c:strRef>
          </c:cat>
          <c:val>
            <c:numRef>
              <c:f>結果!$Y$49:$Y$52</c:f>
              <c:numCache>
                <c:formatCode>0.0_ </c:formatCode>
                <c:ptCount val="4"/>
                <c:pt idx="0">
                  <c:v>3</c:v>
                </c:pt>
                <c:pt idx="1">
                  <c:v>3.5</c:v>
                </c:pt>
                <c:pt idx="2">
                  <c:v>3</c:v>
                </c:pt>
                <c:pt idx="3">
                  <c:v>3</c:v>
                </c:pt>
              </c:numCache>
            </c:numRef>
          </c:val>
          <c:extLst>
            <c:ext xmlns:c16="http://schemas.microsoft.com/office/drawing/2014/chart" uri="{C3380CC4-5D6E-409C-BE32-E72D297353CC}">
              <c16:uniqueId val="{00000003-32E4-41D5-87B7-3B73662D5137}"/>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3F5-4DC4-90D9-D1A3E4D4705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3F5-4DC4-90D9-D1A3E4D4705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3F5-4DC4-90D9-D1A3E4D4705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C3F5-4DC4-90D9-D1A3E4D470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結果!$R$60:$R$63</c:f>
              <c:strCache>
                <c:ptCount val="4"/>
                <c:pt idx="0">
                  <c:v>エネルギー
効率化</c:v>
                </c:pt>
                <c:pt idx="1">
                  <c:v>再生
エネルギー</c:v>
                </c:pt>
                <c:pt idx="2">
                  <c:v>未利用
エネルギー</c:v>
                </c:pt>
                <c:pt idx="3">
                  <c:v>エネルギー
マネジメント</c:v>
                </c:pt>
              </c:strCache>
            </c:strRef>
          </c:cat>
          <c:val>
            <c:numRef>
              <c:f>結果!$S$60:$S$63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C3F5-4DC4-90D9-D1A3E4D4705B}"/>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1D-41A5-96A1-0019F49EB3C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1D-41A5-96A1-0019F49EB3C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1D-41A5-96A1-0019F49EB3C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土地資源</c:v>
                </c:pt>
                <c:pt idx="1">
                  <c:v>水資源</c:v>
                </c:pt>
                <c:pt idx="2">
                  <c:v>資源循環</c:v>
                </c:pt>
              </c:strCache>
            </c:strRef>
          </c:cat>
          <c:val>
            <c:numRef>
              <c:f>結果!$V$60:$V$62</c:f>
              <c:numCache>
                <c:formatCode>0.0_ </c:formatCode>
                <c:ptCount val="3"/>
                <c:pt idx="0">
                  <c:v>3</c:v>
                </c:pt>
                <c:pt idx="1">
                  <c:v>3.1</c:v>
                </c:pt>
                <c:pt idx="2">
                  <c:v>3</c:v>
                </c:pt>
              </c:numCache>
            </c:numRef>
          </c:val>
          <c:extLst>
            <c:ext xmlns:c16="http://schemas.microsoft.com/office/drawing/2014/chart" uri="{C3380CC4-5D6E-409C-BE32-E72D297353CC}">
              <c16:uniqueId val="{00000003-471D-41A5-96A1-0019F49EB3C1}"/>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510-4C3A-A7C9-403DB1A7C730}"/>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510-4C3A-A7C9-403DB1A7C730}"/>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510-4C3A-A7C9-403DB1A7C73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地球温暖化
への配慮</c:v>
                </c:pt>
                <c:pt idx="1">
                  <c:v>交通負荷
の削減</c:v>
                </c:pt>
                <c:pt idx="2">
                  <c:v>環境阻害
の削減</c:v>
                </c:pt>
              </c:strCache>
            </c:strRef>
          </c:cat>
          <c:val>
            <c:numRef>
              <c:f>結果!$Y$60:$Y$62</c:f>
              <c:numCache>
                <c:formatCode>0.0_ </c:formatCode>
                <c:ptCount val="3"/>
                <c:pt idx="0">
                  <c:v>2</c:v>
                </c:pt>
                <c:pt idx="1">
                  <c:v>3</c:v>
                </c:pt>
                <c:pt idx="2">
                  <c:v>2.9</c:v>
                </c:pt>
              </c:numCache>
            </c:numRef>
          </c:val>
          <c:extLst>
            <c:ext xmlns:c16="http://schemas.microsoft.com/office/drawing/2014/chart" uri="{C3380CC4-5D6E-409C-BE32-E72D297353CC}">
              <c16:uniqueId val="{00000003-A510-4C3A-A7C9-403DB1A7C730}"/>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E2BC-4A96-A728-52E63BA5D8BE}"/>
              </c:ext>
            </c:extLst>
          </c:dPt>
          <c:cat>
            <c:strRef>
              <c:f>結果!$AF$25:$AH$25</c:f>
              <c:strCache>
                <c:ptCount val="1"/>
                <c:pt idx="0">
                  <c:v>SDGsRank(Ring)</c:v>
                </c:pt>
              </c:strCache>
            </c:strRef>
          </c:cat>
          <c:val>
            <c:numRef>
              <c:f>結果!$AI$25</c:f>
              <c:numCache>
                <c:formatCode>0.00_ </c:formatCode>
                <c:ptCount val="1"/>
                <c:pt idx="0">
                  <c:v>0.2</c:v>
                </c:pt>
              </c:numCache>
            </c:numRef>
          </c:val>
          <c:extLst>
            <c:ext xmlns:c16="http://schemas.microsoft.com/office/drawing/2014/chart" uri="{C3380CC4-5D6E-409C-BE32-E72D297353CC}">
              <c16:uniqueId val="{00000001-E2BC-4A96-A728-52E63BA5D8B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結果!$AF$25:$AH$25</c:f>
              <c:strCache>
                <c:ptCount val="1"/>
                <c:pt idx="0">
                  <c:v>SDGsRank(Ring)</c:v>
                </c:pt>
              </c:strCache>
            </c:strRef>
          </c:cat>
          <c:val>
            <c:numRef>
              <c:f>結果!$AI$26</c:f>
              <c:numCache>
                <c:formatCode>0.00_ </c:formatCode>
                <c:ptCount val="1"/>
                <c:pt idx="0">
                  <c:v>0.8</c:v>
                </c:pt>
              </c:numCache>
            </c:numRef>
          </c:val>
          <c:extLst>
            <c:ext xmlns:c16="http://schemas.microsoft.com/office/drawing/2014/chart" uri="{C3380CC4-5D6E-409C-BE32-E72D297353CC}">
              <c16:uniqueId val="{00000002-E2BC-4A96-A728-52E63BA5D8BE}"/>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6369889934145"/>
          <c:y val="0.19296365892873543"/>
          <c:w val="0.50668572125585609"/>
          <c:h val="0.58088971445997639"/>
        </c:manualLayout>
      </c:layout>
      <c:radarChart>
        <c:radarStyle val="filled"/>
        <c:varyColors val="0"/>
        <c:ser>
          <c:idx val="0"/>
          <c:order val="0"/>
          <c:tx>
            <c:strRef>
              <c:f>結果!$W$7</c:f>
              <c:strCache>
                <c:ptCount val="1"/>
                <c:pt idx="0">
                  <c:v>background</c:v>
                </c:pt>
              </c:strCache>
            </c:strRef>
          </c:tx>
          <c:spPr>
            <a:blipFill dpi="0" rotWithShape="0">
              <a:blip xmlns:r="http://schemas.openxmlformats.org/officeDocument/2006/relationships" r:embed="rId1"/>
              <a:srcRect/>
              <a:stretch>
                <a:fillRect/>
              </a:stretch>
            </a:blipFill>
            <a:ln w="12700">
              <a:solidFill>
                <a:srgbClr val="000000"/>
              </a:solidFill>
              <a:prstDash val="solid"/>
            </a:ln>
          </c:spPr>
          <c:cat>
            <c:strRef>
              <c:f>結果!$V$8:$V$13</c:f>
              <c:strCache>
                <c:ptCount val="6"/>
                <c:pt idx="0">
                  <c:v>Q-2 社会</c:v>
                </c:pt>
                <c:pt idx="1">
                  <c:v>Q-3 経済</c:v>
                </c:pt>
                <c:pt idx="2">
                  <c:v>LR-3 周辺環境</c:v>
                </c:pt>
                <c:pt idx="3">
                  <c:v>LR-2 資源</c:v>
                </c:pt>
                <c:pt idx="4">
                  <c:v>LR-1 エネルギー</c:v>
                </c:pt>
                <c:pt idx="5">
                  <c:v>Q-1 環境</c:v>
                </c:pt>
              </c:strCache>
            </c:strRef>
          </c:cat>
          <c:val>
            <c:numRef>
              <c:f>結果!$W$8:$W$13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870F-41A3-855C-3AFA21900B4E}"/>
            </c:ext>
          </c:extLst>
        </c:ser>
        <c:ser>
          <c:idx val="1"/>
          <c:order val="1"/>
          <c:tx>
            <c:strRef>
              <c:f>結果!$X$7</c:f>
              <c:strCache>
                <c:ptCount val="1"/>
                <c:pt idx="0">
                  <c:v>4</c:v>
                </c:pt>
              </c:strCache>
            </c:strRef>
          </c:tx>
          <c:spPr>
            <a:noFill/>
            <a:ln w="12700">
              <a:solidFill>
                <a:srgbClr val="000000"/>
              </a:solidFill>
              <a:prstDash val="solid"/>
            </a:ln>
          </c:spPr>
          <c:cat>
            <c:strRef>
              <c:f>結果!$V$8:$V$13</c:f>
              <c:strCache>
                <c:ptCount val="6"/>
                <c:pt idx="0">
                  <c:v>Q-2 社会</c:v>
                </c:pt>
                <c:pt idx="1">
                  <c:v>Q-3 経済</c:v>
                </c:pt>
                <c:pt idx="2">
                  <c:v>LR-3 周辺環境</c:v>
                </c:pt>
                <c:pt idx="3">
                  <c:v>LR-2 資源</c:v>
                </c:pt>
                <c:pt idx="4">
                  <c:v>LR-1 エネルギー</c:v>
                </c:pt>
                <c:pt idx="5">
                  <c:v>Q-1 環境</c:v>
                </c:pt>
              </c:strCache>
            </c:strRef>
          </c:cat>
          <c:val>
            <c:numRef>
              <c:f>結果!$X$8:$X$13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870F-41A3-855C-3AFA21900B4E}"/>
            </c:ext>
          </c:extLst>
        </c:ser>
        <c:ser>
          <c:idx val="2"/>
          <c:order val="2"/>
          <c:tx>
            <c:strRef>
              <c:f>結果!$Y$7</c:f>
              <c:strCache>
                <c:ptCount val="1"/>
                <c:pt idx="0">
                  <c:v>2</c:v>
                </c:pt>
              </c:strCache>
            </c:strRef>
          </c:tx>
          <c:spPr>
            <a:noFill/>
            <a:ln w="12700">
              <a:solidFill>
                <a:srgbClr val="000000"/>
              </a:solidFill>
              <a:prstDash val="solid"/>
            </a:ln>
          </c:spPr>
          <c:cat>
            <c:strRef>
              <c:f>結果!$V$8:$V$13</c:f>
              <c:strCache>
                <c:ptCount val="6"/>
                <c:pt idx="0">
                  <c:v>Q-2 社会</c:v>
                </c:pt>
                <c:pt idx="1">
                  <c:v>Q-3 経済</c:v>
                </c:pt>
                <c:pt idx="2">
                  <c:v>LR-3 周辺環境</c:v>
                </c:pt>
                <c:pt idx="3">
                  <c:v>LR-2 資源</c:v>
                </c:pt>
                <c:pt idx="4">
                  <c:v>LR-1 エネルギー</c:v>
                </c:pt>
                <c:pt idx="5">
                  <c:v>Q-1 環境</c:v>
                </c:pt>
              </c:strCache>
            </c:strRef>
          </c:cat>
          <c:val>
            <c:numRef>
              <c:f>結果!$Y$8:$Y$13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870F-41A3-855C-3AFA21900B4E}"/>
            </c:ext>
          </c:extLst>
        </c:ser>
        <c:ser>
          <c:idx val="3"/>
          <c:order val="3"/>
          <c:tx>
            <c:strRef>
              <c:f>結果!$Z$7</c:f>
              <c:strCache>
                <c:ptCount val="1"/>
                <c:pt idx="0">
                  <c:v>Score(RoundDown)</c:v>
                </c:pt>
              </c:strCache>
            </c:strRef>
          </c:tx>
          <c:spPr>
            <a:pattFill prst="pct50">
              <a:fgClr>
                <a:srgbClr val="CCCCFF"/>
              </a:fgClr>
              <a:bgClr>
                <a:srgbClr val="FFFFFF"/>
              </a:bgClr>
            </a:pattFill>
            <a:ln w="12700">
              <a:solidFill>
                <a:srgbClr val="000000"/>
              </a:solidFill>
              <a:prstDash val="solid"/>
            </a:ln>
          </c:spPr>
          <c:cat>
            <c:strRef>
              <c:f>結果!$V$8:$V$13</c:f>
              <c:strCache>
                <c:ptCount val="6"/>
                <c:pt idx="0">
                  <c:v>Q-2 社会</c:v>
                </c:pt>
                <c:pt idx="1">
                  <c:v>Q-3 経済</c:v>
                </c:pt>
                <c:pt idx="2">
                  <c:v>LR-3 周辺環境</c:v>
                </c:pt>
                <c:pt idx="3">
                  <c:v>LR-2 資源</c:v>
                </c:pt>
                <c:pt idx="4">
                  <c:v>LR-1 エネルギー</c:v>
                </c:pt>
                <c:pt idx="5">
                  <c:v>Q-1 環境</c:v>
                </c:pt>
              </c:strCache>
            </c:strRef>
          </c:cat>
          <c:val>
            <c:numRef>
              <c:f>結果!$Z$8:$Z$13</c:f>
              <c:numCache>
                <c:formatCode>General</c:formatCode>
                <c:ptCount val="6"/>
                <c:pt idx="0">
                  <c:v>3</c:v>
                </c:pt>
                <c:pt idx="1">
                  <c:v>3.1</c:v>
                </c:pt>
                <c:pt idx="2">
                  <c:v>2.6</c:v>
                </c:pt>
                <c:pt idx="3">
                  <c:v>3</c:v>
                </c:pt>
                <c:pt idx="4">
                  <c:v>3</c:v>
                </c:pt>
                <c:pt idx="5">
                  <c:v>3</c:v>
                </c:pt>
              </c:numCache>
            </c:numRef>
          </c:val>
          <c:extLst>
            <c:ext xmlns:c16="http://schemas.microsoft.com/office/drawing/2014/chart" uri="{C3380CC4-5D6E-409C-BE32-E72D297353CC}">
              <c16:uniqueId val="{00000003-870F-41A3-855C-3AFA21900B4E}"/>
            </c:ext>
          </c:extLst>
        </c:ser>
        <c:ser>
          <c:idx val="4"/>
          <c:order val="4"/>
          <c:tx>
            <c:strRef>
              <c:f>結果!$AA$7</c:f>
              <c:strCache>
                <c:ptCount val="1"/>
                <c:pt idx="0">
                  <c:v>std</c:v>
                </c:pt>
              </c:strCache>
            </c:strRef>
          </c:tx>
          <c:spPr>
            <a:noFill/>
            <a:ln w="12700">
              <a:solidFill>
                <a:srgbClr val="FF0000"/>
              </a:solidFill>
              <a:prstDash val="solid"/>
            </a:ln>
          </c:spPr>
          <c:cat>
            <c:strRef>
              <c:f>結果!$V$8:$V$13</c:f>
              <c:strCache>
                <c:ptCount val="6"/>
                <c:pt idx="0">
                  <c:v>Q-2 社会</c:v>
                </c:pt>
                <c:pt idx="1">
                  <c:v>Q-3 経済</c:v>
                </c:pt>
                <c:pt idx="2">
                  <c:v>LR-3 周辺環境</c:v>
                </c:pt>
                <c:pt idx="3">
                  <c:v>LR-2 資源</c:v>
                </c:pt>
                <c:pt idx="4">
                  <c:v>LR-1 エネルギー</c:v>
                </c:pt>
                <c:pt idx="5">
                  <c:v>Q-1 環境</c:v>
                </c:pt>
              </c:strCache>
            </c:strRef>
          </c:cat>
          <c:val>
            <c:numRef>
              <c:f>結果!$AA$8:$AA$13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870F-41A3-855C-3AFA21900B4E}"/>
            </c:ext>
          </c:extLst>
        </c:ser>
        <c:dLbls>
          <c:showLegendKey val="0"/>
          <c:showVal val="0"/>
          <c:showCatName val="0"/>
          <c:showSerName val="0"/>
          <c:showPercent val="0"/>
          <c:showBubbleSize val="0"/>
        </c:dLbls>
        <c:axId val="497763576"/>
        <c:axId val="497763968"/>
      </c:radarChart>
      <c:catAx>
        <c:axId val="497763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a:pPr>
            <a:endParaRPr lang="ja-JP"/>
          </a:p>
        </c:txPr>
        <c:crossAx val="497763968"/>
        <c:crosses val="autoZero"/>
        <c:auto val="0"/>
        <c:lblAlgn val="ctr"/>
        <c:lblOffset val="100"/>
        <c:noMultiLvlLbl val="0"/>
      </c:catAx>
      <c:valAx>
        <c:axId val="49776396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9776357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結果!$AF$49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結果!$AG$49:$AH$49</c:f>
              <c:numCache>
                <c:formatCode>General</c:formatCode>
                <c:ptCount val="2"/>
                <c:pt idx="0" formatCode="0.0">
                  <c:v>3</c:v>
                </c:pt>
              </c:numCache>
            </c:numRef>
          </c:val>
          <c:extLst>
            <c:ext xmlns:c16="http://schemas.microsoft.com/office/drawing/2014/chart" uri="{C3380CC4-5D6E-409C-BE32-E72D297353CC}">
              <c16:uniqueId val="{00000000-CA53-47E2-8E9B-526435796072}"/>
            </c:ext>
          </c:extLst>
        </c:ser>
        <c:ser>
          <c:idx val="1"/>
          <c:order val="1"/>
          <c:tx>
            <c:strRef>
              <c:f>結果!$AF$50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結果!$AG$50:$AH$50</c:f>
              <c:numCache>
                <c:formatCode>General</c:formatCode>
                <c:ptCount val="2"/>
                <c:pt idx="0" formatCode="0.0">
                  <c:v>3</c:v>
                </c:pt>
              </c:numCache>
            </c:numRef>
          </c:val>
          <c:extLst>
            <c:ext xmlns:c16="http://schemas.microsoft.com/office/drawing/2014/chart" uri="{C3380CC4-5D6E-409C-BE32-E72D297353CC}">
              <c16:uniqueId val="{00000001-CA53-47E2-8E9B-526435796072}"/>
            </c:ext>
          </c:extLst>
        </c:ser>
        <c:ser>
          <c:idx val="2"/>
          <c:order val="2"/>
          <c:tx>
            <c:strRef>
              <c:f>結果!$AF$51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結果!$AG$51:$AH$51</c:f>
              <c:numCache>
                <c:formatCode>General</c:formatCode>
                <c:ptCount val="2"/>
                <c:pt idx="0" formatCode="0.0">
                  <c:v>3</c:v>
                </c:pt>
              </c:numCache>
            </c:numRef>
          </c:val>
          <c:extLst>
            <c:ext xmlns:c16="http://schemas.microsoft.com/office/drawing/2014/chart" uri="{C3380CC4-5D6E-409C-BE32-E72D297353CC}">
              <c16:uniqueId val="{00000002-CA53-47E2-8E9B-526435796072}"/>
            </c:ext>
          </c:extLst>
        </c:ser>
        <c:ser>
          <c:idx val="3"/>
          <c:order val="3"/>
          <c:tx>
            <c:strRef>
              <c:f>結果!$AF$52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結果!$AG$52:$AH$52</c:f>
              <c:numCache>
                <c:formatCode>General</c:formatCode>
                <c:ptCount val="2"/>
                <c:pt idx="0" formatCode="0.0">
                  <c:v>3</c:v>
                </c:pt>
              </c:numCache>
            </c:numRef>
          </c:val>
          <c:extLst>
            <c:ext xmlns:c16="http://schemas.microsoft.com/office/drawing/2014/chart" uri="{C3380CC4-5D6E-409C-BE32-E72D297353CC}">
              <c16:uniqueId val="{00000003-CA53-47E2-8E9B-526435796072}"/>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結果!$AF$60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結果!$AG$60:$AH$60</c:f>
              <c:numCache>
                <c:formatCode>General</c:formatCode>
                <c:ptCount val="2"/>
                <c:pt idx="0" formatCode="0.0">
                  <c:v>3</c:v>
                </c:pt>
              </c:numCache>
            </c:numRef>
          </c:val>
          <c:extLst>
            <c:ext xmlns:c16="http://schemas.microsoft.com/office/drawing/2014/chart" uri="{C3380CC4-5D6E-409C-BE32-E72D297353CC}">
              <c16:uniqueId val="{00000000-5863-442F-A2C6-2666ED8DB871}"/>
            </c:ext>
          </c:extLst>
        </c:ser>
        <c:ser>
          <c:idx val="1"/>
          <c:order val="1"/>
          <c:tx>
            <c:strRef>
              <c:f>結果!$AF$61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結果!$AG$61:$AH$61</c:f>
              <c:numCache>
                <c:formatCode>General</c:formatCode>
                <c:ptCount val="2"/>
                <c:pt idx="0" formatCode="0.0">
                  <c:v>3</c:v>
                </c:pt>
              </c:numCache>
            </c:numRef>
          </c:val>
          <c:extLst>
            <c:ext xmlns:c16="http://schemas.microsoft.com/office/drawing/2014/chart" uri="{C3380CC4-5D6E-409C-BE32-E72D297353CC}">
              <c16:uniqueId val="{00000001-5863-442F-A2C6-2666ED8DB871}"/>
            </c:ext>
          </c:extLst>
        </c:ser>
        <c:ser>
          <c:idx val="2"/>
          <c:order val="2"/>
          <c:tx>
            <c:strRef>
              <c:f>結果!$AF$62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結果!$AG$48:$AH$48</c:f>
              <c:strCache>
                <c:ptCount val="1"/>
                <c:pt idx="0">
                  <c:v>Score(Round)</c:v>
                </c:pt>
              </c:strCache>
            </c:strRef>
          </c:cat>
          <c:val>
            <c:numRef>
              <c:f>結果!$AG$62:$AH$62</c:f>
              <c:numCache>
                <c:formatCode>General</c:formatCode>
                <c:ptCount val="2"/>
                <c:pt idx="0" formatCode="0.0">
                  <c:v>3</c:v>
                </c:pt>
              </c:numCache>
            </c:numRef>
          </c:val>
          <c:extLst>
            <c:ext xmlns:c16="http://schemas.microsoft.com/office/drawing/2014/chart" uri="{C3380CC4-5D6E-409C-BE32-E72D297353CC}">
              <c16:uniqueId val="{00000002-5863-442F-A2C6-2666ED8DB871}"/>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963A-45CA-93D4-BA6AAB0BF11A}"/>
              </c:ext>
            </c:extLst>
          </c:dPt>
          <c:cat>
            <c:strRef>
              <c:f>'結果 (2)'!$R$36</c:f>
              <c:strCache>
                <c:ptCount val="1"/>
                <c:pt idx="0">
                  <c:v>Rank(green star)</c:v>
                </c:pt>
              </c:strCache>
            </c:strRef>
          </c:cat>
          <c:val>
            <c:numRef>
              <c:f>'結果 (2)'!$S$36</c:f>
              <c:numCache>
                <c:formatCode>#,##0.0;[Red]\-#,##0.0</c:formatCode>
                <c:ptCount val="1"/>
                <c:pt idx="0">
                  <c:v>0</c:v>
                </c:pt>
              </c:numCache>
            </c:numRef>
          </c:val>
          <c:extLst>
            <c:ext xmlns:c16="http://schemas.microsoft.com/office/drawing/2014/chart" uri="{C3380CC4-5D6E-409C-BE32-E72D297353CC}">
              <c16:uniqueId val="{00000002-963A-45CA-93D4-BA6AAB0BF11A}"/>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 (2)'!$R$36</c:f>
              <c:strCache>
                <c:ptCount val="1"/>
                <c:pt idx="0">
                  <c:v>Rank(green star)</c:v>
                </c:pt>
              </c:strCache>
            </c:strRef>
          </c:cat>
          <c:val>
            <c:numRef>
              <c:f>'結果 (2)'!$S$37</c:f>
              <c:numCache>
                <c:formatCode>#,##0.0;[Red]\-#,##0.0</c:formatCode>
                <c:ptCount val="1"/>
                <c:pt idx="0">
                  <c:v>0</c:v>
                </c:pt>
              </c:numCache>
            </c:numRef>
          </c:val>
          <c:extLst>
            <c:ext xmlns:c16="http://schemas.microsoft.com/office/drawing/2014/chart" uri="{C3380CC4-5D6E-409C-BE32-E72D297353CC}">
              <c16:uniqueId val="{00000003-963A-45CA-93D4-BA6AAB0BF11A}"/>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06357891064"/>
          <c:y val="8.8235294117647176E-2"/>
          <c:w val="0.79525866870330375"/>
          <c:h val="0.74526329778397948"/>
        </c:manualLayout>
      </c:layout>
      <c:barChart>
        <c:barDir val="bar"/>
        <c:grouping val="stacked"/>
        <c:varyColors val="0"/>
        <c:ser>
          <c:idx val="0"/>
          <c:order val="0"/>
          <c:tx>
            <c:strRef>
              <c:f>旧結果!$S$53</c:f>
              <c:strCache>
                <c:ptCount val="1"/>
                <c:pt idx="0">
                  <c:v>総排出量</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旧結果!$R$54:$R$55</c:f>
              <c:strCache>
                <c:ptCount val="2"/>
                <c:pt idx="0">
                  <c:v>施策後</c:v>
                </c:pt>
                <c:pt idx="1">
                  <c:v>BAU</c:v>
                </c:pt>
              </c:strCache>
            </c:strRef>
          </c:cat>
          <c:val>
            <c:numRef>
              <c:f>旧結果!$S$54:$S$55</c:f>
              <c:numCache>
                <c:formatCode>0.0;[Red]0.0</c:formatCode>
                <c:ptCount val="2"/>
                <c:pt idx="0">
                  <c:v>3</c:v>
                </c:pt>
                <c:pt idx="1">
                  <c:v>0</c:v>
                </c:pt>
              </c:numCache>
            </c:numRef>
          </c:val>
          <c:extLst>
            <c:ext xmlns:c16="http://schemas.microsoft.com/office/drawing/2014/chart" uri="{C3380CC4-5D6E-409C-BE32-E72D297353CC}">
              <c16:uniqueId val="{00000000-84A5-4E67-9C5E-4F851A372079}"/>
            </c:ext>
          </c:extLst>
        </c:ser>
        <c:dLbls>
          <c:showLegendKey val="0"/>
          <c:showVal val="0"/>
          <c:showCatName val="0"/>
          <c:showSerName val="0"/>
          <c:showPercent val="0"/>
          <c:showBubbleSize val="0"/>
        </c:dLbls>
        <c:gapWidth val="40"/>
        <c:overlap val="100"/>
        <c:axId val="364024440"/>
        <c:axId val="1"/>
      </c:barChart>
      <c:catAx>
        <c:axId val="364024440"/>
        <c:scaling>
          <c:orientation val="minMax"/>
        </c:scaling>
        <c:delete val="0"/>
        <c:axPos val="l"/>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b"/>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444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 r="0.750000000000001" t="1"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61351761871064E-2"/>
          <c:y val="8.4848987032356965E-2"/>
          <c:w val="0.90879623370736484"/>
          <c:h val="0.7212163897750342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2C-426E-8AAC-7913FF01D843}"/>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2C-426E-8AAC-7913FF01D843}"/>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2C-426E-8AAC-7913FF01D84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旧結果!$X$40:$X$42</c:f>
              <c:numCache>
                <c:formatCode>General</c:formatCode>
                <c:ptCount val="3"/>
                <c:pt idx="0">
                  <c:v>0</c:v>
                </c:pt>
                <c:pt idx="1">
                  <c:v>0</c:v>
                </c:pt>
                <c:pt idx="2">
                  <c:v>0</c:v>
                </c:pt>
              </c:numCache>
            </c:numRef>
          </c:cat>
          <c:val>
            <c:numRef>
              <c:f>旧結果!$Y$40:$Y$42</c:f>
              <c:numCache>
                <c:formatCode>0.0_ </c:formatCode>
                <c:ptCount val="3"/>
                <c:pt idx="0">
                  <c:v>3</c:v>
                </c:pt>
                <c:pt idx="1">
                  <c:v>3.5</c:v>
                </c:pt>
                <c:pt idx="2">
                  <c:v>3</c:v>
                </c:pt>
              </c:numCache>
            </c:numRef>
          </c:val>
          <c:extLst>
            <c:ext xmlns:c16="http://schemas.microsoft.com/office/drawing/2014/chart" uri="{C3380CC4-5D6E-409C-BE32-E72D297353CC}">
              <c16:uniqueId val="{00000003-472C-426E-8AAC-7913FF01D843}"/>
            </c:ext>
          </c:extLst>
        </c:ser>
        <c:dLbls>
          <c:showLegendKey val="0"/>
          <c:showVal val="0"/>
          <c:showCatName val="0"/>
          <c:showSerName val="0"/>
          <c:showPercent val="0"/>
          <c:showBubbleSize val="0"/>
        </c:dLbls>
        <c:gapWidth val="40"/>
        <c:axId val="364019192"/>
        <c:axId val="1"/>
      </c:barChart>
      <c:catAx>
        <c:axId val="364019192"/>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1919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 verticalDpi="-3"/>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36873806399385"/>
          <c:y val="8.8652789273012497E-2"/>
          <c:w val="0.70723797806264466"/>
          <c:h val="0.72695287203870251"/>
        </c:manualLayout>
      </c:layout>
      <c:areaChart>
        <c:grouping val="standard"/>
        <c:varyColors val="0"/>
        <c:ser>
          <c:idx val="4"/>
          <c:order val="0"/>
          <c:tx>
            <c:strRef>
              <c:f>旧結果!$S$32</c:f>
              <c:strCache>
                <c:ptCount val="1"/>
                <c:pt idx="0">
                  <c:v>S</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cat>
            <c:numRef>
              <c:f>旧結果!$T$25:$U$25</c:f>
              <c:numCache>
                <c:formatCode>General</c:formatCode>
                <c:ptCount val="2"/>
                <c:pt idx="0" formatCode="#,##0_);[Red]\(#,##0\)">
                  <c:v>2.9</c:v>
                </c:pt>
                <c:pt idx="1">
                  <c:v>0</c:v>
                </c:pt>
              </c:numCache>
            </c:numRef>
          </c:cat>
          <c:val>
            <c:numRef>
              <c:f>旧結果!$T$32:$Z$32</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251B-49F1-AA87-3CB370B53314}"/>
            </c:ext>
          </c:extLst>
        </c:ser>
        <c:ser>
          <c:idx val="3"/>
          <c:order val="1"/>
          <c:tx>
            <c:strRef>
              <c:f>旧結果!$S$33</c:f>
              <c:strCache>
                <c:ptCount val="1"/>
                <c:pt idx="0">
                  <c:v>A</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cat>
            <c:numRef>
              <c:f>旧結果!$T$25:$U$25</c:f>
              <c:numCache>
                <c:formatCode>General</c:formatCode>
                <c:ptCount val="2"/>
                <c:pt idx="0" formatCode="#,##0_);[Red]\(#,##0\)">
                  <c:v>2.9</c:v>
                </c:pt>
                <c:pt idx="1">
                  <c:v>0</c:v>
                </c:pt>
              </c:numCache>
            </c:numRef>
          </c:cat>
          <c:val>
            <c:numRef>
              <c:f>旧結果!$T$33:$Z$33</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251B-49F1-AA87-3CB370B53314}"/>
            </c:ext>
          </c:extLst>
        </c:ser>
        <c:ser>
          <c:idx val="2"/>
          <c:order val="2"/>
          <c:tx>
            <c:strRef>
              <c:f>旧結果!$S$34</c:f>
              <c:strCache>
                <c:ptCount val="1"/>
                <c:pt idx="0">
                  <c:v>B+</c:v>
                </c:pt>
              </c:strCache>
            </c:strRef>
          </c:tx>
          <c:spPr>
            <a:solidFill>
              <a:srgbClr val="FFFFCC"/>
            </a:solidFill>
            <a:ln w="12700">
              <a:solidFill>
                <a:srgbClr val="000000"/>
              </a:solidFill>
              <a:prstDash val="solid"/>
            </a:ln>
          </c:spPr>
          <c:cat>
            <c:numRef>
              <c:f>旧結果!$T$25:$U$25</c:f>
              <c:numCache>
                <c:formatCode>General</c:formatCode>
                <c:ptCount val="2"/>
                <c:pt idx="0" formatCode="#,##0_);[Red]\(#,##0\)">
                  <c:v>2.9</c:v>
                </c:pt>
                <c:pt idx="1">
                  <c:v>0</c:v>
                </c:pt>
              </c:numCache>
            </c:numRef>
          </c:cat>
          <c:val>
            <c:numRef>
              <c:f>旧結果!$T$34:$Z$34</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251B-49F1-AA87-3CB370B53314}"/>
            </c:ext>
          </c:extLst>
        </c:ser>
        <c:ser>
          <c:idx val="1"/>
          <c:order val="3"/>
          <c:tx>
            <c:strRef>
              <c:f>旧結果!$S$36</c:f>
              <c:strCache>
                <c:ptCount val="1"/>
                <c:pt idx="0">
                  <c:v>B-</c:v>
                </c:pt>
              </c:strCache>
            </c:strRef>
          </c:tx>
          <c:spPr>
            <a:solidFill>
              <a:srgbClr val="FFFFFF"/>
            </a:solidFill>
            <a:ln w="12700">
              <a:solidFill>
                <a:srgbClr val="000000"/>
              </a:solidFill>
              <a:prstDash val="solid"/>
            </a:ln>
          </c:spPr>
          <c:cat>
            <c:numRef>
              <c:f>旧結果!$T$25:$U$25</c:f>
              <c:numCache>
                <c:formatCode>General</c:formatCode>
                <c:ptCount val="2"/>
                <c:pt idx="0" formatCode="#,##0_);[Red]\(#,##0\)">
                  <c:v>2.9</c:v>
                </c:pt>
                <c:pt idx="1">
                  <c:v>0</c:v>
                </c:pt>
              </c:numCache>
            </c:numRef>
          </c:cat>
          <c:val>
            <c:numRef>
              <c:f>旧結果!$T$36:$Z$36</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251B-49F1-AA87-3CB370B53314}"/>
            </c:ext>
          </c:extLst>
        </c:ser>
        <c:ser>
          <c:idx val="0"/>
          <c:order val="5"/>
          <c:tx>
            <c:strRef>
              <c:f>旧結果!$S$35</c:f>
              <c:strCache>
                <c:ptCount val="1"/>
                <c:pt idx="0">
                  <c:v>B</c:v>
                </c:pt>
              </c:strCache>
            </c:strRef>
          </c:tx>
          <c:spPr>
            <a:noFill/>
            <a:ln w="12700">
              <a:solidFill>
                <a:srgbClr val="000000"/>
              </a:solidFill>
              <a:prstDash val="solid"/>
            </a:ln>
          </c:spPr>
          <c:cat>
            <c:numRef>
              <c:f>旧結果!$T$25:$U$25</c:f>
              <c:numCache>
                <c:formatCode>General</c:formatCode>
                <c:ptCount val="2"/>
                <c:pt idx="0" formatCode="#,##0_);[Red]\(#,##0\)">
                  <c:v>2.9</c:v>
                </c:pt>
                <c:pt idx="1">
                  <c:v>0</c:v>
                </c:pt>
              </c:numCache>
            </c:numRef>
          </c:cat>
          <c:val>
            <c:numRef>
              <c:f>旧結果!$T$35:$Z$35</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251B-49F1-AA87-3CB370B53314}"/>
            </c:ext>
          </c:extLst>
        </c:ser>
        <c:dLbls>
          <c:showLegendKey val="0"/>
          <c:showVal val="0"/>
          <c:showCatName val="0"/>
          <c:showSerName val="0"/>
          <c:showPercent val="0"/>
          <c:showBubbleSize val="0"/>
        </c:dLbls>
        <c:axId val="364021488"/>
        <c:axId val="1"/>
      </c:areaChart>
      <c:scatterChart>
        <c:scatterStyle val="lineMarker"/>
        <c:varyColors val="0"/>
        <c:ser>
          <c:idx val="5"/>
          <c:order val="4"/>
          <c:tx>
            <c:strRef>
              <c:f>旧結果!$S$13</c:f>
              <c:strCache>
                <c:ptCount val="1"/>
                <c:pt idx="0">
                  <c:v>17.2</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6-251B-49F1-AA87-3CB370B53314}"/>
              </c:ext>
            </c:extLst>
          </c:dPt>
          <c:dPt>
            <c:idx val="1"/>
            <c:marker>
              <c:symbol val="triangle"/>
              <c:size val="20"/>
              <c:spPr>
                <a:solidFill>
                  <a:srgbClr val="339966"/>
                </a:solidFill>
                <a:ln>
                  <a:solidFill>
                    <a:srgbClr val="000000"/>
                  </a:solidFill>
                  <a:prstDash val="solid"/>
                </a:ln>
              </c:spPr>
            </c:marker>
            <c:bubble3D val="0"/>
            <c:spPr>
              <a:ln w="28575">
                <a:noFill/>
              </a:ln>
            </c:spPr>
            <c:extLst>
              <c:ext xmlns:c16="http://schemas.microsoft.com/office/drawing/2014/chart" uri="{C3380CC4-5D6E-409C-BE32-E72D297353CC}">
                <c16:uniqueId val="{00000008-251B-49F1-AA87-3CB370B53314}"/>
              </c:ext>
            </c:extLst>
          </c:dPt>
          <c:dPt>
            <c:idx val="2"/>
            <c:bubble3D val="0"/>
            <c:spPr>
              <a:ln w="38100">
                <a:solidFill>
                  <a:srgbClr val="008000"/>
                </a:solidFill>
                <a:prstDash val="solid"/>
              </a:ln>
            </c:spPr>
            <c:extLst>
              <c:ext xmlns:c16="http://schemas.microsoft.com/office/drawing/2014/chart" uri="{C3380CC4-5D6E-409C-BE32-E72D297353CC}">
                <c16:uniqueId val="{0000000A-251B-49F1-AA87-3CB370B53314}"/>
              </c:ext>
            </c:extLst>
          </c:dPt>
          <c:dLbls>
            <c:dLbl>
              <c:idx val="1"/>
              <c:layout>
                <c:manualLayout>
                  <c:x val="3.8378386545488996E-3"/>
                  <c:y val="-5.7730806735981487E-2"/>
                </c:manualLayout>
              </c:layout>
              <c:spPr>
                <a:noFill/>
                <a:ln w="25400">
                  <a:noFill/>
                </a:ln>
              </c:spPr>
              <c:txPr>
                <a:bodyPr/>
                <a:lstStyle/>
                <a:p>
                  <a:pPr>
                    <a:defRPr sz="152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旧結果!$S$25:$U$25</c:f>
              <c:numCache>
                <c:formatCode>#,##0_);[Red]\(#,##0\)</c:formatCode>
                <c:ptCount val="3"/>
                <c:pt idx="1">
                  <c:v>2.9</c:v>
                </c:pt>
                <c:pt idx="2" formatCode="General">
                  <c:v>0</c:v>
                </c:pt>
              </c:numCache>
            </c:numRef>
          </c:xVal>
          <c:yVal>
            <c:numRef>
              <c:f>旧結果!$S$26:$U$26</c:f>
              <c:numCache>
                <c:formatCode>#,##0_);[Red]\(#,##0\)</c:formatCode>
                <c:ptCount val="3"/>
                <c:pt idx="1">
                  <c:v>50</c:v>
                </c:pt>
                <c:pt idx="2" formatCode="General">
                  <c:v>0</c:v>
                </c:pt>
              </c:numCache>
            </c:numRef>
          </c:yVal>
          <c:smooth val="0"/>
          <c:extLst>
            <c:ext xmlns:c16="http://schemas.microsoft.com/office/drawing/2014/chart" uri="{C3380CC4-5D6E-409C-BE32-E72D297353CC}">
              <c16:uniqueId val="{0000000B-251B-49F1-AA87-3CB370B53314}"/>
            </c:ext>
          </c:extLst>
        </c:ser>
        <c:ser>
          <c:idx val="7"/>
          <c:order val="6"/>
          <c:spPr>
            <a:ln w="25400">
              <a:solidFill>
                <a:srgbClr val="008000"/>
              </a:solidFill>
              <a:prstDash val="sysDash"/>
            </a:ln>
          </c:spPr>
          <c:marker>
            <c:symbol val="none"/>
          </c:marker>
          <c:dPt>
            <c:idx val="1"/>
            <c:bubble3D val="0"/>
            <c:spPr>
              <a:ln w="28575">
                <a:noFill/>
              </a:ln>
            </c:spPr>
            <c:extLst>
              <c:ext xmlns:c16="http://schemas.microsoft.com/office/drawing/2014/chart" uri="{C3380CC4-5D6E-409C-BE32-E72D297353CC}">
                <c16:uniqueId val="{0000000D-251B-49F1-AA87-3CB370B53314}"/>
              </c:ext>
            </c:extLst>
          </c:dPt>
          <c:dLbls>
            <c:dLbl>
              <c:idx val="2"/>
              <c:layout>
                <c:manualLayout>
                  <c:x val="5.4841828981911614E-4"/>
                  <c:y val="0.49716423744904226"/>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1B-49F1-AA87-3CB370B53314}"/>
                </c:ext>
              </c:extLst>
            </c:dLbl>
            <c:dLbl>
              <c:idx val="3"/>
              <c:layout>
                <c:manualLayout>
                  <c:x val="-5.0932415624013383E-3"/>
                  <c:y val="-3.9480080637889069E-2"/>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旧結果!$R$28:$U$28</c:f>
              <c:numCache>
                <c:formatCode>General</c:formatCode>
                <c:ptCount val="4"/>
                <c:pt idx="0">
                  <c:v>0</c:v>
                </c:pt>
                <c:pt idx="1">
                  <c:v>2.9</c:v>
                </c:pt>
                <c:pt idx="2" formatCode="#,##0_);[Red]\(#,##0\)">
                  <c:v>2.9</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0-251B-49F1-AA87-3CB370B53314}"/>
            </c:ext>
          </c:extLst>
        </c:ser>
        <c:ser>
          <c:idx val="8"/>
          <c:order val="7"/>
          <c:spPr>
            <a:ln w="28575">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2-251B-49F1-AA87-3CB370B53314}"/>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4-251B-49F1-AA87-3CB370B53314}"/>
              </c:ext>
            </c:extLst>
          </c:dPt>
          <c:xVal>
            <c:numRef>
              <c:f>旧結果!$R$28:$U$28</c:f>
              <c:numCache>
                <c:formatCode>General</c:formatCode>
                <c:ptCount val="4"/>
                <c:pt idx="0">
                  <c:v>0</c:v>
                </c:pt>
                <c:pt idx="1">
                  <c:v>2.9</c:v>
                </c:pt>
                <c:pt idx="2" formatCode="#,##0_);[Red]\(#,##0\)">
                  <c:v>2.9</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5-251B-49F1-AA87-3CB370B53314}"/>
            </c:ext>
          </c:extLst>
        </c:ser>
        <c:dLbls>
          <c:showLegendKey val="0"/>
          <c:showVal val="0"/>
          <c:showCatName val="0"/>
          <c:showSerName val="0"/>
          <c:showPercent val="0"/>
          <c:showBubbleSize val="0"/>
        </c:dLbls>
        <c:axId val="3"/>
        <c:axId val="4"/>
      </c:scatterChart>
      <c:catAx>
        <c:axId val="364021488"/>
        <c:scaling>
          <c:orientation val="minMax"/>
        </c:scaling>
        <c:delete val="0"/>
        <c:axPos val="b"/>
        <c:numFmt formatCode="#,##0_);[Red]\(#,##0\)" sourceLinked="1"/>
        <c:majorTickMark val="none"/>
        <c:minorTickMark val="none"/>
        <c:tickLblPos val="none"/>
        <c:spPr>
          <a:ln w="3175">
            <a:solidFill>
              <a:srgbClr val="000000"/>
            </a:solidFill>
            <a:prstDash val="solid"/>
          </a:ln>
        </c:spPr>
        <c:crossAx val="1"/>
        <c:crosses val="autoZero"/>
        <c:auto val="0"/>
        <c:lblAlgn val="ctr"/>
        <c:lblOffset val="100"/>
        <c:tickLblSkip val="50"/>
        <c:tickMarkSkip val="50"/>
        <c:noMultiLvlLbl val="0"/>
      </c:catAx>
      <c:valAx>
        <c:axId val="1"/>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1488"/>
        <c:crosses val="autoZero"/>
        <c:crossBetween val="midCat"/>
        <c:majorUnit val="50"/>
      </c:valAx>
      <c:valAx>
        <c:axId val="3"/>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
        <c:crosses val="max"/>
        <c:crossBetween val="midCat"/>
        <c:majorUnit val="50"/>
      </c:valAx>
      <c:valAx>
        <c:axId val="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88734870163013E-2"/>
          <c:y val="5.7471909481742564E-2"/>
          <c:w val="0.95471874026890524"/>
          <c:h val="0.85058426032978995"/>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旧結果!$S$15</c:f>
              <c:numCache>
                <c:formatCode>#,##0.0;[Red]\-#,##0.0</c:formatCode>
                <c:ptCount val="1"/>
                <c:pt idx="0">
                  <c:v>1</c:v>
                </c:pt>
              </c:numCache>
            </c:numRef>
          </c:val>
          <c:extLst>
            <c:ext xmlns:c16="http://schemas.microsoft.com/office/drawing/2014/chart" uri="{C3380CC4-5D6E-409C-BE32-E72D297353CC}">
              <c16:uniqueId val="{00000000-ACD5-47F8-8E99-33B9BDF6064A}"/>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旧結果!$S$16</c:f>
              <c:numCache>
                <c:formatCode>#,##0.0;[Red]\-#,##0.0</c:formatCode>
                <c:ptCount val="1"/>
                <c:pt idx="0">
                  <c:v>0</c:v>
                </c:pt>
              </c:numCache>
            </c:numRef>
          </c:val>
          <c:extLst>
            <c:ext xmlns:c16="http://schemas.microsoft.com/office/drawing/2014/chart" uri="{C3380CC4-5D6E-409C-BE32-E72D297353CC}">
              <c16:uniqueId val="{00000001-ACD5-47F8-8E99-33B9BDF6064A}"/>
            </c:ext>
          </c:extLst>
        </c:ser>
        <c:dLbls>
          <c:showLegendKey val="0"/>
          <c:showVal val="0"/>
          <c:showCatName val="0"/>
          <c:showSerName val="0"/>
          <c:showPercent val="0"/>
          <c:showBubbleSize val="0"/>
        </c:dLbls>
        <c:gapWidth val="50"/>
        <c:overlap val="100"/>
        <c:axId val="364514760"/>
        <c:axId val="1"/>
      </c:barChart>
      <c:catAx>
        <c:axId val="364514760"/>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364514760"/>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71396846853065E-2"/>
          <c:y val="8.4337597472695883E-2"/>
          <c:w val="0.90960702906246982"/>
          <c:h val="0.716869578517915"/>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B29-43D2-BC5C-BEAA1FF33C6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B29-43D2-BC5C-BEAA1FF33C6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B29-43D2-BC5C-BEAA1FF33C6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0B29-43D2-BC5C-BEAA1FF33C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旧結果!$R$40:$R$42</c:f>
              <c:numCache>
                <c:formatCode>General</c:formatCode>
                <c:ptCount val="3"/>
                <c:pt idx="0">
                  <c:v>0</c:v>
                </c:pt>
                <c:pt idx="1">
                  <c:v>0</c:v>
                </c:pt>
                <c:pt idx="2">
                  <c:v>0</c:v>
                </c:pt>
              </c:numCache>
            </c:numRef>
          </c:cat>
          <c:val>
            <c:numRef>
              <c:f>旧結果!$S$40:$S$42</c:f>
              <c:numCache>
                <c:formatCode>0.0;_Ā</c:formatCode>
                <c:ptCount val="3"/>
                <c:pt idx="0">
                  <c:v>3</c:v>
                </c:pt>
                <c:pt idx="1">
                  <c:v>3.2</c:v>
                </c:pt>
                <c:pt idx="2">
                  <c:v>0</c:v>
                </c:pt>
              </c:numCache>
            </c:numRef>
          </c:val>
          <c:extLst>
            <c:ext xmlns:c16="http://schemas.microsoft.com/office/drawing/2014/chart" uri="{C3380CC4-5D6E-409C-BE32-E72D297353CC}">
              <c16:uniqueId val="{00000004-0B29-43D2-BC5C-BEAA1FF33C61}"/>
            </c:ext>
          </c:extLst>
        </c:ser>
        <c:dLbls>
          <c:showLegendKey val="0"/>
          <c:showVal val="0"/>
          <c:showCatName val="0"/>
          <c:showSerName val="0"/>
          <c:showPercent val="0"/>
          <c:showBubbleSize val="0"/>
        </c:dLbls>
        <c:gapWidth val="40"/>
        <c:axId val="364516400"/>
        <c:axId val="1"/>
      </c:barChart>
      <c:catAx>
        <c:axId val="36451640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64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63933920024701E-2"/>
          <c:y val="8.5365853658536592E-2"/>
          <c:w val="0.91708542713567842"/>
          <c:h val="0.7357723577235771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60B-420D-B5F7-F1409C198F5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60B-420D-B5F7-F1409C198F5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60B-420D-B5F7-F1409C198F5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旧結果!$U$40:$U$42</c:f>
              <c:numCache>
                <c:formatCode>General</c:formatCode>
                <c:ptCount val="3"/>
                <c:pt idx="0">
                  <c:v>0</c:v>
                </c:pt>
                <c:pt idx="1">
                  <c:v>0</c:v>
                </c:pt>
                <c:pt idx="2">
                  <c:v>0</c:v>
                </c:pt>
              </c:numCache>
            </c:numRef>
          </c:cat>
          <c:val>
            <c:numRef>
              <c:f>旧結果!$V$40:$V$42</c:f>
              <c:numCache>
                <c:formatCode>0.0_ </c:formatCode>
                <c:ptCount val="3"/>
                <c:pt idx="0">
                  <c:v>0</c:v>
                </c:pt>
                <c:pt idx="1">
                  <c:v>0</c:v>
                </c:pt>
                <c:pt idx="2">
                  <c:v>0</c:v>
                </c:pt>
              </c:numCache>
            </c:numRef>
          </c:val>
          <c:extLst>
            <c:ext xmlns:c16="http://schemas.microsoft.com/office/drawing/2014/chart" uri="{C3380CC4-5D6E-409C-BE32-E72D297353CC}">
              <c16:uniqueId val="{00000003-960B-420D-B5F7-F1409C198F5D}"/>
            </c:ext>
          </c:extLst>
        </c:ser>
        <c:dLbls>
          <c:showLegendKey val="0"/>
          <c:showVal val="0"/>
          <c:showCatName val="0"/>
          <c:showSerName val="0"/>
          <c:showPercent val="0"/>
          <c:showBubbleSize val="0"/>
        </c:dLbls>
        <c:gapWidth val="40"/>
        <c:axId val="364515088"/>
        <c:axId val="1"/>
      </c:barChart>
      <c:catAx>
        <c:axId val="3645150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508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55195634178696"/>
          <c:y val="0.10236957222452457"/>
          <c:w val="0.65738445367332121"/>
          <c:h val="0.77980353333026353"/>
        </c:manualLayout>
      </c:layout>
      <c:radarChart>
        <c:radarStyle val="filled"/>
        <c:varyColors val="0"/>
        <c:ser>
          <c:idx val="0"/>
          <c:order val="0"/>
          <c:tx>
            <c:strRef>
              <c:f>旧結果!$W$8</c:f>
              <c:strCache>
                <c:ptCount val="1"/>
                <c:pt idx="0">
                  <c:v>5</c:v>
                </c:pt>
              </c:strCache>
            </c:strRef>
          </c:tx>
          <c:spPr>
            <a:solidFill>
              <a:srgbClr val="FFFFCC"/>
            </a:solid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旧結果!$W$9:$W$12</c:f>
              <c:numCache>
                <c:formatCode>General</c:formatCode>
                <c:ptCount val="4"/>
                <c:pt idx="0">
                  <c:v>5</c:v>
                </c:pt>
                <c:pt idx="1">
                  <c:v>5</c:v>
                </c:pt>
                <c:pt idx="2">
                  <c:v>5</c:v>
                </c:pt>
                <c:pt idx="3">
                  <c:v>5</c:v>
                </c:pt>
              </c:numCache>
            </c:numRef>
          </c:val>
          <c:extLst>
            <c:ext xmlns:c16="http://schemas.microsoft.com/office/drawing/2014/chart" uri="{C3380CC4-5D6E-409C-BE32-E72D297353CC}">
              <c16:uniqueId val="{00000000-DBE5-41BE-BC1A-2DE71D6BDED6}"/>
            </c:ext>
          </c:extLst>
        </c:ser>
        <c:ser>
          <c:idx val="5"/>
          <c:order val="1"/>
          <c:tx>
            <c:strRef>
              <c:f>旧結果!$AA$8</c:f>
              <c:strCache>
                <c:ptCount val="1"/>
                <c:pt idx="0">
                  <c:v>評価</c:v>
                </c:pt>
              </c:strCache>
            </c:strRef>
          </c:tx>
          <c:spPr>
            <a:solidFill>
              <a:schemeClr val="accent1">
                <a:lumMod val="20000"/>
                <a:lumOff val="80000"/>
              </a:schemeClr>
            </a:solidFill>
            <a:ln w="19050">
              <a:solidFill>
                <a:schemeClr val="tx1"/>
              </a:solidFill>
            </a:ln>
          </c:spPr>
          <c:cat>
            <c:strRef>
              <c:f>旧結果!$V$9:$V$12</c:f>
              <c:strCache>
                <c:ptCount val="4"/>
                <c:pt idx="0">
                  <c:v>Q2 社会</c:v>
                </c:pt>
                <c:pt idx="1">
                  <c:v>Q3 経済</c:v>
                </c:pt>
                <c:pt idx="2">
                  <c:v>LR 環境負荷低減</c:v>
                </c:pt>
                <c:pt idx="3">
                  <c:v>Q1 環境</c:v>
                </c:pt>
              </c:strCache>
            </c:strRef>
          </c:cat>
          <c:val>
            <c:numRef>
              <c:f>旧結果!$AA$9:$AA$12</c:f>
              <c:numCache>
                <c:formatCode>0.0_ </c:formatCode>
                <c:ptCount val="4"/>
                <c:pt idx="0">
                  <c:v>3</c:v>
                </c:pt>
                <c:pt idx="1">
                  <c:v>3.1</c:v>
                </c:pt>
                <c:pt idx="2">
                  <c:v>3</c:v>
                </c:pt>
                <c:pt idx="3">
                  <c:v>3</c:v>
                </c:pt>
              </c:numCache>
            </c:numRef>
          </c:val>
          <c:extLst>
            <c:ext xmlns:c16="http://schemas.microsoft.com/office/drawing/2014/chart" uri="{C3380CC4-5D6E-409C-BE32-E72D297353CC}">
              <c16:uniqueId val="{00000001-DBE5-41BE-BC1A-2DE71D6BDED6}"/>
            </c:ext>
          </c:extLst>
        </c:ser>
        <c:ser>
          <c:idx val="1"/>
          <c:order val="2"/>
          <c:tx>
            <c:strRef>
              <c:f>旧結果!$X$8</c:f>
              <c:strCache>
                <c:ptCount val="1"/>
                <c:pt idx="0">
                  <c:v>4</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旧結果!$X$9:$X$12</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DBE5-41BE-BC1A-2DE71D6BDED6}"/>
            </c:ext>
          </c:extLst>
        </c:ser>
        <c:ser>
          <c:idx val="4"/>
          <c:order val="3"/>
          <c:tx>
            <c:strRef>
              <c:f>旧結果!$Y$8</c:f>
              <c:strCache>
                <c:ptCount val="1"/>
                <c:pt idx="0">
                  <c:v>3</c:v>
                </c:pt>
              </c:strCache>
            </c:strRef>
          </c:tx>
          <c:spPr>
            <a:noFill/>
            <a:ln w="12700">
              <a:solidFill>
                <a:schemeClr val="tx1"/>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3-DBE5-41BE-BC1A-2DE71D6BDED6}"/>
            </c:ext>
          </c:extLst>
        </c:ser>
        <c:ser>
          <c:idx val="2"/>
          <c:order val="4"/>
          <c:tx>
            <c:strRef>
              <c:f>旧結果!$Z$8</c:f>
              <c:strCache>
                <c:ptCount val="1"/>
                <c:pt idx="0">
                  <c:v>2</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旧結果!$Z$9:$Z$12</c:f>
              <c:numCache>
                <c:formatCode>General</c:formatCode>
                <c:ptCount val="4"/>
                <c:pt idx="0">
                  <c:v>2</c:v>
                </c:pt>
                <c:pt idx="1">
                  <c:v>2</c:v>
                </c:pt>
                <c:pt idx="2">
                  <c:v>2</c:v>
                </c:pt>
                <c:pt idx="3">
                  <c:v>2</c:v>
                </c:pt>
              </c:numCache>
            </c:numRef>
          </c:val>
          <c:extLst>
            <c:ext xmlns:c16="http://schemas.microsoft.com/office/drawing/2014/chart" uri="{C3380CC4-5D6E-409C-BE32-E72D297353CC}">
              <c16:uniqueId val="{00000004-DBE5-41BE-BC1A-2DE71D6BDED6}"/>
            </c:ext>
          </c:extLst>
        </c:ser>
        <c:ser>
          <c:idx val="3"/>
          <c:order val="5"/>
          <c:tx>
            <c:v>平均値（3点）</c:v>
          </c:tx>
          <c:spPr>
            <a:noFill/>
            <a:ln w="19050">
              <a:solidFill>
                <a:srgbClr val="FF0000"/>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5-DBE5-41BE-BC1A-2DE71D6BDED6}"/>
            </c:ext>
          </c:extLst>
        </c:ser>
        <c:dLbls>
          <c:showLegendKey val="0"/>
          <c:showVal val="0"/>
          <c:showCatName val="0"/>
          <c:showSerName val="0"/>
          <c:showPercent val="0"/>
          <c:showBubbleSize val="0"/>
        </c:dLbls>
        <c:axId val="364515416"/>
        <c:axId val="1"/>
      </c:radarChart>
      <c:catAx>
        <c:axId val="364515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a:pPr>
            <a:endParaRPr lang="ja-JP"/>
          </a:p>
        </c:txPr>
        <c:crossAx val="1"/>
        <c:crosses val="autoZero"/>
        <c:auto val="0"/>
        <c:lblAlgn val="ctr"/>
        <c:lblOffset val="100"/>
        <c:noMultiLvlLbl val="0"/>
      </c:catAx>
      <c:valAx>
        <c:axId val="1"/>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a:pPr>
            <a:endParaRPr lang="ja-JP"/>
          </a:p>
        </c:txPr>
        <c:crossAx val="364515416"/>
        <c:crosses val="autoZero"/>
        <c:crossBetween val="between"/>
        <c:majorUnit val="1"/>
      </c:valAx>
      <c:spPr>
        <a:noFill/>
        <a:ln w="25400">
          <a:noFill/>
        </a:ln>
      </c:spPr>
    </c:plotArea>
    <c:plotVisOnly val="0"/>
    <c:dispBlanksAs val="gap"/>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paperSize="9" orientation="landscape"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176E-2"/>
          <c:w val="0.90965506309009148"/>
          <c:h val="0.70588235294117663"/>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旧結果!$R$46:$R$47</c:f>
              <c:strCache>
                <c:ptCount val="2"/>
                <c:pt idx="0">
                  <c:v>BAU</c:v>
                </c:pt>
                <c:pt idx="1">
                  <c:v>施策後</c:v>
                </c:pt>
              </c:strCache>
            </c:strRef>
          </c:cat>
          <c:val>
            <c:numRef>
              <c:f>旧結果!$S$46:$S$47</c:f>
              <c:numCache>
                <c:formatCode>#,##0.0;[Red]\-#,##0.0</c:formatCode>
                <c:ptCount val="2"/>
                <c:pt idx="0">
                  <c:v>0</c:v>
                </c:pt>
                <c:pt idx="1">
                  <c:v>3</c:v>
                </c:pt>
              </c:numCache>
            </c:numRef>
          </c:val>
          <c:extLst>
            <c:ext xmlns:c16="http://schemas.microsoft.com/office/drawing/2014/chart" uri="{C3380CC4-5D6E-409C-BE32-E72D297353CC}">
              <c16:uniqueId val="{00000000-0601-43D8-B4A0-F0DBD2629E09}"/>
            </c:ext>
          </c:extLst>
        </c:ser>
        <c:dLbls>
          <c:showLegendKey val="0"/>
          <c:showVal val="0"/>
          <c:showCatName val="0"/>
          <c:showSerName val="0"/>
          <c:showPercent val="0"/>
          <c:showBubbleSize val="0"/>
        </c:dLbls>
        <c:gapWidth val="40"/>
        <c:axId val="365140016"/>
        <c:axId val="1"/>
      </c:barChart>
      <c:catAx>
        <c:axId val="36514001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40016"/>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71254998846691E-2"/>
          <c:y val="8.8235294117647217E-2"/>
          <c:w val="0.90960343640892671"/>
          <c:h val="0.70588235294117663"/>
        </c:manualLayout>
      </c:layout>
      <c:barChart>
        <c:barDir val="col"/>
        <c:grouping val="clustered"/>
        <c:varyColors val="0"/>
        <c:ser>
          <c:idx val="0"/>
          <c:order val="0"/>
          <c:spPr>
            <a:solidFill>
              <a:schemeClr val="accent3">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旧結果!$X$46:$X$47</c:f>
              <c:strCache>
                <c:ptCount val="2"/>
                <c:pt idx="0">
                  <c:v>BAU</c:v>
                </c:pt>
                <c:pt idx="1">
                  <c:v>施策後</c:v>
                </c:pt>
              </c:strCache>
            </c:strRef>
          </c:cat>
          <c:val>
            <c:numRef>
              <c:f>旧結果!$Y$46:$Y$47</c:f>
              <c:numCache>
                <c:formatCode>0.0_ </c:formatCode>
                <c:ptCount val="2"/>
                <c:pt idx="0">
                  <c:v>0</c:v>
                </c:pt>
                <c:pt idx="1">
                  <c:v>0</c:v>
                </c:pt>
              </c:numCache>
            </c:numRef>
          </c:val>
          <c:extLst>
            <c:ext xmlns:c16="http://schemas.microsoft.com/office/drawing/2014/chart" uri="{C3380CC4-5D6E-409C-BE32-E72D297353CC}">
              <c16:uniqueId val="{00000000-184C-4392-8263-CD7F26EB0430}"/>
            </c:ext>
          </c:extLst>
        </c:ser>
        <c:dLbls>
          <c:showLegendKey val="0"/>
          <c:showVal val="0"/>
          <c:showCatName val="0"/>
          <c:showSerName val="0"/>
          <c:showPercent val="0"/>
          <c:showBubbleSize val="0"/>
        </c:dLbls>
        <c:gapWidth val="40"/>
        <c:axId val="365137720"/>
        <c:axId val="1"/>
      </c:barChart>
      <c:catAx>
        <c:axId val="36513772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772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217E-2"/>
          <c:w val="0.90965506309009181"/>
          <c:h val="0.70588235294117663"/>
        </c:manualLayout>
      </c:layout>
      <c:barChart>
        <c:barDir val="col"/>
        <c:grouping val="clustered"/>
        <c:varyColors val="0"/>
        <c:ser>
          <c:idx val="0"/>
          <c:order val="0"/>
          <c:spPr>
            <a:solidFill>
              <a:schemeClr val="accent2">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旧結果!$U$46:$U$47</c:f>
              <c:strCache>
                <c:ptCount val="2"/>
                <c:pt idx="0">
                  <c:v>BAU</c:v>
                </c:pt>
                <c:pt idx="1">
                  <c:v>施策後</c:v>
                </c:pt>
              </c:strCache>
            </c:strRef>
          </c:cat>
          <c:val>
            <c:numRef>
              <c:f>旧結果!$V$46:$V$47</c:f>
              <c:numCache>
                <c:formatCode>0.0_ </c:formatCode>
                <c:ptCount val="2"/>
                <c:pt idx="0">
                  <c:v>0</c:v>
                </c:pt>
                <c:pt idx="1">
                  <c:v>0</c:v>
                </c:pt>
              </c:numCache>
            </c:numRef>
          </c:val>
          <c:extLst>
            <c:ext xmlns:c16="http://schemas.microsoft.com/office/drawing/2014/chart" uri="{C3380CC4-5D6E-409C-BE32-E72D297353CC}">
              <c16:uniqueId val="{00000000-6CF1-4F02-9464-28A8C248C96D}"/>
            </c:ext>
          </c:extLst>
        </c:ser>
        <c:dLbls>
          <c:showLegendKey val="0"/>
          <c:showVal val="0"/>
          <c:showCatName val="0"/>
          <c:showSerName val="0"/>
          <c:showPercent val="0"/>
          <c:showBubbleSize val="0"/>
        </c:dLbls>
        <c:gapWidth val="40"/>
        <c:axId val="365139688"/>
        <c:axId val="1"/>
      </c:barChart>
      <c:catAx>
        <c:axId val="3651396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9688"/>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44" r="0.75000000000000144"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 (2)'!$S$30</c:f>
              <c:strCache>
                <c:ptCount val="1"/>
                <c:pt idx="0">
                  <c:v>S</c:v>
                </c:pt>
              </c:strCache>
            </c:strRef>
          </c:tx>
          <c:spPr>
            <a:pattFill prst="pct70">
              <a:fgClr>
                <a:srgbClr val="339966"/>
              </a:fgClr>
              <a:bgClr>
                <a:srgbClr val="FFFFFF"/>
              </a:bgClr>
            </a:patt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070F-4899-8C02-655674E8E9DA}"/>
            </c:ext>
          </c:extLst>
        </c:ser>
        <c:ser>
          <c:idx val="3"/>
          <c:order val="4"/>
          <c:tx>
            <c:strRef>
              <c:f>'結果 (2)'!$S$31</c:f>
              <c:strCache>
                <c:ptCount val="1"/>
                <c:pt idx="0">
                  <c:v>A</c:v>
                </c:pt>
              </c:strCache>
            </c:strRef>
          </c:tx>
          <c:spPr>
            <a:pattFill prst="pct90">
              <a:fgClr>
                <a:srgbClr val="CCFFCC"/>
              </a:fgClr>
              <a:bgClr>
                <a:srgbClr val="FFFFFF"/>
              </a:bgClr>
            </a:patt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070F-4899-8C02-655674E8E9DA}"/>
            </c:ext>
          </c:extLst>
        </c:ser>
        <c:ser>
          <c:idx val="2"/>
          <c:order val="5"/>
          <c:tx>
            <c:strRef>
              <c:f>'結果 (2)'!$S$32</c:f>
              <c:strCache>
                <c:ptCount val="1"/>
                <c:pt idx="0">
                  <c:v>B+</c:v>
                </c:pt>
              </c:strCache>
            </c:strRef>
          </c:tx>
          <c:spPr>
            <a:solidFill>
              <a:srgbClr val="FFFFCC"/>
            </a:solid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070F-4899-8C02-655674E8E9DA}"/>
            </c:ext>
          </c:extLst>
        </c:ser>
        <c:ser>
          <c:idx val="1"/>
          <c:order val="6"/>
          <c:tx>
            <c:strRef>
              <c:f>'結果 (2)'!$S$34</c:f>
              <c:strCache>
                <c:ptCount val="1"/>
                <c:pt idx="0">
                  <c:v>B-</c:v>
                </c:pt>
              </c:strCache>
            </c:strRef>
          </c:tx>
          <c:spPr>
            <a:solidFill>
              <a:srgbClr val="FFFFFF"/>
            </a:solid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070F-4899-8C02-655674E8E9DA}"/>
            </c:ext>
          </c:extLst>
        </c:ser>
        <c:ser>
          <c:idx val="0"/>
          <c:order val="7"/>
          <c:tx>
            <c:strRef>
              <c:f>'結果 (2)'!$S$33</c:f>
              <c:strCache>
                <c:ptCount val="1"/>
                <c:pt idx="0">
                  <c:v>B</c:v>
                </c:pt>
              </c:strCache>
            </c:strRef>
          </c:tx>
          <c:spPr>
            <a:no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070F-4899-8C02-655674E8E9DA}"/>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070F-4899-8C02-655674E8E9DA}"/>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0F-4899-8C02-655674E8E9DA}"/>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0F-4899-8C02-655674E8E9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 (2)'!$R$26:$U$26</c:f>
              <c:numCache>
                <c:formatCode>General</c:formatCode>
                <c:ptCount val="4"/>
                <c:pt idx="0">
                  <c:v>0</c:v>
                </c:pt>
                <c:pt idx="1">
                  <c:v>52.469135802469147</c:v>
                </c:pt>
                <c:pt idx="2" formatCode="#,##0_);[Red]\(#,##0\)">
                  <c:v>52.469135802469147</c:v>
                </c:pt>
                <c:pt idx="3">
                  <c:v>0.1</c:v>
                </c:pt>
              </c:numCache>
            </c:numRef>
          </c:xVal>
          <c:yVal>
            <c:numRef>
              <c:f>'結果 (2)'!$R$27:$U$27</c:f>
              <c:numCache>
                <c:formatCode>General</c:formatCode>
                <c:ptCount val="4"/>
                <c:pt idx="0">
                  <c:v>0</c:v>
                </c:pt>
                <c:pt idx="1">
                  <c:v>0</c:v>
                </c:pt>
                <c:pt idx="2">
                  <c:v>51.807760141093475</c:v>
                </c:pt>
                <c:pt idx="3" formatCode="#,##0_);[Red]\(#,##0\)">
                  <c:v>51.807760141093475</c:v>
                </c:pt>
              </c:numCache>
            </c:numRef>
          </c:yVal>
          <c:smooth val="0"/>
          <c:extLst>
            <c:ext xmlns:c16="http://schemas.microsoft.com/office/drawing/2014/chart" uri="{C3380CC4-5D6E-409C-BE32-E72D297353CC}">
              <c16:uniqueId val="{00000009-070F-4899-8C02-655674E8E9DA}"/>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070F-4899-8C02-655674E8E9DA}"/>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070F-4899-8C02-655674E8E9DA}"/>
              </c:ext>
            </c:extLst>
          </c:dPt>
          <c:xVal>
            <c:numRef>
              <c:f>'結果 (2)'!$R$26:$U$26</c:f>
              <c:numCache>
                <c:formatCode>General</c:formatCode>
                <c:ptCount val="4"/>
                <c:pt idx="0">
                  <c:v>0</c:v>
                </c:pt>
                <c:pt idx="1">
                  <c:v>52.469135802469147</c:v>
                </c:pt>
                <c:pt idx="2" formatCode="#,##0_);[Red]\(#,##0\)">
                  <c:v>52.469135802469147</c:v>
                </c:pt>
                <c:pt idx="3">
                  <c:v>0.1</c:v>
                </c:pt>
              </c:numCache>
            </c:numRef>
          </c:xVal>
          <c:yVal>
            <c:numRef>
              <c:f>'結果 (2)'!$R$27:$U$27</c:f>
              <c:numCache>
                <c:formatCode>General</c:formatCode>
                <c:ptCount val="4"/>
                <c:pt idx="0">
                  <c:v>0</c:v>
                </c:pt>
                <c:pt idx="1">
                  <c:v>0</c:v>
                </c:pt>
                <c:pt idx="2">
                  <c:v>51.807760141093475</c:v>
                </c:pt>
                <c:pt idx="3" formatCode="#,##0_);[Red]\(#,##0\)">
                  <c:v>51.807760141093475</c:v>
                </c:pt>
              </c:numCache>
            </c:numRef>
          </c:yVal>
          <c:smooth val="0"/>
          <c:extLst>
            <c:ext xmlns:c16="http://schemas.microsoft.com/office/drawing/2014/chart" uri="{C3380CC4-5D6E-409C-BE32-E72D297353CC}">
              <c16:uniqueId val="{0000000C-070F-4899-8C02-655674E8E9DA}"/>
            </c:ext>
          </c:extLst>
        </c:ser>
        <c:ser>
          <c:idx val="5"/>
          <c:order val="2"/>
          <c:tx>
            <c:strRef>
              <c:f>'結果 (2)'!$S$12</c:f>
              <c:strCache>
                <c:ptCount val="1"/>
                <c:pt idx="0">
                  <c:v>0.9</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070F-4899-8C02-655674E8E9DA}"/>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070F-4899-8C02-655674E8E9DA}"/>
              </c:ext>
            </c:extLst>
          </c:dPt>
          <c:dPt>
            <c:idx val="2"/>
            <c:bubble3D val="0"/>
            <c:spPr>
              <a:ln w="38100">
                <a:solidFill>
                  <a:srgbClr val="008000"/>
                </a:solidFill>
                <a:prstDash val="solid"/>
              </a:ln>
            </c:spPr>
            <c:extLst>
              <c:ext xmlns:c16="http://schemas.microsoft.com/office/drawing/2014/chart" uri="{C3380CC4-5D6E-409C-BE32-E72D297353CC}">
                <c16:uniqueId val="{00000011-070F-4899-8C02-655674E8E9DA}"/>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070F-4899-8C02-655674E8E9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 (2)'!$S$24:$U$24</c:f>
              <c:numCache>
                <c:formatCode>#,##0_);[Red]\(#,##0\)</c:formatCode>
                <c:ptCount val="3"/>
                <c:pt idx="1">
                  <c:v>52.469135802469147</c:v>
                </c:pt>
                <c:pt idx="2" formatCode="General">
                  <c:v>0</c:v>
                </c:pt>
              </c:numCache>
            </c:numRef>
          </c:xVal>
          <c:yVal>
            <c:numRef>
              <c:f>'結果 (2)'!$S$25:$U$25</c:f>
              <c:numCache>
                <c:formatCode>#,##0_);[Red]\(#,##0\)</c:formatCode>
                <c:ptCount val="3"/>
                <c:pt idx="1">
                  <c:v>51.807760141093475</c:v>
                </c:pt>
                <c:pt idx="2" formatCode="General">
                  <c:v>0</c:v>
                </c:pt>
              </c:numCache>
            </c:numRef>
          </c:yVal>
          <c:smooth val="0"/>
          <c:extLst>
            <c:ext xmlns:c16="http://schemas.microsoft.com/office/drawing/2014/chart" uri="{C3380CC4-5D6E-409C-BE32-E72D297353CC}">
              <c16:uniqueId val="{00000012-070F-4899-8C02-655674E8E9DA}"/>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 (2)'!$S$39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E934-4100-8260-5A3C346C4966}"/>
              </c:ext>
            </c:extLst>
          </c:dPt>
          <c:val>
            <c:numRef>
              <c:f>'結果 (2)'!$S$40:$S$43</c:f>
              <c:numCache>
                <c:formatCode>#,##0_);[Red]\(#,##0\)</c:formatCode>
                <c:ptCount val="4"/>
                <c:pt idx="0">
                  <c:v>0</c:v>
                </c:pt>
                <c:pt idx="1">
                  <c:v>0</c:v>
                </c:pt>
              </c:numCache>
            </c:numRef>
          </c:val>
          <c:extLst>
            <c:ext xmlns:c16="http://schemas.microsoft.com/office/drawing/2014/chart" uri="{C3380CC4-5D6E-409C-BE32-E72D297353CC}">
              <c16:uniqueId val="{00000002-E934-4100-8260-5A3C346C4966}"/>
            </c:ext>
          </c:extLst>
        </c:ser>
        <c:ser>
          <c:idx val="1"/>
          <c:order val="1"/>
          <c:tx>
            <c:strRef>
              <c:f>'結果 (2)'!$T$39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E934-4100-8260-5A3C346C4966}"/>
              </c:ext>
            </c:extLst>
          </c:dPt>
          <c:val>
            <c:numRef>
              <c:f>'結果 (2)'!$T$40:$T$43</c:f>
              <c:numCache>
                <c:formatCode>#,##0_);[Red]\(#,##0\)</c:formatCode>
                <c:ptCount val="4"/>
                <c:pt idx="0">
                  <c:v>0</c:v>
                </c:pt>
                <c:pt idx="1">
                  <c:v>0</c:v>
                </c:pt>
              </c:numCache>
            </c:numRef>
          </c:val>
          <c:extLst>
            <c:ext xmlns:c16="http://schemas.microsoft.com/office/drawing/2014/chart" uri="{C3380CC4-5D6E-409C-BE32-E72D297353CC}">
              <c16:uniqueId val="{00000005-E934-4100-8260-5A3C346C4966}"/>
            </c:ext>
          </c:extLst>
        </c:ser>
        <c:ser>
          <c:idx val="2"/>
          <c:order val="2"/>
          <c:tx>
            <c:strRef>
              <c:f>'結果 (2)'!$U$39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E934-4100-8260-5A3C346C4966}"/>
              </c:ext>
            </c:extLst>
          </c:dPt>
          <c:val>
            <c:numRef>
              <c:f>'結果 (2)'!$U$40:$U$43</c:f>
              <c:numCache>
                <c:formatCode>#,##0_);[Red]\(#,##0\)</c:formatCode>
                <c:ptCount val="4"/>
                <c:pt idx="0">
                  <c:v>0</c:v>
                </c:pt>
                <c:pt idx="1">
                  <c:v>0</c:v>
                </c:pt>
              </c:numCache>
            </c:numRef>
          </c:val>
          <c:extLst>
            <c:ext xmlns:c16="http://schemas.microsoft.com/office/drawing/2014/chart" uri="{C3380CC4-5D6E-409C-BE32-E72D297353CC}">
              <c16:uniqueId val="{00000008-E934-4100-8260-5A3C346C4966}"/>
            </c:ext>
          </c:extLst>
        </c:ser>
        <c:ser>
          <c:idx val="3"/>
          <c:order val="3"/>
          <c:tx>
            <c:strRef>
              <c:f>'結果 (2)'!$V$39</c:f>
              <c:strCache>
                <c:ptCount val="1"/>
                <c:pt idx="0">
                  <c:v>オンサイト</c:v>
                </c:pt>
              </c:strCache>
            </c:strRef>
          </c:tx>
          <c:spPr>
            <a:solidFill>
              <a:srgbClr val="C0C0C0"/>
            </a:solidFill>
            <a:ln w="12700">
              <a:solidFill>
                <a:srgbClr val="000000"/>
              </a:solidFill>
              <a:prstDash val="solid"/>
            </a:ln>
          </c:spPr>
          <c:invertIfNegative val="0"/>
          <c:val>
            <c:numRef>
              <c:f>'結果 (2)'!$V$40:$V$43</c:f>
              <c:numCache>
                <c:formatCode>General</c:formatCode>
                <c:ptCount val="4"/>
                <c:pt idx="2" formatCode="#,##0_);[Red]\(#,##0\)">
                  <c:v>0</c:v>
                </c:pt>
              </c:numCache>
            </c:numRef>
          </c:val>
          <c:extLst>
            <c:ext xmlns:c16="http://schemas.microsoft.com/office/drawing/2014/chart" uri="{C3380CC4-5D6E-409C-BE32-E72D297353CC}">
              <c16:uniqueId val="{00000009-E934-4100-8260-5A3C346C4966}"/>
            </c:ext>
          </c:extLst>
        </c:ser>
        <c:ser>
          <c:idx val="4"/>
          <c:order val="4"/>
          <c:tx>
            <c:strRef>
              <c:f>'結果 (2)'!$W$39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 (2)'!$W$40:$W$43</c:f>
              <c:numCache>
                <c:formatCode>General</c:formatCode>
                <c:ptCount val="4"/>
                <c:pt idx="3" formatCode="#,##0_);[Red]\(#,##0\)">
                  <c:v>0</c:v>
                </c:pt>
              </c:numCache>
            </c:numRef>
          </c:val>
          <c:extLst>
            <c:ext xmlns:c16="http://schemas.microsoft.com/office/drawing/2014/chart" uri="{C3380CC4-5D6E-409C-BE32-E72D297353CC}">
              <c16:uniqueId val="{0000000A-E934-4100-8260-5A3C346C4966}"/>
            </c:ext>
          </c:extLst>
        </c:ser>
        <c:dLbls>
          <c:showLegendKey val="0"/>
          <c:showVal val="0"/>
          <c:showCatName val="0"/>
          <c:showSerName val="0"/>
          <c:showPercent val="0"/>
          <c:showBubbleSize val="0"/>
        </c:dLbls>
        <c:gapWidth val="50"/>
        <c:overlap val="100"/>
        <c:axId val="500315000"/>
        <c:axId val="500315392"/>
      </c:barChart>
      <c:catAx>
        <c:axId val="500315000"/>
        <c:scaling>
          <c:orientation val="maxMin"/>
        </c:scaling>
        <c:delete val="1"/>
        <c:axPos val="l"/>
        <c:majorTickMark val="out"/>
        <c:minorTickMark val="none"/>
        <c:tickLblPos val="nextTo"/>
        <c:crossAx val="500315392"/>
        <c:crosses val="autoZero"/>
        <c:auto val="1"/>
        <c:lblAlgn val="ctr"/>
        <c:lblOffset val="100"/>
        <c:noMultiLvlLbl val="0"/>
      </c:catAx>
      <c:valAx>
        <c:axId val="500315392"/>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5000"/>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CD1-4D17-A4CE-0C39E914C6C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CD1-4D17-A4CE-0C39E914C6C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CD1-4D17-A4CE-0C39E914C6C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3CD1-4D17-A4CE-0C39E914C6C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(2)'!$R$49:$R$52</c:f>
              <c:strCache>
                <c:ptCount val="4"/>
                <c:pt idx="0">
                  <c:v>自然環境</c:v>
                </c:pt>
                <c:pt idx="1">
                  <c:v>生活環境</c:v>
                </c:pt>
                <c:pt idx="2">
                  <c:v>建築物
環境配慮</c:v>
                </c:pt>
                <c:pt idx="3">
                  <c:v>環境性能
スマート化</c:v>
                </c:pt>
              </c:strCache>
            </c:strRef>
          </c:cat>
          <c:val>
            <c:numRef>
              <c:f>'結果 (2)'!$S$49:$S$52</c:f>
              <c:numCache>
                <c:formatCode>0.0;_Ā</c:formatCode>
                <c:ptCount val="4"/>
                <c:pt idx="0">
                  <c:v>3</c:v>
                </c:pt>
                <c:pt idx="1">
                  <c:v>3.2</c:v>
                </c:pt>
                <c:pt idx="2">
                  <c:v>3</c:v>
                </c:pt>
                <c:pt idx="3">
                  <c:v>3</c:v>
                </c:pt>
              </c:numCache>
            </c:numRef>
          </c:val>
          <c:extLst>
            <c:ext xmlns:c16="http://schemas.microsoft.com/office/drawing/2014/chart" uri="{C3380CC4-5D6E-409C-BE32-E72D297353CC}">
              <c16:uniqueId val="{00000004-3CD1-4D17-A4CE-0C39E914C6CB}"/>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01C-4D52-8730-C931C4B3DDC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01C-4D52-8730-C931C4B3DDC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01C-4D52-8730-C931C4B3DDC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(2)'!$U$49:$U$54</c:f>
              <c:strCache>
                <c:ptCount val="6"/>
                <c:pt idx="0">
                  <c:v>ガバナンス</c:v>
                </c:pt>
                <c:pt idx="1">
                  <c:v>生活利便</c:v>
                </c:pt>
                <c:pt idx="2">
                  <c:v>健康福祉</c:v>
                </c:pt>
                <c:pt idx="3">
                  <c:v>安全安心</c:v>
                </c:pt>
                <c:pt idx="4">
                  <c:v>包摂性</c:v>
                </c:pt>
                <c:pt idx="5">
                  <c:v>社会性能
スマート化</c:v>
                </c:pt>
              </c:strCache>
            </c:strRef>
          </c:cat>
          <c:val>
            <c:numRef>
              <c:f>'結果 (2)'!$V$49:$V$54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A01C-4D52-8730-C931C4B3DDCB}"/>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06C-41D2-A93D-9D3B6E10A7B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06C-41D2-A93D-9D3B6E10A7B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06C-41D2-A93D-9D3B6E10A7B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(2)'!$X$49:$X$52</c:f>
              <c:strCache>
                <c:ptCount val="4"/>
                <c:pt idx="0">
                  <c:v>経済基盤</c:v>
                </c:pt>
                <c:pt idx="1">
                  <c:v>ヒューマン
キャピタル</c:v>
                </c:pt>
                <c:pt idx="2">
                  <c:v>活性化方策</c:v>
                </c:pt>
                <c:pt idx="3">
                  <c:v>経済性能
スマート化</c:v>
                </c:pt>
              </c:strCache>
            </c:strRef>
          </c:cat>
          <c:val>
            <c:numRef>
              <c:f>'結果 (2)'!$Y$49:$Y$52</c:f>
              <c:numCache>
                <c:formatCode>0.0_ </c:formatCode>
                <c:ptCount val="4"/>
                <c:pt idx="0">
                  <c:v>3</c:v>
                </c:pt>
                <c:pt idx="1">
                  <c:v>3.5</c:v>
                </c:pt>
                <c:pt idx="2">
                  <c:v>3</c:v>
                </c:pt>
                <c:pt idx="3">
                  <c:v>3</c:v>
                </c:pt>
              </c:numCache>
            </c:numRef>
          </c:val>
          <c:extLst>
            <c:ext xmlns:c16="http://schemas.microsoft.com/office/drawing/2014/chart" uri="{C3380CC4-5D6E-409C-BE32-E72D297353CC}">
              <c16:uniqueId val="{00000003-906C-41D2-A93D-9D3B6E10A7B4}"/>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E3EB-457C-BADA-DA7DA66246B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E3EB-457C-BADA-DA7DA66246B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E3EB-457C-BADA-DA7DA66246B4}"/>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E3EB-457C-BADA-DA7DA66246B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(2)'!$R$60:$R$63</c:f>
              <c:strCache>
                <c:ptCount val="4"/>
                <c:pt idx="0">
                  <c:v>エネルギー
効率化</c:v>
                </c:pt>
                <c:pt idx="1">
                  <c:v>再生
エネルギー</c:v>
                </c:pt>
                <c:pt idx="2">
                  <c:v>未利用
エネルギー</c:v>
                </c:pt>
                <c:pt idx="3">
                  <c:v>エネルギー
マネジメント</c:v>
                </c:pt>
              </c:strCache>
            </c:strRef>
          </c:cat>
          <c:val>
            <c:numRef>
              <c:f>'結果 (2)'!$S$60:$S$63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E3EB-457C-BADA-DA7DA66246B4}"/>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7.png"/><Relationship Id="rId18" Type="http://schemas.openxmlformats.org/officeDocument/2006/relationships/image" Target="../media/image12.png"/><Relationship Id="rId26" Type="http://schemas.openxmlformats.org/officeDocument/2006/relationships/image" Target="../media/image20.png"/><Relationship Id="rId3" Type="http://schemas.openxmlformats.org/officeDocument/2006/relationships/chart" Target="../charts/chart3.xml"/><Relationship Id="rId21" Type="http://schemas.openxmlformats.org/officeDocument/2006/relationships/image" Target="../media/image15.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11.png"/><Relationship Id="rId25" Type="http://schemas.openxmlformats.org/officeDocument/2006/relationships/image" Target="../media/image19.png"/><Relationship Id="rId2" Type="http://schemas.openxmlformats.org/officeDocument/2006/relationships/chart" Target="../charts/chart2.xml"/><Relationship Id="rId16" Type="http://schemas.openxmlformats.org/officeDocument/2006/relationships/image" Target="../media/image10.png"/><Relationship Id="rId20" Type="http://schemas.openxmlformats.org/officeDocument/2006/relationships/image" Target="../media/image14.png"/><Relationship Id="rId29"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18.png"/><Relationship Id="rId5" Type="http://schemas.openxmlformats.org/officeDocument/2006/relationships/chart" Target="../charts/chart5.xml"/><Relationship Id="rId15" Type="http://schemas.openxmlformats.org/officeDocument/2006/relationships/image" Target="../media/image9.png"/><Relationship Id="rId23" Type="http://schemas.openxmlformats.org/officeDocument/2006/relationships/image" Target="../media/image17.png"/><Relationship Id="rId28"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image" Target="../media/image13.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8.png"/><Relationship Id="rId22" Type="http://schemas.openxmlformats.org/officeDocument/2006/relationships/image" Target="../media/image16.png"/><Relationship Id="rId27" Type="http://schemas.openxmlformats.org/officeDocument/2006/relationships/chart" Target="../charts/chart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image" Target="../media/image22.png"/><Relationship Id="rId18" Type="http://schemas.openxmlformats.org/officeDocument/2006/relationships/image" Target="../media/image24.png"/><Relationship Id="rId26" Type="http://schemas.openxmlformats.org/officeDocument/2006/relationships/chart" Target="../charts/chart27.xml"/><Relationship Id="rId3" Type="http://schemas.openxmlformats.org/officeDocument/2006/relationships/chart" Target="../charts/chart18.xml"/><Relationship Id="rId21" Type="http://schemas.openxmlformats.org/officeDocument/2006/relationships/image" Target="../media/image25.png"/><Relationship Id="rId7" Type="http://schemas.openxmlformats.org/officeDocument/2006/relationships/chart" Target="../charts/chart22.xml"/><Relationship Id="rId12" Type="http://schemas.openxmlformats.org/officeDocument/2006/relationships/image" Target="../media/image7.png"/><Relationship Id="rId17" Type="http://schemas.openxmlformats.org/officeDocument/2006/relationships/image" Target="../media/image12.png"/><Relationship Id="rId25" Type="http://schemas.openxmlformats.org/officeDocument/2006/relationships/image" Target="../media/image20.png"/><Relationship Id="rId2" Type="http://schemas.openxmlformats.org/officeDocument/2006/relationships/chart" Target="../charts/chart17.xml"/><Relationship Id="rId16" Type="http://schemas.openxmlformats.org/officeDocument/2006/relationships/image" Target="../media/image23.png"/><Relationship Id="rId20" Type="http://schemas.openxmlformats.org/officeDocument/2006/relationships/image" Target="../media/image15.png"/><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24" Type="http://schemas.openxmlformats.org/officeDocument/2006/relationships/image" Target="../media/image19.png"/><Relationship Id="rId5" Type="http://schemas.openxmlformats.org/officeDocument/2006/relationships/chart" Target="../charts/chart20.xml"/><Relationship Id="rId15" Type="http://schemas.openxmlformats.org/officeDocument/2006/relationships/image" Target="../media/image10.png"/><Relationship Id="rId23" Type="http://schemas.openxmlformats.org/officeDocument/2006/relationships/image" Target="../media/image18.png"/><Relationship Id="rId28" Type="http://schemas.openxmlformats.org/officeDocument/2006/relationships/chart" Target="../charts/chart29.xml"/><Relationship Id="rId10" Type="http://schemas.openxmlformats.org/officeDocument/2006/relationships/chart" Target="../charts/chart25.xml"/><Relationship Id="rId19" Type="http://schemas.openxmlformats.org/officeDocument/2006/relationships/image" Target="../media/image14.png"/><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image" Target="../media/image9.png"/><Relationship Id="rId22" Type="http://schemas.openxmlformats.org/officeDocument/2006/relationships/image" Target="../media/image17.png"/><Relationship Id="rId27"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2.xml"/><Relationship Id="rId7" Type="http://schemas.openxmlformats.org/officeDocument/2006/relationships/image" Target="../media/image20.png"/><Relationship Id="rId12" Type="http://schemas.openxmlformats.org/officeDocument/2006/relationships/image" Target="../media/image19.png"/><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39.xml"/><Relationship Id="rId5" Type="http://schemas.openxmlformats.org/officeDocument/2006/relationships/chart" Target="../charts/chart34.xml"/><Relationship Id="rId10" Type="http://schemas.openxmlformats.org/officeDocument/2006/relationships/chart" Target="../charts/chart38.xml"/><Relationship Id="rId4" Type="http://schemas.openxmlformats.org/officeDocument/2006/relationships/chart" Target="../charts/chart33.xml"/><Relationship Id="rId9"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absolute">
    <xdr:from>
      <xdr:col>12</xdr:col>
      <xdr:colOff>1531</xdr:colOff>
      <xdr:row>26</xdr:row>
      <xdr:rowOff>20769</xdr:rowOff>
    </xdr:from>
    <xdr:to>
      <xdr:col>16</xdr:col>
      <xdr:colOff>708</xdr:colOff>
      <xdr:row>38</xdr:row>
      <xdr:rowOff>132419</xdr:rowOff>
    </xdr:to>
    <xdr:graphicFrame macro="">
      <xdr:nvGraphicFramePr>
        <xdr:cNvPr id="2" name="グラフ 1">
          <a:extLst>
            <a:ext uri="{FF2B5EF4-FFF2-40B4-BE49-F238E27FC236}">
              <a16:creationId xmlns:a16="http://schemas.microsoft.com/office/drawing/2014/main" id="{2D6D6EAA-75BF-43D2-B11F-32E648D947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512403</xdr:colOff>
      <xdr:row>26</xdr:row>
      <xdr:rowOff>94419</xdr:rowOff>
    </xdr:from>
    <xdr:to>
      <xdr:col>16</xdr:col>
      <xdr:colOff>16735</xdr:colOff>
      <xdr:row>27</xdr:row>
      <xdr:rowOff>131314</xdr:rowOff>
    </xdr:to>
    <xdr:sp macro="" textlink="$AD$30">
      <xdr:nvSpPr>
        <xdr:cNvPr id="3" name="テキスト ボックス 2">
          <a:extLst>
            <a:ext uri="{FF2B5EF4-FFF2-40B4-BE49-F238E27FC236}">
              <a16:creationId xmlns:a16="http://schemas.microsoft.com/office/drawing/2014/main" id="{A760854F-5176-47F5-AC25-E0FDB7D66132}"/>
            </a:ext>
          </a:extLst>
        </xdr:cNvPr>
        <xdr:cNvSpPr txBox="1"/>
      </xdr:nvSpPr>
      <xdr:spPr>
        <a:xfrm>
          <a:off x="8966793" y="4656894"/>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630555</xdr:colOff>
      <xdr:row>22</xdr:row>
      <xdr:rowOff>133350</xdr:rowOff>
    </xdr:from>
    <xdr:to>
      <xdr:col>7</xdr:col>
      <xdr:colOff>7620</xdr:colOff>
      <xdr:row>26</xdr:row>
      <xdr:rowOff>144780</xdr:rowOff>
    </xdr:to>
    <xdr:graphicFrame macro="">
      <xdr:nvGraphicFramePr>
        <xdr:cNvPr id="4" name="Chart 123">
          <a:extLst>
            <a:ext uri="{FF2B5EF4-FFF2-40B4-BE49-F238E27FC236}">
              <a16:creationId xmlns:a16="http://schemas.microsoft.com/office/drawing/2014/main" id="{D8808F54-545E-43B3-A2EB-E07BBE585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30480</xdr:colOff>
      <xdr:row>23</xdr:row>
      <xdr:rowOff>152400</xdr:rowOff>
    </xdr:from>
    <xdr:ext cx="560410" cy="219419"/>
    <xdr:sp macro="" textlink="">
      <xdr:nvSpPr>
        <xdr:cNvPr id="5" name="Text Box 39">
          <a:extLst>
            <a:ext uri="{FF2B5EF4-FFF2-40B4-BE49-F238E27FC236}">
              <a16:creationId xmlns:a16="http://schemas.microsoft.com/office/drawing/2014/main" id="{4607902E-BA86-4B4B-BC31-356362B7CAD4}"/>
            </a:ext>
          </a:extLst>
        </xdr:cNvPr>
        <xdr:cNvSpPr txBox="1">
          <a:spLocks noChangeArrowheads="1"/>
        </xdr:cNvSpPr>
      </xdr:nvSpPr>
      <xdr:spPr bwMode="auto">
        <a:xfrm>
          <a:off x="28575" y="4191000"/>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28575</xdr:colOff>
      <xdr:row>25</xdr:row>
      <xdr:rowOff>163830</xdr:rowOff>
    </xdr:from>
    <xdr:to>
      <xdr:col>7</xdr:col>
      <xdr:colOff>142875</xdr:colOff>
      <xdr:row>27</xdr:row>
      <xdr:rowOff>28575</xdr:rowOff>
    </xdr:to>
    <xdr:sp macro="" textlink="">
      <xdr:nvSpPr>
        <xdr:cNvPr id="6" name="Text Box 129">
          <a:extLst>
            <a:ext uri="{FF2B5EF4-FFF2-40B4-BE49-F238E27FC236}">
              <a16:creationId xmlns:a16="http://schemas.microsoft.com/office/drawing/2014/main" id="{F930E8A0-22E7-450B-8989-2A2F553AC412}"/>
            </a:ext>
          </a:extLst>
        </xdr:cNvPr>
        <xdr:cNvSpPr txBox="1">
          <a:spLocks noChangeArrowheads="1"/>
        </xdr:cNvSpPr>
      </xdr:nvSpPr>
      <xdr:spPr bwMode="auto">
        <a:xfrm>
          <a:off x="83820" y="4549140"/>
          <a:ext cx="3276600" cy="22098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20955</xdr:colOff>
      <xdr:row>26</xdr:row>
      <xdr:rowOff>0</xdr:rowOff>
    </xdr:from>
    <xdr:to>
      <xdr:col>11</xdr:col>
      <xdr:colOff>97155</xdr:colOff>
      <xdr:row>27</xdr:row>
      <xdr:rowOff>26670</xdr:rowOff>
    </xdr:to>
    <xdr:sp macro="" textlink="">
      <xdr:nvSpPr>
        <xdr:cNvPr id="7" name="Text Box 129">
          <a:extLst>
            <a:ext uri="{FF2B5EF4-FFF2-40B4-BE49-F238E27FC236}">
              <a16:creationId xmlns:a16="http://schemas.microsoft.com/office/drawing/2014/main" id="{6A57AEEA-AD8B-4CDE-9540-F80C0B99F5A7}"/>
            </a:ext>
          </a:extLst>
        </xdr:cNvPr>
        <xdr:cNvSpPr txBox="1">
          <a:spLocks noChangeArrowheads="1"/>
        </xdr:cNvSpPr>
      </xdr:nvSpPr>
      <xdr:spPr bwMode="auto">
        <a:xfrm>
          <a:off x="3236595" y="4552950"/>
          <a:ext cx="3095625" cy="21526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358140</xdr:colOff>
      <xdr:row>22</xdr:row>
      <xdr:rowOff>123825</xdr:rowOff>
    </xdr:from>
    <xdr:to>
      <xdr:col>10</xdr:col>
      <xdr:colOff>558165</xdr:colOff>
      <xdr:row>26</xdr:row>
      <xdr:rowOff>167640</xdr:rowOff>
    </xdr:to>
    <xdr:graphicFrame macro="">
      <xdr:nvGraphicFramePr>
        <xdr:cNvPr id="8" name="Chart 123">
          <a:extLst>
            <a:ext uri="{FF2B5EF4-FFF2-40B4-BE49-F238E27FC236}">
              <a16:creationId xmlns:a16="http://schemas.microsoft.com/office/drawing/2014/main" id="{18138F9D-EE02-4525-96E4-F49798737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93345</xdr:colOff>
      <xdr:row>26</xdr:row>
      <xdr:rowOff>152400</xdr:rowOff>
    </xdr:from>
    <xdr:to>
      <xdr:col>6</xdr:col>
      <xdr:colOff>15240</xdr:colOff>
      <xdr:row>39</xdr:row>
      <xdr:rowOff>76200</xdr:rowOff>
    </xdr:to>
    <xdr:graphicFrame macro="">
      <xdr:nvGraphicFramePr>
        <xdr:cNvPr id="9" name="Chart 17">
          <a:extLst>
            <a:ext uri="{FF2B5EF4-FFF2-40B4-BE49-F238E27FC236}">
              <a16:creationId xmlns:a16="http://schemas.microsoft.com/office/drawing/2014/main" id="{75F71390-A52E-4C78-B71E-024B2D5ED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10" name="Chart 130">
          <a:extLst>
            <a:ext uri="{FF2B5EF4-FFF2-40B4-BE49-F238E27FC236}">
              <a16:creationId xmlns:a16="http://schemas.microsoft.com/office/drawing/2014/main" id="{58A79A93-AAB1-4178-A1ED-0842DDE44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11" name="Text Box 131">
          <a:extLst>
            <a:ext uri="{FF2B5EF4-FFF2-40B4-BE49-F238E27FC236}">
              <a16:creationId xmlns:a16="http://schemas.microsoft.com/office/drawing/2014/main" id="{74976A6E-D1AE-4492-8BEF-D2C4A9AE3F95}"/>
            </a:ext>
          </a:extLst>
        </xdr:cNvPr>
        <xdr:cNvSpPr txBox="1">
          <a:spLocks noChangeArrowheads="1"/>
        </xdr:cNvSpPr>
      </xdr:nvSpPr>
      <xdr:spPr bwMode="auto">
        <a:xfrm>
          <a:off x="3219450" y="4972050"/>
          <a:ext cx="1101090"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12" name="Text Box 46">
          <a:extLst>
            <a:ext uri="{FF2B5EF4-FFF2-40B4-BE49-F238E27FC236}">
              <a16:creationId xmlns:a16="http://schemas.microsoft.com/office/drawing/2014/main" id="{99C557FA-37C0-44BC-AE51-0C0268C8D880}"/>
            </a:ext>
          </a:extLst>
        </xdr:cNvPr>
        <xdr:cNvSpPr txBox="1">
          <a:spLocks noChangeArrowheads="1"/>
        </xdr:cNvSpPr>
      </xdr:nvSpPr>
      <xdr:spPr bwMode="auto">
        <a:xfrm>
          <a:off x="3217545" y="5288280"/>
          <a:ext cx="117538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13" name="Text Box 47">
          <a:extLst>
            <a:ext uri="{FF2B5EF4-FFF2-40B4-BE49-F238E27FC236}">
              <a16:creationId xmlns:a16="http://schemas.microsoft.com/office/drawing/2014/main" id="{B67FFDEE-9B20-4506-BF90-245D37704B09}"/>
            </a:ext>
          </a:extLst>
        </xdr:cNvPr>
        <xdr:cNvSpPr txBox="1">
          <a:spLocks noChangeArrowheads="1"/>
        </xdr:cNvSpPr>
      </xdr:nvSpPr>
      <xdr:spPr bwMode="auto">
        <a:xfrm>
          <a:off x="3217545" y="5554980"/>
          <a:ext cx="1175385" cy="29337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14" name="Text Box 49">
          <a:extLst>
            <a:ext uri="{FF2B5EF4-FFF2-40B4-BE49-F238E27FC236}">
              <a16:creationId xmlns:a16="http://schemas.microsoft.com/office/drawing/2014/main" id="{FCC7585D-004A-4419-BB1A-F226B10464DC}"/>
            </a:ext>
          </a:extLst>
        </xdr:cNvPr>
        <xdr:cNvSpPr txBox="1">
          <a:spLocks noChangeArrowheads="1"/>
        </xdr:cNvSpPr>
      </xdr:nvSpPr>
      <xdr:spPr bwMode="auto">
        <a:xfrm>
          <a:off x="3217545" y="5875020"/>
          <a:ext cx="1175385" cy="29337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10</xdr:col>
      <xdr:colOff>220980</xdr:colOff>
      <xdr:row>35</xdr:row>
      <xdr:rowOff>91440</xdr:rowOff>
    </xdr:from>
    <xdr:to>
      <xdr:col>11</xdr:col>
      <xdr:colOff>268605</xdr:colOff>
      <xdr:row>36</xdr:row>
      <xdr:rowOff>110490</xdr:rowOff>
    </xdr:to>
    <xdr:sp macro="" textlink="">
      <xdr:nvSpPr>
        <xdr:cNvPr id="15" name="Text Box 45">
          <a:extLst>
            <a:ext uri="{FF2B5EF4-FFF2-40B4-BE49-F238E27FC236}">
              <a16:creationId xmlns:a16="http://schemas.microsoft.com/office/drawing/2014/main" id="{D6A634B9-D9A2-4005-AF56-E6A024D1E0C4}"/>
            </a:ext>
          </a:extLst>
        </xdr:cNvPr>
        <xdr:cNvSpPr txBox="1">
          <a:spLocks noChangeArrowheads="1"/>
        </xdr:cNvSpPr>
      </xdr:nvSpPr>
      <xdr:spPr bwMode="auto">
        <a:xfrm>
          <a:off x="5638800" y="6362700"/>
          <a:ext cx="868680" cy="20574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xdr:from>
      <xdr:col>1</xdr:col>
      <xdr:colOff>57149</xdr:colOff>
      <xdr:row>42</xdr:row>
      <xdr:rowOff>137160</xdr:rowOff>
    </xdr:from>
    <xdr:to>
      <xdr:col>4</xdr:col>
      <xdr:colOff>434340</xdr:colOff>
      <xdr:row>51</xdr:row>
      <xdr:rowOff>22860</xdr:rowOff>
    </xdr:to>
    <xdr:graphicFrame macro="">
      <xdr:nvGraphicFramePr>
        <xdr:cNvPr id="16" name="Chart 4">
          <a:extLst>
            <a:ext uri="{FF2B5EF4-FFF2-40B4-BE49-F238E27FC236}">
              <a16:creationId xmlns:a16="http://schemas.microsoft.com/office/drawing/2014/main" id="{83C9C243-8FF3-4942-9E03-0297424C0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426720</xdr:colOff>
      <xdr:row>42</xdr:row>
      <xdr:rowOff>142876</xdr:rowOff>
    </xdr:from>
    <xdr:to>
      <xdr:col>9</xdr:col>
      <xdr:colOff>373381</xdr:colOff>
      <xdr:row>51</xdr:row>
      <xdr:rowOff>64770</xdr:rowOff>
    </xdr:to>
    <xdr:graphicFrame macro="">
      <xdr:nvGraphicFramePr>
        <xdr:cNvPr id="17" name="Chart 15">
          <a:extLst>
            <a:ext uri="{FF2B5EF4-FFF2-40B4-BE49-F238E27FC236}">
              <a16:creationId xmlns:a16="http://schemas.microsoft.com/office/drawing/2014/main" id="{EAC2364D-74E7-457E-A343-6B1E472BA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390524</xdr:colOff>
      <xdr:row>42</xdr:row>
      <xdr:rowOff>163830</xdr:rowOff>
    </xdr:from>
    <xdr:to>
      <xdr:col>11</xdr:col>
      <xdr:colOff>784860</xdr:colOff>
      <xdr:row>51</xdr:row>
      <xdr:rowOff>34290</xdr:rowOff>
    </xdr:to>
    <xdr:graphicFrame macro="">
      <xdr:nvGraphicFramePr>
        <xdr:cNvPr id="18" name="Chart 15">
          <a:extLst>
            <a:ext uri="{FF2B5EF4-FFF2-40B4-BE49-F238E27FC236}">
              <a16:creationId xmlns:a16="http://schemas.microsoft.com/office/drawing/2014/main" id="{FC3EEC9F-7B28-48F0-9770-6ED594124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53</xdr:row>
      <xdr:rowOff>125730</xdr:rowOff>
    </xdr:from>
    <xdr:to>
      <xdr:col>5</xdr:col>
      <xdr:colOff>213360</xdr:colOff>
      <xdr:row>61</xdr:row>
      <xdr:rowOff>182879</xdr:rowOff>
    </xdr:to>
    <xdr:graphicFrame macro="">
      <xdr:nvGraphicFramePr>
        <xdr:cNvPr id="19" name="Chart 4">
          <a:extLst>
            <a:ext uri="{FF2B5EF4-FFF2-40B4-BE49-F238E27FC236}">
              <a16:creationId xmlns:a16="http://schemas.microsoft.com/office/drawing/2014/main" id="{0B1C821D-EE5E-46C6-93FB-09B394D93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318135</xdr:colOff>
      <xdr:row>53</xdr:row>
      <xdr:rowOff>139065</xdr:rowOff>
    </xdr:from>
    <xdr:to>
      <xdr:col>9</xdr:col>
      <xdr:colOff>201930</xdr:colOff>
      <xdr:row>61</xdr:row>
      <xdr:rowOff>135255</xdr:rowOff>
    </xdr:to>
    <xdr:graphicFrame macro="">
      <xdr:nvGraphicFramePr>
        <xdr:cNvPr id="20" name="Chart 15">
          <a:extLst>
            <a:ext uri="{FF2B5EF4-FFF2-40B4-BE49-F238E27FC236}">
              <a16:creationId xmlns:a16="http://schemas.microsoft.com/office/drawing/2014/main" id="{18D0D9F6-1CA0-425E-894A-D277115B6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251459</xdr:colOff>
      <xdr:row>54</xdr:row>
      <xdr:rowOff>1905</xdr:rowOff>
    </xdr:from>
    <xdr:to>
      <xdr:col>11</xdr:col>
      <xdr:colOff>796290</xdr:colOff>
      <xdr:row>62</xdr:row>
      <xdr:rowOff>7620</xdr:rowOff>
    </xdr:to>
    <xdr:graphicFrame macro="">
      <xdr:nvGraphicFramePr>
        <xdr:cNvPr id="21" name="Chart 15">
          <a:extLst>
            <a:ext uri="{FF2B5EF4-FFF2-40B4-BE49-F238E27FC236}">
              <a16:creationId xmlns:a16="http://schemas.microsoft.com/office/drawing/2014/main" id="{7B09B716-BABB-443D-AE8E-575B7E22D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10</xdr:col>
      <xdr:colOff>47625</xdr:colOff>
      <xdr:row>41</xdr:row>
      <xdr:rowOff>186690</xdr:rowOff>
    </xdr:from>
    <xdr:ext cx="1034001" cy="201850"/>
    <xdr:sp macro="" textlink="">
      <xdr:nvSpPr>
        <xdr:cNvPr id="22" name="Text Box 135">
          <a:extLst>
            <a:ext uri="{FF2B5EF4-FFF2-40B4-BE49-F238E27FC236}">
              <a16:creationId xmlns:a16="http://schemas.microsoft.com/office/drawing/2014/main" id="{215356BA-8A28-4048-9C64-17EB674DCD61}"/>
            </a:ext>
          </a:extLst>
        </xdr:cNvPr>
        <xdr:cNvSpPr txBox="1">
          <a:spLocks noChangeArrowheads="1"/>
        </xdr:cNvSpPr>
      </xdr:nvSpPr>
      <xdr:spPr bwMode="auto">
        <a:xfrm>
          <a:off x="5469255" y="7597140"/>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344805</xdr:colOff>
      <xdr:row>41</xdr:row>
      <xdr:rowOff>169545</xdr:rowOff>
    </xdr:from>
    <xdr:ext cx="1034001" cy="201850"/>
    <xdr:sp macro="" textlink="">
      <xdr:nvSpPr>
        <xdr:cNvPr id="23" name="Text Box 138">
          <a:extLst>
            <a:ext uri="{FF2B5EF4-FFF2-40B4-BE49-F238E27FC236}">
              <a16:creationId xmlns:a16="http://schemas.microsoft.com/office/drawing/2014/main" id="{46418BC1-E631-4555-B83A-54BBC376A334}"/>
            </a:ext>
          </a:extLst>
        </xdr:cNvPr>
        <xdr:cNvSpPr txBox="1">
          <a:spLocks noChangeArrowheads="1"/>
        </xdr:cNvSpPr>
      </xdr:nvSpPr>
      <xdr:spPr bwMode="auto">
        <a:xfrm>
          <a:off x="3564255" y="7583805"/>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445770</xdr:colOff>
      <xdr:row>41</xdr:row>
      <xdr:rowOff>188595</xdr:rowOff>
    </xdr:from>
    <xdr:ext cx="1034001" cy="201850"/>
    <xdr:sp macro="" textlink="">
      <xdr:nvSpPr>
        <xdr:cNvPr id="24" name="Text Box 139">
          <a:extLst>
            <a:ext uri="{FF2B5EF4-FFF2-40B4-BE49-F238E27FC236}">
              <a16:creationId xmlns:a16="http://schemas.microsoft.com/office/drawing/2014/main" id="{CE60DE6B-7AF1-4A25-BA30-562D1CC07B9F}"/>
            </a:ext>
          </a:extLst>
        </xdr:cNvPr>
        <xdr:cNvSpPr txBox="1">
          <a:spLocks noChangeArrowheads="1"/>
        </xdr:cNvSpPr>
      </xdr:nvSpPr>
      <xdr:spPr bwMode="auto">
        <a:xfrm>
          <a:off x="643890" y="7599045"/>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809625</xdr:colOff>
      <xdr:row>53</xdr:row>
      <xdr:rowOff>7620</xdr:rowOff>
    </xdr:from>
    <xdr:ext cx="1099083" cy="201850"/>
    <xdr:sp macro="" textlink="">
      <xdr:nvSpPr>
        <xdr:cNvPr id="25" name="Text Box 136">
          <a:extLst>
            <a:ext uri="{FF2B5EF4-FFF2-40B4-BE49-F238E27FC236}">
              <a16:creationId xmlns:a16="http://schemas.microsoft.com/office/drawing/2014/main" id="{2A91D8BE-1603-42BE-90FA-189974F471A5}"/>
            </a:ext>
          </a:extLst>
        </xdr:cNvPr>
        <xdr:cNvSpPr txBox="1">
          <a:spLocks noChangeArrowheads="1"/>
        </xdr:cNvSpPr>
      </xdr:nvSpPr>
      <xdr:spPr bwMode="auto">
        <a:xfrm>
          <a:off x="5402580" y="9705975"/>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247650</xdr:colOff>
      <xdr:row>53</xdr:row>
      <xdr:rowOff>3810</xdr:rowOff>
    </xdr:from>
    <xdr:ext cx="1099083" cy="201850"/>
    <xdr:sp macro="" textlink="">
      <xdr:nvSpPr>
        <xdr:cNvPr id="26" name="Text Box 137">
          <a:extLst>
            <a:ext uri="{FF2B5EF4-FFF2-40B4-BE49-F238E27FC236}">
              <a16:creationId xmlns:a16="http://schemas.microsoft.com/office/drawing/2014/main" id="{4005B8F9-1C45-41A3-81AD-39BDA71793A8}"/>
            </a:ext>
          </a:extLst>
        </xdr:cNvPr>
        <xdr:cNvSpPr txBox="1">
          <a:spLocks noChangeArrowheads="1"/>
        </xdr:cNvSpPr>
      </xdr:nvSpPr>
      <xdr:spPr bwMode="auto">
        <a:xfrm>
          <a:off x="3463290" y="9702165"/>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830580</xdr:colOff>
      <xdr:row>52</xdr:row>
      <xdr:rowOff>180975</xdr:rowOff>
    </xdr:from>
    <xdr:ext cx="1099083" cy="201850"/>
    <xdr:sp macro="" textlink="">
      <xdr:nvSpPr>
        <xdr:cNvPr id="27" name="Text Box 140">
          <a:extLst>
            <a:ext uri="{FF2B5EF4-FFF2-40B4-BE49-F238E27FC236}">
              <a16:creationId xmlns:a16="http://schemas.microsoft.com/office/drawing/2014/main" id="{9DD998F8-3BEE-48C0-9AF0-CE6B48DA391A}"/>
            </a:ext>
          </a:extLst>
        </xdr:cNvPr>
        <xdr:cNvSpPr txBox="1">
          <a:spLocks noChangeArrowheads="1"/>
        </xdr:cNvSpPr>
      </xdr:nvSpPr>
      <xdr:spPr bwMode="auto">
        <a:xfrm>
          <a:off x="1028700" y="9685020"/>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397419</xdr:colOff>
      <xdr:row>22</xdr:row>
      <xdr:rowOff>94639</xdr:rowOff>
    </xdr:from>
    <xdr:to>
      <xdr:col>14</xdr:col>
      <xdr:colOff>441819</xdr:colOff>
      <xdr:row>26</xdr:row>
      <xdr:rowOff>169275</xdr:rowOff>
    </xdr:to>
    <xdr:graphicFrame macro="">
      <xdr:nvGraphicFramePr>
        <xdr:cNvPr id="28" name="Chart 123">
          <a:extLst>
            <a:ext uri="{FF2B5EF4-FFF2-40B4-BE49-F238E27FC236}">
              <a16:creationId xmlns:a16="http://schemas.microsoft.com/office/drawing/2014/main" id="{7AB491FD-4B98-48BE-A8AE-B5C18E808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14</xdr:col>
      <xdr:colOff>512403</xdr:colOff>
      <xdr:row>27</xdr:row>
      <xdr:rowOff>92029</xdr:rowOff>
    </xdr:from>
    <xdr:to>
      <xdr:col>16</xdr:col>
      <xdr:colOff>18640</xdr:colOff>
      <xdr:row>28</xdr:row>
      <xdr:rowOff>111779</xdr:rowOff>
    </xdr:to>
    <xdr:sp macro="" textlink="AD31">
      <xdr:nvSpPr>
        <xdr:cNvPr id="29" name="テキスト ボックス 28">
          <a:extLst>
            <a:ext uri="{FF2B5EF4-FFF2-40B4-BE49-F238E27FC236}">
              <a16:creationId xmlns:a16="http://schemas.microsoft.com/office/drawing/2014/main" id="{83FDC1CB-654D-4B66-BD7C-962CE2EA753D}"/>
            </a:ext>
          </a:extLst>
        </xdr:cNvPr>
        <xdr:cNvSpPr txBox="1"/>
      </xdr:nvSpPr>
      <xdr:spPr>
        <a:xfrm>
          <a:off x="8974413" y="4839289"/>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28</xdr:row>
      <xdr:rowOff>72500</xdr:rowOff>
    </xdr:from>
    <xdr:to>
      <xdr:col>16</xdr:col>
      <xdr:colOff>16735</xdr:colOff>
      <xdr:row>29</xdr:row>
      <xdr:rowOff>92250</xdr:rowOff>
    </xdr:to>
    <xdr:sp macro="" textlink="AD32">
      <xdr:nvSpPr>
        <xdr:cNvPr id="30" name="テキスト ボックス 29">
          <a:extLst>
            <a:ext uri="{FF2B5EF4-FFF2-40B4-BE49-F238E27FC236}">
              <a16:creationId xmlns:a16="http://schemas.microsoft.com/office/drawing/2014/main" id="{68517D6D-ADBF-4AC7-BDA3-20E4E502494B}"/>
            </a:ext>
          </a:extLst>
        </xdr:cNvPr>
        <xdr:cNvSpPr txBox="1"/>
      </xdr:nvSpPr>
      <xdr:spPr>
        <a:xfrm>
          <a:off x="8966793" y="5006450"/>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29</xdr:row>
      <xdr:rowOff>54876</xdr:rowOff>
    </xdr:from>
    <xdr:to>
      <xdr:col>16</xdr:col>
      <xdr:colOff>16735</xdr:colOff>
      <xdr:row>30</xdr:row>
      <xdr:rowOff>74626</xdr:rowOff>
    </xdr:to>
    <xdr:sp macro="" textlink="AD33">
      <xdr:nvSpPr>
        <xdr:cNvPr id="31" name="テキスト ボックス 30">
          <a:extLst>
            <a:ext uri="{FF2B5EF4-FFF2-40B4-BE49-F238E27FC236}">
              <a16:creationId xmlns:a16="http://schemas.microsoft.com/office/drawing/2014/main" id="{D8A3958D-9215-4E05-963D-F642CA44D0A3}"/>
            </a:ext>
          </a:extLst>
        </xdr:cNvPr>
        <xdr:cNvSpPr txBox="1"/>
      </xdr:nvSpPr>
      <xdr:spPr>
        <a:xfrm>
          <a:off x="8966793" y="5183136"/>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30</xdr:row>
      <xdr:rowOff>20107</xdr:rowOff>
    </xdr:from>
    <xdr:to>
      <xdr:col>16</xdr:col>
      <xdr:colOff>18640</xdr:colOff>
      <xdr:row>31</xdr:row>
      <xdr:rowOff>39857</xdr:rowOff>
    </xdr:to>
    <xdr:sp macro="" textlink="AD34">
      <xdr:nvSpPr>
        <xdr:cNvPr id="32" name="テキスト ボックス 31">
          <a:extLst>
            <a:ext uri="{FF2B5EF4-FFF2-40B4-BE49-F238E27FC236}">
              <a16:creationId xmlns:a16="http://schemas.microsoft.com/office/drawing/2014/main" id="{93F3E5E8-D15A-4666-AD32-D62BA16F8D17}"/>
            </a:ext>
          </a:extLst>
        </xdr:cNvPr>
        <xdr:cNvSpPr txBox="1"/>
      </xdr:nvSpPr>
      <xdr:spPr>
        <a:xfrm>
          <a:off x="8974413" y="5331247"/>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31</xdr:row>
      <xdr:rowOff>17723</xdr:rowOff>
    </xdr:from>
    <xdr:to>
      <xdr:col>16</xdr:col>
      <xdr:colOff>16735</xdr:colOff>
      <xdr:row>32</xdr:row>
      <xdr:rowOff>37473</xdr:rowOff>
    </xdr:to>
    <xdr:sp macro="" textlink="AD35">
      <xdr:nvSpPr>
        <xdr:cNvPr id="33" name="テキスト ボックス 32">
          <a:extLst>
            <a:ext uri="{FF2B5EF4-FFF2-40B4-BE49-F238E27FC236}">
              <a16:creationId xmlns:a16="http://schemas.microsoft.com/office/drawing/2014/main" id="{609A8A06-FCD0-4BCC-B4BE-AE571E640542}"/>
            </a:ext>
          </a:extLst>
        </xdr:cNvPr>
        <xdr:cNvSpPr txBox="1"/>
      </xdr:nvSpPr>
      <xdr:spPr>
        <a:xfrm>
          <a:off x="8966793" y="5526983"/>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31</xdr:row>
      <xdr:rowOff>169644</xdr:rowOff>
    </xdr:from>
    <xdr:to>
      <xdr:col>16</xdr:col>
      <xdr:colOff>18640</xdr:colOff>
      <xdr:row>33</xdr:row>
      <xdr:rowOff>16039</xdr:rowOff>
    </xdr:to>
    <xdr:sp macro="" textlink="AD36">
      <xdr:nvSpPr>
        <xdr:cNvPr id="34" name="テキスト ボックス 33">
          <a:extLst>
            <a:ext uri="{FF2B5EF4-FFF2-40B4-BE49-F238E27FC236}">
              <a16:creationId xmlns:a16="http://schemas.microsoft.com/office/drawing/2014/main" id="{1187509B-0ED7-46B4-B522-85856F2BB92C}"/>
            </a:ext>
          </a:extLst>
        </xdr:cNvPr>
        <xdr:cNvSpPr txBox="1"/>
      </xdr:nvSpPr>
      <xdr:spPr>
        <a:xfrm>
          <a:off x="8974413" y="5678904"/>
          <a:ext cx="350152" cy="215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32</xdr:row>
      <xdr:rowOff>188215</xdr:rowOff>
    </xdr:from>
    <xdr:to>
      <xdr:col>16</xdr:col>
      <xdr:colOff>16735</xdr:colOff>
      <xdr:row>34</xdr:row>
      <xdr:rowOff>17465</xdr:rowOff>
    </xdr:to>
    <xdr:sp macro="" textlink="AD37">
      <xdr:nvSpPr>
        <xdr:cNvPr id="35" name="テキスト ボックス 34">
          <a:extLst>
            <a:ext uri="{FF2B5EF4-FFF2-40B4-BE49-F238E27FC236}">
              <a16:creationId xmlns:a16="http://schemas.microsoft.com/office/drawing/2014/main" id="{FACA0E8D-09D8-44CF-9ADC-884F9F3093DB}"/>
            </a:ext>
          </a:extLst>
        </xdr:cNvPr>
        <xdr:cNvSpPr txBox="1"/>
      </xdr:nvSpPr>
      <xdr:spPr>
        <a:xfrm>
          <a:off x="8966793" y="5884165"/>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33</xdr:row>
      <xdr:rowOff>153446</xdr:rowOff>
    </xdr:from>
    <xdr:to>
      <xdr:col>16</xdr:col>
      <xdr:colOff>16735</xdr:colOff>
      <xdr:row>34</xdr:row>
      <xdr:rowOff>173196</xdr:rowOff>
    </xdr:to>
    <xdr:sp macro="" textlink="AD38">
      <xdr:nvSpPr>
        <xdr:cNvPr id="36" name="テキスト ボックス 35">
          <a:extLst>
            <a:ext uri="{FF2B5EF4-FFF2-40B4-BE49-F238E27FC236}">
              <a16:creationId xmlns:a16="http://schemas.microsoft.com/office/drawing/2014/main" id="{83555830-6B94-47B3-8B79-CD552A7ADA98}"/>
            </a:ext>
          </a:extLst>
        </xdr:cNvPr>
        <xdr:cNvSpPr txBox="1"/>
      </xdr:nvSpPr>
      <xdr:spPr>
        <a:xfrm>
          <a:off x="8966793" y="6039896"/>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34</xdr:row>
      <xdr:rowOff>168207</xdr:rowOff>
    </xdr:from>
    <xdr:to>
      <xdr:col>16</xdr:col>
      <xdr:colOff>18640</xdr:colOff>
      <xdr:row>35</xdr:row>
      <xdr:rowOff>170812</xdr:rowOff>
    </xdr:to>
    <xdr:sp macro="" textlink="AD39">
      <xdr:nvSpPr>
        <xdr:cNvPr id="37" name="テキスト ボックス 36">
          <a:extLst>
            <a:ext uri="{FF2B5EF4-FFF2-40B4-BE49-F238E27FC236}">
              <a16:creationId xmlns:a16="http://schemas.microsoft.com/office/drawing/2014/main" id="{FE9619C3-DAD7-40AC-A424-C0CE9DAECFBF}"/>
            </a:ext>
          </a:extLst>
        </xdr:cNvPr>
        <xdr:cNvSpPr txBox="1"/>
      </xdr:nvSpPr>
      <xdr:spPr>
        <a:xfrm>
          <a:off x="8974413" y="6241347"/>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35</xdr:row>
      <xdr:rowOff>129628</xdr:rowOff>
    </xdr:from>
    <xdr:to>
      <xdr:col>16</xdr:col>
      <xdr:colOff>16735</xdr:colOff>
      <xdr:row>36</xdr:row>
      <xdr:rowOff>149378</xdr:rowOff>
    </xdr:to>
    <xdr:sp macro="" textlink="AD40">
      <xdr:nvSpPr>
        <xdr:cNvPr id="38" name="テキスト ボックス 37">
          <a:extLst>
            <a:ext uri="{FF2B5EF4-FFF2-40B4-BE49-F238E27FC236}">
              <a16:creationId xmlns:a16="http://schemas.microsoft.com/office/drawing/2014/main" id="{BA8FE299-ECE7-4206-B877-83706664DE7E}"/>
            </a:ext>
          </a:extLst>
        </xdr:cNvPr>
        <xdr:cNvSpPr txBox="1"/>
      </xdr:nvSpPr>
      <xdr:spPr>
        <a:xfrm>
          <a:off x="8966793" y="6400888"/>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36</xdr:row>
      <xdr:rowOff>94861</xdr:rowOff>
    </xdr:from>
    <xdr:to>
      <xdr:col>16</xdr:col>
      <xdr:colOff>16735</xdr:colOff>
      <xdr:row>37</xdr:row>
      <xdr:rowOff>114611</xdr:rowOff>
    </xdr:to>
    <xdr:sp macro="" textlink="AD41">
      <xdr:nvSpPr>
        <xdr:cNvPr id="39" name="テキスト ボックス 38">
          <a:extLst>
            <a:ext uri="{FF2B5EF4-FFF2-40B4-BE49-F238E27FC236}">
              <a16:creationId xmlns:a16="http://schemas.microsoft.com/office/drawing/2014/main" id="{CF70279C-3187-493E-8F58-A8DE6FF46749}"/>
            </a:ext>
          </a:extLst>
        </xdr:cNvPr>
        <xdr:cNvSpPr txBox="1"/>
      </xdr:nvSpPr>
      <xdr:spPr>
        <a:xfrm>
          <a:off x="8966793" y="6556621"/>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169236</xdr:colOff>
      <xdr:row>26</xdr:row>
      <xdr:rowOff>92058</xdr:rowOff>
    </xdr:from>
    <xdr:to>
      <xdr:col>12</xdr:col>
      <xdr:colOff>1358</xdr:colOff>
      <xdr:row>27</xdr:row>
      <xdr:rowOff>133218</xdr:rowOff>
    </xdr:to>
    <xdr:sp macro="" textlink="">
      <xdr:nvSpPr>
        <xdr:cNvPr id="40" name="テキスト ボックス 39">
          <a:extLst>
            <a:ext uri="{FF2B5EF4-FFF2-40B4-BE49-F238E27FC236}">
              <a16:creationId xmlns:a16="http://schemas.microsoft.com/office/drawing/2014/main" id="{F15BBCD8-7687-4996-9C06-79362BC83DC0}"/>
            </a:ext>
          </a:extLst>
        </xdr:cNvPr>
        <xdr:cNvSpPr txBox="1"/>
      </xdr:nvSpPr>
      <xdr:spPr>
        <a:xfrm>
          <a:off x="6404301" y="4648818"/>
          <a:ext cx="647462" cy="23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169236</xdr:colOff>
      <xdr:row>27</xdr:row>
      <xdr:rowOff>92595</xdr:rowOff>
    </xdr:from>
    <xdr:to>
      <xdr:col>12</xdr:col>
      <xdr:colOff>1358</xdr:colOff>
      <xdr:row>28</xdr:row>
      <xdr:rowOff>72795</xdr:rowOff>
    </xdr:to>
    <xdr:sp macro="" textlink="">
      <xdr:nvSpPr>
        <xdr:cNvPr id="41" name="テキスト ボックス 40">
          <a:extLst>
            <a:ext uri="{FF2B5EF4-FFF2-40B4-BE49-F238E27FC236}">
              <a16:creationId xmlns:a16="http://schemas.microsoft.com/office/drawing/2014/main" id="{2813D334-B773-41C3-964E-1A04B6CBBC64}"/>
            </a:ext>
          </a:extLst>
        </xdr:cNvPr>
        <xdr:cNvSpPr txBox="1"/>
      </xdr:nvSpPr>
      <xdr:spPr>
        <a:xfrm>
          <a:off x="6404301" y="4839855"/>
          <a:ext cx="647462" cy="16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169236</xdr:colOff>
      <xdr:row>28</xdr:row>
      <xdr:rowOff>74082</xdr:rowOff>
    </xdr:from>
    <xdr:to>
      <xdr:col>12</xdr:col>
      <xdr:colOff>95297</xdr:colOff>
      <xdr:row>29</xdr:row>
      <xdr:rowOff>94287</xdr:rowOff>
    </xdr:to>
    <xdr:sp macro="" textlink="">
      <xdr:nvSpPr>
        <xdr:cNvPr id="42" name="テキスト ボックス 41">
          <a:extLst>
            <a:ext uri="{FF2B5EF4-FFF2-40B4-BE49-F238E27FC236}">
              <a16:creationId xmlns:a16="http://schemas.microsoft.com/office/drawing/2014/main" id="{D3314266-7706-4F67-867D-4719F0B51F14}"/>
            </a:ext>
          </a:extLst>
        </xdr:cNvPr>
        <xdr:cNvSpPr txBox="1"/>
      </xdr:nvSpPr>
      <xdr:spPr>
        <a:xfrm>
          <a:off x="6404301" y="5008032"/>
          <a:ext cx="745211" cy="2145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169236</xdr:colOff>
      <xdr:row>29</xdr:row>
      <xdr:rowOff>53664</xdr:rowOff>
    </xdr:from>
    <xdr:to>
      <xdr:col>12</xdr:col>
      <xdr:colOff>95297</xdr:colOff>
      <xdr:row>30</xdr:row>
      <xdr:rowOff>54819</xdr:rowOff>
    </xdr:to>
    <xdr:sp macro="" textlink="">
      <xdr:nvSpPr>
        <xdr:cNvPr id="43" name="テキスト ボックス 42">
          <a:extLst>
            <a:ext uri="{FF2B5EF4-FFF2-40B4-BE49-F238E27FC236}">
              <a16:creationId xmlns:a16="http://schemas.microsoft.com/office/drawing/2014/main" id="{029E02D2-7A20-406A-A290-0C0C7AD156F3}"/>
            </a:ext>
          </a:extLst>
        </xdr:cNvPr>
        <xdr:cNvSpPr txBox="1"/>
      </xdr:nvSpPr>
      <xdr:spPr>
        <a:xfrm>
          <a:off x="6404301" y="5181924"/>
          <a:ext cx="745211" cy="184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169236</xdr:colOff>
      <xdr:row>30</xdr:row>
      <xdr:rowOff>54201</xdr:rowOff>
    </xdr:from>
    <xdr:to>
      <xdr:col>12</xdr:col>
      <xdr:colOff>95297</xdr:colOff>
      <xdr:row>31</xdr:row>
      <xdr:rowOff>59166</xdr:rowOff>
    </xdr:to>
    <xdr:sp macro="" textlink="">
      <xdr:nvSpPr>
        <xdr:cNvPr id="44" name="テキスト ボックス 43">
          <a:extLst>
            <a:ext uri="{FF2B5EF4-FFF2-40B4-BE49-F238E27FC236}">
              <a16:creationId xmlns:a16="http://schemas.microsoft.com/office/drawing/2014/main" id="{1D117056-9157-4C17-971D-289B860114B6}"/>
            </a:ext>
          </a:extLst>
        </xdr:cNvPr>
        <xdr:cNvSpPr txBox="1"/>
      </xdr:nvSpPr>
      <xdr:spPr>
        <a:xfrm>
          <a:off x="6404301" y="5365341"/>
          <a:ext cx="745211" cy="195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169236</xdr:colOff>
      <xdr:row>31</xdr:row>
      <xdr:rowOff>18543</xdr:rowOff>
    </xdr:from>
    <xdr:to>
      <xdr:col>12</xdr:col>
      <xdr:colOff>95297</xdr:colOff>
      <xdr:row>32</xdr:row>
      <xdr:rowOff>15888</xdr:rowOff>
    </xdr:to>
    <xdr:sp macro="" textlink="">
      <xdr:nvSpPr>
        <xdr:cNvPr id="45" name="テキスト ボックス 44">
          <a:extLst>
            <a:ext uri="{FF2B5EF4-FFF2-40B4-BE49-F238E27FC236}">
              <a16:creationId xmlns:a16="http://schemas.microsoft.com/office/drawing/2014/main" id="{EC7B06A4-3479-444D-B224-DD9260D7D45C}"/>
            </a:ext>
          </a:extLst>
        </xdr:cNvPr>
        <xdr:cNvSpPr txBox="1"/>
      </xdr:nvSpPr>
      <xdr:spPr>
        <a:xfrm>
          <a:off x="6404301" y="5527803"/>
          <a:ext cx="745211" cy="187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169236</xdr:colOff>
      <xdr:row>32</xdr:row>
      <xdr:rowOff>15270</xdr:rowOff>
    </xdr:from>
    <xdr:to>
      <xdr:col>12</xdr:col>
      <xdr:colOff>95297</xdr:colOff>
      <xdr:row>33</xdr:row>
      <xdr:rowOff>37380</xdr:rowOff>
    </xdr:to>
    <xdr:sp macro="" textlink="">
      <xdr:nvSpPr>
        <xdr:cNvPr id="46" name="テキスト ボックス 45">
          <a:extLst>
            <a:ext uri="{FF2B5EF4-FFF2-40B4-BE49-F238E27FC236}">
              <a16:creationId xmlns:a16="http://schemas.microsoft.com/office/drawing/2014/main" id="{7FEF2F3F-46CB-4C8A-B7B0-455F91B9D4F3}"/>
            </a:ext>
          </a:extLst>
        </xdr:cNvPr>
        <xdr:cNvSpPr txBox="1"/>
      </xdr:nvSpPr>
      <xdr:spPr>
        <a:xfrm>
          <a:off x="6404301" y="5715030"/>
          <a:ext cx="745211"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169236</xdr:colOff>
      <xdr:row>32</xdr:row>
      <xdr:rowOff>187257</xdr:rowOff>
    </xdr:from>
    <xdr:to>
      <xdr:col>12</xdr:col>
      <xdr:colOff>1358</xdr:colOff>
      <xdr:row>33</xdr:row>
      <xdr:rowOff>169362</xdr:rowOff>
    </xdr:to>
    <xdr:sp macro="" textlink="">
      <xdr:nvSpPr>
        <xdr:cNvPr id="47" name="テキスト ボックス 46">
          <a:extLst>
            <a:ext uri="{FF2B5EF4-FFF2-40B4-BE49-F238E27FC236}">
              <a16:creationId xmlns:a16="http://schemas.microsoft.com/office/drawing/2014/main" id="{97FCD01F-F446-425E-8EE3-3CE4A21EAF26}"/>
            </a:ext>
          </a:extLst>
        </xdr:cNvPr>
        <xdr:cNvSpPr txBox="1"/>
      </xdr:nvSpPr>
      <xdr:spPr>
        <a:xfrm>
          <a:off x="6404301" y="5883207"/>
          <a:ext cx="647462" cy="176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169235</xdr:colOff>
      <xdr:row>33</xdr:row>
      <xdr:rowOff>153504</xdr:rowOff>
    </xdr:from>
    <xdr:to>
      <xdr:col>12</xdr:col>
      <xdr:colOff>60552</xdr:colOff>
      <xdr:row>35</xdr:row>
      <xdr:rowOff>19404</xdr:rowOff>
    </xdr:to>
    <xdr:sp macro="" textlink="">
      <xdr:nvSpPr>
        <xdr:cNvPr id="48" name="テキスト ボックス 47">
          <a:extLst>
            <a:ext uri="{FF2B5EF4-FFF2-40B4-BE49-F238E27FC236}">
              <a16:creationId xmlns:a16="http://schemas.microsoft.com/office/drawing/2014/main" id="{8AD1D56C-B40A-416B-A0F3-C109B564DF49}"/>
            </a:ext>
          </a:extLst>
        </xdr:cNvPr>
        <xdr:cNvSpPr txBox="1"/>
      </xdr:nvSpPr>
      <xdr:spPr>
        <a:xfrm>
          <a:off x="6404300" y="6039954"/>
          <a:ext cx="710467" cy="243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169235</xdr:colOff>
      <xdr:row>34</xdr:row>
      <xdr:rowOff>169281</xdr:rowOff>
    </xdr:from>
    <xdr:to>
      <xdr:col>12</xdr:col>
      <xdr:colOff>96133</xdr:colOff>
      <xdr:row>35</xdr:row>
      <xdr:rowOff>132336</xdr:rowOff>
    </xdr:to>
    <xdr:sp macro="" textlink="">
      <xdr:nvSpPr>
        <xdr:cNvPr id="49" name="テキスト ボックス 48">
          <a:extLst>
            <a:ext uri="{FF2B5EF4-FFF2-40B4-BE49-F238E27FC236}">
              <a16:creationId xmlns:a16="http://schemas.microsoft.com/office/drawing/2014/main" id="{96FFEB6C-D1D9-4DD8-8269-1D6A5664588C}"/>
            </a:ext>
          </a:extLst>
        </xdr:cNvPr>
        <xdr:cNvSpPr txBox="1"/>
      </xdr:nvSpPr>
      <xdr:spPr>
        <a:xfrm>
          <a:off x="6404300" y="6242421"/>
          <a:ext cx="746048" cy="161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169235</xdr:colOff>
      <xdr:row>36</xdr:row>
      <xdr:rowOff>130354</xdr:rowOff>
    </xdr:from>
    <xdr:to>
      <xdr:col>12</xdr:col>
      <xdr:colOff>96133</xdr:colOff>
      <xdr:row>37</xdr:row>
      <xdr:rowOff>110554</xdr:rowOff>
    </xdr:to>
    <xdr:sp macro="" textlink="">
      <xdr:nvSpPr>
        <xdr:cNvPr id="50" name="テキスト ボックス 49">
          <a:extLst>
            <a:ext uri="{FF2B5EF4-FFF2-40B4-BE49-F238E27FC236}">
              <a16:creationId xmlns:a16="http://schemas.microsoft.com/office/drawing/2014/main" id="{E45D7619-71E6-4E67-8D03-542EE749B718}"/>
            </a:ext>
          </a:extLst>
        </xdr:cNvPr>
        <xdr:cNvSpPr txBox="1"/>
      </xdr:nvSpPr>
      <xdr:spPr>
        <a:xfrm>
          <a:off x="6404300" y="6592114"/>
          <a:ext cx="746048" cy="16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169235</xdr:colOff>
      <xdr:row>35</xdr:row>
      <xdr:rowOff>129813</xdr:rowOff>
    </xdr:from>
    <xdr:to>
      <xdr:col>12</xdr:col>
      <xdr:colOff>96133</xdr:colOff>
      <xdr:row>36</xdr:row>
      <xdr:rowOff>170973</xdr:rowOff>
    </xdr:to>
    <xdr:sp macro="" textlink="">
      <xdr:nvSpPr>
        <xdr:cNvPr id="51" name="テキスト ボックス 50">
          <a:extLst>
            <a:ext uri="{FF2B5EF4-FFF2-40B4-BE49-F238E27FC236}">
              <a16:creationId xmlns:a16="http://schemas.microsoft.com/office/drawing/2014/main" id="{8C562000-9A76-4F8D-AFCD-9A4AD22A67CC}"/>
            </a:ext>
          </a:extLst>
        </xdr:cNvPr>
        <xdr:cNvSpPr txBox="1"/>
      </xdr:nvSpPr>
      <xdr:spPr>
        <a:xfrm>
          <a:off x="6404300" y="6401073"/>
          <a:ext cx="746048" cy="23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53863</xdr:colOff>
      <xdr:row>26</xdr:row>
      <xdr:rowOff>94503</xdr:rowOff>
    </xdr:from>
    <xdr:to>
      <xdr:col>11</xdr:col>
      <xdr:colOff>245404</xdr:colOff>
      <xdr:row>27</xdr:row>
      <xdr:rowOff>92673</xdr:rowOff>
    </xdr:to>
    <xdr:pic>
      <xdr:nvPicPr>
        <xdr:cNvPr id="52" name="図 51">
          <a:extLst>
            <a:ext uri="{FF2B5EF4-FFF2-40B4-BE49-F238E27FC236}">
              <a16:creationId xmlns:a16="http://schemas.microsoft.com/office/drawing/2014/main" id="{F7C93218-477C-46E7-8B7D-29B87922B40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296548" y="4651263"/>
          <a:ext cx="183921" cy="188670"/>
        </a:xfrm>
        <a:prstGeom prst="rect">
          <a:avLst/>
        </a:prstGeom>
      </xdr:spPr>
    </xdr:pic>
    <xdr:clientData/>
  </xdr:twoCellAnchor>
  <xdr:twoCellAnchor editAs="absolute">
    <xdr:from>
      <xdr:col>11</xdr:col>
      <xdr:colOff>53863</xdr:colOff>
      <xdr:row>27</xdr:row>
      <xdr:rowOff>133140</xdr:rowOff>
    </xdr:from>
    <xdr:to>
      <xdr:col>11</xdr:col>
      <xdr:colOff>245404</xdr:colOff>
      <xdr:row>28</xdr:row>
      <xdr:rowOff>74160</xdr:rowOff>
    </xdr:to>
    <xdr:pic>
      <xdr:nvPicPr>
        <xdr:cNvPr id="53" name="図 52">
          <a:extLst>
            <a:ext uri="{FF2B5EF4-FFF2-40B4-BE49-F238E27FC236}">
              <a16:creationId xmlns:a16="http://schemas.microsoft.com/office/drawing/2014/main" id="{0A7C5A0C-0126-4A20-810D-9E1BDE3AB1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96548" y="4880400"/>
          <a:ext cx="183921" cy="127710"/>
        </a:xfrm>
        <a:prstGeom prst="rect">
          <a:avLst/>
        </a:prstGeom>
      </xdr:spPr>
    </xdr:pic>
    <xdr:clientData/>
  </xdr:twoCellAnchor>
  <xdr:twoCellAnchor editAs="absolute">
    <xdr:from>
      <xdr:col>11</xdr:col>
      <xdr:colOff>53863</xdr:colOff>
      <xdr:row>28</xdr:row>
      <xdr:rowOff>72717</xdr:rowOff>
    </xdr:from>
    <xdr:to>
      <xdr:col>11</xdr:col>
      <xdr:colOff>245404</xdr:colOff>
      <xdr:row>29</xdr:row>
      <xdr:rowOff>54172</xdr:rowOff>
    </xdr:to>
    <xdr:pic>
      <xdr:nvPicPr>
        <xdr:cNvPr id="54" name="図 53">
          <a:extLst>
            <a:ext uri="{FF2B5EF4-FFF2-40B4-BE49-F238E27FC236}">
              <a16:creationId xmlns:a16="http://schemas.microsoft.com/office/drawing/2014/main" id="{0CE93254-9A8B-4CB9-B3A2-7DD0B1A15FD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96548" y="5006667"/>
          <a:ext cx="183921" cy="175765"/>
        </a:xfrm>
        <a:prstGeom prst="rect">
          <a:avLst/>
        </a:prstGeom>
      </xdr:spPr>
    </xdr:pic>
    <xdr:clientData/>
  </xdr:twoCellAnchor>
  <xdr:twoCellAnchor editAs="absolute">
    <xdr:from>
      <xdr:col>11</xdr:col>
      <xdr:colOff>53863</xdr:colOff>
      <xdr:row>29</xdr:row>
      <xdr:rowOff>54204</xdr:rowOff>
    </xdr:from>
    <xdr:to>
      <xdr:col>11</xdr:col>
      <xdr:colOff>245404</xdr:colOff>
      <xdr:row>30</xdr:row>
      <xdr:rowOff>54279</xdr:rowOff>
    </xdr:to>
    <xdr:pic>
      <xdr:nvPicPr>
        <xdr:cNvPr id="55" name="図 54">
          <a:extLst>
            <a:ext uri="{FF2B5EF4-FFF2-40B4-BE49-F238E27FC236}">
              <a16:creationId xmlns:a16="http://schemas.microsoft.com/office/drawing/2014/main" id="{4CB21037-1FA7-46A9-B951-D9FDE4106B3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96548" y="5182464"/>
          <a:ext cx="183921" cy="182955"/>
        </a:xfrm>
        <a:prstGeom prst="rect">
          <a:avLst/>
        </a:prstGeom>
      </xdr:spPr>
    </xdr:pic>
    <xdr:clientData/>
  </xdr:twoCellAnchor>
  <xdr:twoCellAnchor editAs="absolute">
    <xdr:from>
      <xdr:col>11</xdr:col>
      <xdr:colOff>53863</xdr:colOff>
      <xdr:row>30</xdr:row>
      <xdr:rowOff>54741</xdr:rowOff>
    </xdr:from>
    <xdr:to>
      <xdr:col>11</xdr:col>
      <xdr:colOff>245404</xdr:colOff>
      <xdr:row>31</xdr:row>
      <xdr:rowOff>18621</xdr:rowOff>
    </xdr:to>
    <xdr:pic>
      <xdr:nvPicPr>
        <xdr:cNvPr id="56" name="図 55">
          <a:extLst>
            <a:ext uri="{FF2B5EF4-FFF2-40B4-BE49-F238E27FC236}">
              <a16:creationId xmlns:a16="http://schemas.microsoft.com/office/drawing/2014/main" id="{4A73FA95-B251-4D3F-BFFF-9A7B2CB4544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296548" y="5365881"/>
          <a:ext cx="183921" cy="162000"/>
        </a:xfrm>
        <a:prstGeom prst="rect">
          <a:avLst/>
        </a:prstGeom>
      </xdr:spPr>
    </xdr:pic>
    <xdr:clientData/>
  </xdr:twoCellAnchor>
  <xdr:twoCellAnchor editAs="absolute">
    <xdr:from>
      <xdr:col>11</xdr:col>
      <xdr:colOff>53863</xdr:colOff>
      <xdr:row>31</xdr:row>
      <xdr:rowOff>17178</xdr:rowOff>
    </xdr:from>
    <xdr:to>
      <xdr:col>11</xdr:col>
      <xdr:colOff>245404</xdr:colOff>
      <xdr:row>32</xdr:row>
      <xdr:rowOff>15348</xdr:rowOff>
    </xdr:to>
    <xdr:pic>
      <xdr:nvPicPr>
        <xdr:cNvPr id="57" name="図 56">
          <a:extLst>
            <a:ext uri="{FF2B5EF4-FFF2-40B4-BE49-F238E27FC236}">
              <a16:creationId xmlns:a16="http://schemas.microsoft.com/office/drawing/2014/main" id="{4E6C1443-B7F5-4F42-AF4E-2BFC8DF513A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296548" y="5526438"/>
          <a:ext cx="183921" cy="188670"/>
        </a:xfrm>
        <a:prstGeom prst="rect">
          <a:avLst/>
        </a:prstGeom>
      </xdr:spPr>
    </xdr:pic>
    <xdr:clientData/>
  </xdr:twoCellAnchor>
  <xdr:twoCellAnchor editAs="absolute">
    <xdr:from>
      <xdr:col>11</xdr:col>
      <xdr:colOff>53863</xdr:colOff>
      <xdr:row>32</xdr:row>
      <xdr:rowOff>15810</xdr:rowOff>
    </xdr:from>
    <xdr:to>
      <xdr:col>11</xdr:col>
      <xdr:colOff>245494</xdr:colOff>
      <xdr:row>32</xdr:row>
      <xdr:rowOff>187335</xdr:rowOff>
    </xdr:to>
    <xdr:pic>
      <xdr:nvPicPr>
        <xdr:cNvPr id="58" name="図 57">
          <a:extLst>
            <a:ext uri="{FF2B5EF4-FFF2-40B4-BE49-F238E27FC236}">
              <a16:creationId xmlns:a16="http://schemas.microsoft.com/office/drawing/2014/main" id="{E154820D-5608-46D0-A3EA-CCFB57EB2E3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296548" y="5715570"/>
          <a:ext cx="184011" cy="167715"/>
        </a:xfrm>
        <a:prstGeom prst="rect">
          <a:avLst/>
        </a:prstGeom>
      </xdr:spPr>
    </xdr:pic>
    <xdr:clientData/>
  </xdr:twoCellAnchor>
  <xdr:twoCellAnchor editAs="absolute">
    <xdr:from>
      <xdr:col>11</xdr:col>
      <xdr:colOff>53863</xdr:colOff>
      <xdr:row>32</xdr:row>
      <xdr:rowOff>187797</xdr:rowOff>
    </xdr:from>
    <xdr:to>
      <xdr:col>11</xdr:col>
      <xdr:colOff>245417</xdr:colOff>
      <xdr:row>33</xdr:row>
      <xdr:rowOff>168822</xdr:rowOff>
    </xdr:to>
    <xdr:pic>
      <xdr:nvPicPr>
        <xdr:cNvPr id="59" name="図 58">
          <a:extLst>
            <a:ext uri="{FF2B5EF4-FFF2-40B4-BE49-F238E27FC236}">
              <a16:creationId xmlns:a16="http://schemas.microsoft.com/office/drawing/2014/main" id="{AA4B28BF-4EB4-4C49-8032-A53CFEE4F7D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296548" y="5883747"/>
          <a:ext cx="183934" cy="175335"/>
        </a:xfrm>
        <a:prstGeom prst="rect">
          <a:avLst/>
        </a:prstGeom>
      </xdr:spPr>
    </xdr:pic>
    <xdr:clientData/>
  </xdr:twoCellAnchor>
  <xdr:twoCellAnchor editAs="absolute">
    <xdr:from>
      <xdr:col>11</xdr:col>
      <xdr:colOff>53863</xdr:colOff>
      <xdr:row>33</xdr:row>
      <xdr:rowOff>169284</xdr:rowOff>
    </xdr:from>
    <xdr:to>
      <xdr:col>11</xdr:col>
      <xdr:colOff>245417</xdr:colOff>
      <xdr:row>34</xdr:row>
      <xdr:rowOff>169359</xdr:rowOff>
    </xdr:to>
    <xdr:pic>
      <xdr:nvPicPr>
        <xdr:cNvPr id="60" name="図 59">
          <a:extLst>
            <a:ext uri="{FF2B5EF4-FFF2-40B4-BE49-F238E27FC236}">
              <a16:creationId xmlns:a16="http://schemas.microsoft.com/office/drawing/2014/main" id="{187AA896-9425-4963-B09A-DAAB6C522FB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296548" y="6059544"/>
          <a:ext cx="183934" cy="182955"/>
        </a:xfrm>
        <a:prstGeom prst="rect">
          <a:avLst/>
        </a:prstGeom>
      </xdr:spPr>
    </xdr:pic>
    <xdr:clientData/>
  </xdr:twoCellAnchor>
  <xdr:twoCellAnchor editAs="absolute">
    <xdr:from>
      <xdr:col>11</xdr:col>
      <xdr:colOff>53863</xdr:colOff>
      <xdr:row>34</xdr:row>
      <xdr:rowOff>167916</xdr:rowOff>
    </xdr:from>
    <xdr:to>
      <xdr:col>11</xdr:col>
      <xdr:colOff>245417</xdr:colOff>
      <xdr:row>35</xdr:row>
      <xdr:rowOff>131796</xdr:rowOff>
    </xdr:to>
    <xdr:pic>
      <xdr:nvPicPr>
        <xdr:cNvPr id="61" name="図 60">
          <a:extLst>
            <a:ext uri="{FF2B5EF4-FFF2-40B4-BE49-F238E27FC236}">
              <a16:creationId xmlns:a16="http://schemas.microsoft.com/office/drawing/2014/main" id="{C61E180C-F544-41FB-89DA-747FED79716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296548" y="6241056"/>
          <a:ext cx="183934" cy="162000"/>
        </a:xfrm>
        <a:prstGeom prst="rect">
          <a:avLst/>
        </a:prstGeom>
      </xdr:spPr>
    </xdr:pic>
    <xdr:clientData/>
  </xdr:twoCellAnchor>
  <xdr:twoCellAnchor editAs="absolute">
    <xdr:from>
      <xdr:col>11</xdr:col>
      <xdr:colOff>53863</xdr:colOff>
      <xdr:row>35</xdr:row>
      <xdr:rowOff>132258</xdr:rowOff>
    </xdr:from>
    <xdr:to>
      <xdr:col>11</xdr:col>
      <xdr:colOff>245417</xdr:colOff>
      <xdr:row>36</xdr:row>
      <xdr:rowOff>130428</xdr:rowOff>
    </xdr:to>
    <xdr:pic>
      <xdr:nvPicPr>
        <xdr:cNvPr id="62" name="図 61">
          <a:extLst>
            <a:ext uri="{FF2B5EF4-FFF2-40B4-BE49-F238E27FC236}">
              <a16:creationId xmlns:a16="http://schemas.microsoft.com/office/drawing/2014/main" id="{DD027932-E9CA-4603-9FE1-FED7C83C0C7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96548" y="6403518"/>
          <a:ext cx="183934" cy="188670"/>
        </a:xfrm>
        <a:prstGeom prst="rect">
          <a:avLst/>
        </a:prstGeom>
      </xdr:spPr>
    </xdr:pic>
    <xdr:clientData/>
  </xdr:twoCellAnchor>
  <xdr:twoCellAnchor editAs="absolute">
    <xdr:from>
      <xdr:col>11</xdr:col>
      <xdr:colOff>53863</xdr:colOff>
      <xdr:row>36</xdr:row>
      <xdr:rowOff>130894</xdr:rowOff>
    </xdr:from>
    <xdr:to>
      <xdr:col>11</xdr:col>
      <xdr:colOff>245395</xdr:colOff>
      <xdr:row>37</xdr:row>
      <xdr:rowOff>111919</xdr:rowOff>
    </xdr:to>
    <xdr:pic>
      <xdr:nvPicPr>
        <xdr:cNvPr id="63" name="図 62">
          <a:extLst>
            <a:ext uri="{FF2B5EF4-FFF2-40B4-BE49-F238E27FC236}">
              <a16:creationId xmlns:a16="http://schemas.microsoft.com/office/drawing/2014/main" id="{0134F94C-00B8-4F42-BEBC-E11E4B3E2DB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296548" y="6592654"/>
          <a:ext cx="183912" cy="167715"/>
        </a:xfrm>
        <a:prstGeom prst="rect">
          <a:avLst/>
        </a:prstGeom>
      </xdr:spPr>
    </xdr:pic>
    <xdr:clientData/>
  </xdr:twoCellAnchor>
  <xdr:twoCellAnchor>
    <xdr:from>
      <xdr:col>12</xdr:col>
      <xdr:colOff>325755</xdr:colOff>
      <xdr:row>25</xdr:row>
      <xdr:rowOff>26670</xdr:rowOff>
    </xdr:from>
    <xdr:to>
      <xdr:col>14</xdr:col>
      <xdr:colOff>614680</xdr:colOff>
      <xdr:row>26</xdr:row>
      <xdr:rowOff>109220</xdr:rowOff>
    </xdr:to>
    <xdr:sp macro="" textlink="">
      <xdr:nvSpPr>
        <xdr:cNvPr id="64" name="テキスト ボックス 63">
          <a:extLst>
            <a:ext uri="{FF2B5EF4-FFF2-40B4-BE49-F238E27FC236}">
              <a16:creationId xmlns:a16="http://schemas.microsoft.com/office/drawing/2014/main" id="{1F9354D3-3309-4E2F-8D94-5C2811BFF49A}"/>
            </a:ext>
          </a:extLst>
        </xdr:cNvPr>
        <xdr:cNvSpPr txBox="1"/>
      </xdr:nvSpPr>
      <xdr:spPr>
        <a:xfrm>
          <a:off x="7379970" y="4444365"/>
          <a:ext cx="1694815" cy="21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2021</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oneCell">
    <xdr:from>
      <xdr:col>11</xdr:col>
      <xdr:colOff>792480</xdr:colOff>
      <xdr:row>4</xdr:row>
      <xdr:rowOff>1905</xdr:rowOff>
    </xdr:from>
    <xdr:to>
      <xdr:col>13</xdr:col>
      <xdr:colOff>57149</xdr:colOff>
      <xdr:row>5</xdr:row>
      <xdr:rowOff>21034</xdr:rowOff>
    </xdr:to>
    <xdr:sp macro="" textlink="">
      <xdr:nvSpPr>
        <xdr:cNvPr id="65" name="Text Box 178">
          <a:extLst>
            <a:ext uri="{FF2B5EF4-FFF2-40B4-BE49-F238E27FC236}">
              <a16:creationId xmlns:a16="http://schemas.microsoft.com/office/drawing/2014/main" id="{C5AA9C3F-E6A1-44C1-822D-21A0FA712B65}"/>
            </a:ext>
          </a:extLst>
        </xdr:cNvPr>
        <xdr:cNvSpPr txBox="1">
          <a:spLocks noChangeArrowheads="1"/>
        </xdr:cNvSpPr>
      </xdr:nvSpPr>
      <xdr:spPr bwMode="auto">
        <a:xfrm>
          <a:off x="7029450" y="687705"/>
          <a:ext cx="895349" cy="190579"/>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36195</xdr:colOff>
      <xdr:row>0</xdr:row>
      <xdr:rowOff>93345</xdr:rowOff>
    </xdr:from>
    <xdr:to>
      <xdr:col>8</xdr:col>
      <xdr:colOff>436245</xdr:colOff>
      <xdr:row>4</xdr:row>
      <xdr:rowOff>93740</xdr:rowOff>
    </xdr:to>
    <xdr:pic>
      <xdr:nvPicPr>
        <xdr:cNvPr id="66" name="図 65">
          <a:extLst>
            <a:ext uri="{FF2B5EF4-FFF2-40B4-BE49-F238E27FC236}">
              <a16:creationId xmlns:a16="http://schemas.microsoft.com/office/drawing/2014/main" id="{2CC20B3B-125F-4E3D-8CA5-3A496A1130AC}"/>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3345" y="97155"/>
          <a:ext cx="4465320" cy="68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744855</xdr:colOff>
      <xdr:row>3</xdr:row>
      <xdr:rowOff>17145</xdr:rowOff>
    </xdr:to>
    <xdr:pic>
      <xdr:nvPicPr>
        <xdr:cNvPr id="67" name="Picture 181" descr="評価結果">
          <a:extLst>
            <a:ext uri="{FF2B5EF4-FFF2-40B4-BE49-F238E27FC236}">
              <a16:creationId xmlns:a16="http://schemas.microsoft.com/office/drawing/2014/main" id="{E9D4AF6E-2D0B-4F91-AE68-369CB20C68F8}"/>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867525" y="154305"/>
          <a:ext cx="2335530"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17145</xdr:colOff>
      <xdr:row>23</xdr:row>
      <xdr:rowOff>19050</xdr:rowOff>
    </xdr:from>
    <xdr:to>
      <xdr:col>14</xdr:col>
      <xdr:colOff>771525</xdr:colOff>
      <xdr:row>38</xdr:row>
      <xdr:rowOff>148590</xdr:rowOff>
    </xdr:to>
    <xdr:sp macro="" textlink="">
      <xdr:nvSpPr>
        <xdr:cNvPr id="68" name="正方形/長方形 67">
          <a:extLst>
            <a:ext uri="{FF2B5EF4-FFF2-40B4-BE49-F238E27FC236}">
              <a16:creationId xmlns:a16="http://schemas.microsoft.com/office/drawing/2014/main" id="{9963B1AE-F68B-47A7-B460-90D35C10526C}"/>
            </a:ext>
          </a:extLst>
        </xdr:cNvPr>
        <xdr:cNvSpPr/>
      </xdr:nvSpPr>
      <xdr:spPr>
        <a:xfrm>
          <a:off x="6259830" y="4053840"/>
          <a:ext cx="2971800" cy="2933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742949</xdr:colOff>
      <xdr:row>22</xdr:row>
      <xdr:rowOff>169545</xdr:rowOff>
    </xdr:from>
    <xdr:to>
      <xdr:col>16</xdr:col>
      <xdr:colOff>19049</xdr:colOff>
      <xdr:row>39</xdr:row>
      <xdr:rowOff>17145</xdr:rowOff>
    </xdr:to>
    <xdr:graphicFrame macro="">
      <xdr:nvGraphicFramePr>
        <xdr:cNvPr id="69" name="Chart 8">
          <a:extLst>
            <a:ext uri="{FF2B5EF4-FFF2-40B4-BE49-F238E27FC236}">
              <a16:creationId xmlns:a16="http://schemas.microsoft.com/office/drawing/2014/main" id="{ACDB5F07-AC00-4CF3-B20F-40FAC000D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55244</xdr:colOff>
      <xdr:row>43</xdr:row>
      <xdr:rowOff>58102</xdr:rowOff>
    </xdr:from>
    <xdr:to>
      <xdr:col>14</xdr:col>
      <xdr:colOff>742950</xdr:colOff>
      <xdr:row>51</xdr:row>
      <xdr:rowOff>152400</xdr:rowOff>
    </xdr:to>
    <xdr:graphicFrame macro="">
      <xdr:nvGraphicFramePr>
        <xdr:cNvPr id="70" name="グラフ 69">
          <a:extLst>
            <a:ext uri="{FF2B5EF4-FFF2-40B4-BE49-F238E27FC236}">
              <a16:creationId xmlns:a16="http://schemas.microsoft.com/office/drawing/2014/main" id="{56BE29FA-A9D6-40AA-9A24-33FF3E162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oneCellAnchor>
    <xdr:from>
      <xdr:col>13</xdr:col>
      <xdr:colOff>127635</xdr:colOff>
      <xdr:row>52</xdr:row>
      <xdr:rowOff>180975</xdr:rowOff>
    </xdr:from>
    <xdr:ext cx="693973" cy="201850"/>
    <xdr:sp macro="" textlink="">
      <xdr:nvSpPr>
        <xdr:cNvPr id="71" name="Text Box 135">
          <a:extLst>
            <a:ext uri="{FF2B5EF4-FFF2-40B4-BE49-F238E27FC236}">
              <a16:creationId xmlns:a16="http://schemas.microsoft.com/office/drawing/2014/main" id="{8401DDDA-15C2-440B-8C42-12CD1300643C}"/>
            </a:ext>
          </a:extLst>
        </xdr:cNvPr>
        <xdr:cNvSpPr txBox="1">
          <a:spLocks noChangeArrowheads="1"/>
        </xdr:cNvSpPr>
      </xdr:nvSpPr>
      <xdr:spPr bwMode="auto">
        <a:xfrm>
          <a:off x="7999095" y="9685020"/>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xdr:from>
      <xdr:col>12</xdr:col>
      <xdr:colOff>57150</xdr:colOff>
      <xdr:row>54</xdr:row>
      <xdr:rowOff>28575</xdr:rowOff>
    </xdr:from>
    <xdr:to>
      <xdr:col>14</xdr:col>
      <xdr:colOff>735331</xdr:colOff>
      <xdr:row>61</xdr:row>
      <xdr:rowOff>151448</xdr:rowOff>
    </xdr:to>
    <xdr:graphicFrame macro="">
      <xdr:nvGraphicFramePr>
        <xdr:cNvPr id="72" name="グラフ 71">
          <a:extLst>
            <a:ext uri="{FF2B5EF4-FFF2-40B4-BE49-F238E27FC236}">
              <a16:creationId xmlns:a16="http://schemas.microsoft.com/office/drawing/2014/main" id="{A3C02A5F-A0A6-430F-A655-787EFA139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oneCellAnchor>
    <xdr:from>
      <xdr:col>13</xdr:col>
      <xdr:colOff>83820</xdr:colOff>
      <xdr:row>42</xdr:row>
      <xdr:rowOff>0</xdr:rowOff>
    </xdr:from>
    <xdr:ext cx="713785" cy="228600"/>
    <xdr:sp macro="" textlink="">
      <xdr:nvSpPr>
        <xdr:cNvPr id="73" name="Text Box 135">
          <a:extLst>
            <a:ext uri="{FF2B5EF4-FFF2-40B4-BE49-F238E27FC236}">
              <a16:creationId xmlns:a16="http://schemas.microsoft.com/office/drawing/2014/main" id="{E0FA4C94-7071-4A42-8F26-1163AE05AFD6}"/>
            </a:ext>
          </a:extLst>
        </xdr:cNvPr>
        <xdr:cNvSpPr txBox="1">
          <a:spLocks noChangeArrowheads="1"/>
        </xdr:cNvSpPr>
      </xdr:nvSpPr>
      <xdr:spPr bwMode="auto">
        <a:xfrm>
          <a:off x="7953375" y="760095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1089634</xdr:colOff>
      <xdr:row>0</xdr:row>
      <xdr:rowOff>85725</xdr:rowOff>
    </xdr:from>
    <xdr:to>
      <xdr:col>4</xdr:col>
      <xdr:colOff>91441</xdr:colOff>
      <xdr:row>2</xdr:row>
      <xdr:rowOff>320040</xdr:rowOff>
    </xdr:to>
    <xdr:pic>
      <xdr:nvPicPr>
        <xdr:cNvPr id="2750" name="図 1">
          <a:extLst>
            <a:ext uri="{FF2B5EF4-FFF2-40B4-BE49-F238E27FC236}">
              <a16:creationId xmlns:a16="http://schemas.microsoft.com/office/drawing/2014/main" id="{00000000-0008-0000-0000-0000BE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1554" y="85725"/>
          <a:ext cx="3629052"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740389</xdr:colOff>
      <xdr:row>26</xdr:row>
      <xdr:rowOff>20769</xdr:rowOff>
    </xdr:from>
    <xdr:to>
      <xdr:col>14</xdr:col>
      <xdr:colOff>765635</xdr:colOff>
      <xdr:row>41</xdr:row>
      <xdr:rowOff>53753</xdr:rowOff>
    </xdr:to>
    <xdr:graphicFrame macro="">
      <xdr:nvGraphicFramePr>
        <xdr:cNvPr id="2" name="グラフ 1">
          <a:extLst>
            <a:ext uri="{FF2B5EF4-FFF2-40B4-BE49-F238E27FC236}">
              <a16:creationId xmlns:a16="http://schemas.microsoft.com/office/drawing/2014/main" id="{0C9821CD-8496-4D18-8BDF-9CF5E8E781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400399</xdr:colOff>
      <xdr:row>26</xdr:row>
      <xdr:rowOff>131843</xdr:rowOff>
    </xdr:from>
    <xdr:to>
      <xdr:col>14</xdr:col>
      <xdr:colOff>756266</xdr:colOff>
      <xdr:row>28</xdr:row>
      <xdr:rowOff>18243</xdr:rowOff>
    </xdr:to>
    <xdr:sp macro="" textlink="$AG$30">
      <xdr:nvSpPr>
        <xdr:cNvPr id="3" name="テキスト ボックス 2">
          <a:extLst>
            <a:ext uri="{FF2B5EF4-FFF2-40B4-BE49-F238E27FC236}">
              <a16:creationId xmlns:a16="http://schemas.microsoft.com/office/drawing/2014/main" id="{0C220167-6F2F-465D-B543-9E1E0486FDCA}"/>
            </a:ext>
          </a:extLst>
        </xdr:cNvPr>
        <xdr:cNvSpPr txBox="1"/>
      </xdr:nvSpPr>
      <xdr:spPr>
        <a:xfrm>
          <a:off x="9801574" y="467526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796215</xdr:colOff>
      <xdr:row>22</xdr:row>
      <xdr:rowOff>133350</xdr:rowOff>
    </xdr:from>
    <xdr:to>
      <xdr:col>6</xdr:col>
      <xdr:colOff>367280</xdr:colOff>
      <xdr:row>26</xdr:row>
      <xdr:rowOff>144780</xdr:rowOff>
    </xdr:to>
    <xdr:graphicFrame macro="">
      <xdr:nvGraphicFramePr>
        <xdr:cNvPr id="4" name="Chart 123">
          <a:extLst>
            <a:ext uri="{FF2B5EF4-FFF2-40B4-BE49-F238E27FC236}">
              <a16:creationId xmlns:a16="http://schemas.microsoft.com/office/drawing/2014/main" id="{8A37D49C-BA2A-42E2-B1FB-51177C3AD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47046</xdr:colOff>
      <xdr:row>23</xdr:row>
      <xdr:rowOff>168966</xdr:rowOff>
    </xdr:from>
    <xdr:ext cx="560410" cy="219419"/>
    <xdr:sp macro="" textlink="">
      <xdr:nvSpPr>
        <xdr:cNvPr id="5" name="Text Box 39">
          <a:extLst>
            <a:ext uri="{FF2B5EF4-FFF2-40B4-BE49-F238E27FC236}">
              <a16:creationId xmlns:a16="http://schemas.microsoft.com/office/drawing/2014/main" id="{1AEA84C5-2B35-493B-B6B5-FF71188128EA}"/>
            </a:ext>
          </a:extLst>
        </xdr:cNvPr>
        <xdr:cNvSpPr txBox="1">
          <a:spLocks noChangeArrowheads="1"/>
        </xdr:cNvSpPr>
      </xdr:nvSpPr>
      <xdr:spPr bwMode="auto">
        <a:xfrm>
          <a:off x="48951" y="4211376"/>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26670</xdr:colOff>
      <xdr:row>25</xdr:row>
      <xdr:rowOff>129540</xdr:rowOff>
    </xdr:from>
    <xdr:to>
      <xdr:col>7</xdr:col>
      <xdr:colOff>140970</xdr:colOff>
      <xdr:row>27</xdr:row>
      <xdr:rowOff>26670</xdr:rowOff>
    </xdr:to>
    <xdr:sp macro="" textlink="">
      <xdr:nvSpPr>
        <xdr:cNvPr id="6" name="Text Box 129">
          <a:extLst>
            <a:ext uri="{FF2B5EF4-FFF2-40B4-BE49-F238E27FC236}">
              <a16:creationId xmlns:a16="http://schemas.microsoft.com/office/drawing/2014/main" id="{44B7A449-EEBB-4EAE-B737-40EB6B32904A}"/>
            </a:ext>
          </a:extLst>
        </xdr:cNvPr>
        <xdr:cNvSpPr txBox="1">
          <a:spLocks noChangeArrowheads="1"/>
        </xdr:cNvSpPr>
      </xdr:nvSpPr>
      <xdr:spPr bwMode="auto">
        <a:xfrm>
          <a:off x="81915" y="4552950"/>
          <a:ext cx="3276600" cy="19621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437163</xdr:colOff>
      <xdr:row>22</xdr:row>
      <xdr:rowOff>136109</xdr:rowOff>
    </xdr:from>
    <xdr:to>
      <xdr:col>10</xdr:col>
      <xdr:colOff>411532</xdr:colOff>
      <xdr:row>26</xdr:row>
      <xdr:rowOff>164684</xdr:rowOff>
    </xdr:to>
    <xdr:graphicFrame macro="">
      <xdr:nvGraphicFramePr>
        <xdr:cNvPr id="7" name="Chart 123">
          <a:extLst>
            <a:ext uri="{FF2B5EF4-FFF2-40B4-BE49-F238E27FC236}">
              <a16:creationId xmlns:a16="http://schemas.microsoft.com/office/drawing/2014/main" id="{89020E09-EB24-42DE-8A0F-F5607AF00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97154</xdr:colOff>
      <xdr:row>26</xdr:row>
      <xdr:rowOff>130245</xdr:rowOff>
    </xdr:from>
    <xdr:to>
      <xdr:col>6</xdr:col>
      <xdr:colOff>17912</xdr:colOff>
      <xdr:row>41</xdr:row>
      <xdr:rowOff>54748</xdr:rowOff>
    </xdr:to>
    <xdr:graphicFrame macro="">
      <xdr:nvGraphicFramePr>
        <xdr:cNvPr id="8" name="Chart 17">
          <a:extLst>
            <a:ext uri="{FF2B5EF4-FFF2-40B4-BE49-F238E27FC236}">
              <a16:creationId xmlns:a16="http://schemas.microsoft.com/office/drawing/2014/main" id="{5801A1DA-B1D5-4574-A490-6CB378982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57149</xdr:colOff>
      <xdr:row>44</xdr:row>
      <xdr:rowOff>137160</xdr:rowOff>
    </xdr:from>
    <xdr:to>
      <xdr:col>4</xdr:col>
      <xdr:colOff>434340</xdr:colOff>
      <xdr:row>53</xdr:row>
      <xdr:rowOff>22860</xdr:rowOff>
    </xdr:to>
    <xdr:graphicFrame macro="">
      <xdr:nvGraphicFramePr>
        <xdr:cNvPr id="9" name="Chart 4">
          <a:extLst>
            <a:ext uri="{FF2B5EF4-FFF2-40B4-BE49-F238E27FC236}">
              <a16:creationId xmlns:a16="http://schemas.microsoft.com/office/drawing/2014/main" id="{A6E33E41-7D01-4B27-9186-E2A4E38FC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426720</xdr:colOff>
      <xdr:row>44</xdr:row>
      <xdr:rowOff>142876</xdr:rowOff>
    </xdr:from>
    <xdr:to>
      <xdr:col>9</xdr:col>
      <xdr:colOff>373381</xdr:colOff>
      <xdr:row>53</xdr:row>
      <xdr:rowOff>64770</xdr:rowOff>
    </xdr:to>
    <xdr:graphicFrame macro="">
      <xdr:nvGraphicFramePr>
        <xdr:cNvPr id="10" name="Chart 15">
          <a:extLst>
            <a:ext uri="{FF2B5EF4-FFF2-40B4-BE49-F238E27FC236}">
              <a16:creationId xmlns:a16="http://schemas.microsoft.com/office/drawing/2014/main" id="{8162CDD6-4350-45DA-92BA-0C5CA482D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390524</xdr:colOff>
      <xdr:row>44</xdr:row>
      <xdr:rowOff>163830</xdr:rowOff>
    </xdr:from>
    <xdr:to>
      <xdr:col>11</xdr:col>
      <xdr:colOff>784860</xdr:colOff>
      <xdr:row>53</xdr:row>
      <xdr:rowOff>34290</xdr:rowOff>
    </xdr:to>
    <xdr:graphicFrame macro="">
      <xdr:nvGraphicFramePr>
        <xdr:cNvPr id="11" name="Chart 15">
          <a:extLst>
            <a:ext uri="{FF2B5EF4-FFF2-40B4-BE49-F238E27FC236}">
              <a16:creationId xmlns:a16="http://schemas.microsoft.com/office/drawing/2014/main" id="{00D576DB-8BB0-4148-AABF-1F465E687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55</xdr:row>
      <xdr:rowOff>125730</xdr:rowOff>
    </xdr:from>
    <xdr:to>
      <xdr:col>5</xdr:col>
      <xdr:colOff>213360</xdr:colOff>
      <xdr:row>63</xdr:row>
      <xdr:rowOff>182879</xdr:rowOff>
    </xdr:to>
    <xdr:graphicFrame macro="">
      <xdr:nvGraphicFramePr>
        <xdr:cNvPr id="12" name="Chart 4">
          <a:extLst>
            <a:ext uri="{FF2B5EF4-FFF2-40B4-BE49-F238E27FC236}">
              <a16:creationId xmlns:a16="http://schemas.microsoft.com/office/drawing/2014/main" id="{4D8FF169-B6AC-4428-B48A-80E5739B6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325757</xdr:colOff>
      <xdr:row>55</xdr:row>
      <xdr:rowOff>131445</xdr:rowOff>
    </xdr:from>
    <xdr:to>
      <xdr:col>9</xdr:col>
      <xdr:colOff>142876</xdr:colOff>
      <xdr:row>63</xdr:row>
      <xdr:rowOff>135255</xdr:rowOff>
    </xdr:to>
    <xdr:graphicFrame macro="">
      <xdr:nvGraphicFramePr>
        <xdr:cNvPr id="13" name="Chart 15">
          <a:extLst>
            <a:ext uri="{FF2B5EF4-FFF2-40B4-BE49-F238E27FC236}">
              <a16:creationId xmlns:a16="http://schemas.microsoft.com/office/drawing/2014/main" id="{5177FB02-61C1-423A-908C-D44220DBD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228600</xdr:colOff>
      <xdr:row>56</xdr:row>
      <xdr:rowOff>1905</xdr:rowOff>
    </xdr:from>
    <xdr:to>
      <xdr:col>11</xdr:col>
      <xdr:colOff>790575</xdr:colOff>
      <xdr:row>64</xdr:row>
      <xdr:rowOff>19050</xdr:rowOff>
    </xdr:to>
    <xdr:graphicFrame macro="">
      <xdr:nvGraphicFramePr>
        <xdr:cNvPr id="14" name="Chart 15">
          <a:extLst>
            <a:ext uri="{FF2B5EF4-FFF2-40B4-BE49-F238E27FC236}">
              <a16:creationId xmlns:a16="http://schemas.microsoft.com/office/drawing/2014/main" id="{15C35BB4-7376-4117-9CDB-7E9F0FFF9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10</xdr:col>
      <xdr:colOff>130266</xdr:colOff>
      <xdr:row>43</xdr:row>
      <xdr:rowOff>180975</xdr:rowOff>
    </xdr:from>
    <xdr:ext cx="851067" cy="201850"/>
    <xdr:sp macro="" textlink="">
      <xdr:nvSpPr>
        <xdr:cNvPr id="15" name="Text Box 135">
          <a:extLst>
            <a:ext uri="{FF2B5EF4-FFF2-40B4-BE49-F238E27FC236}">
              <a16:creationId xmlns:a16="http://schemas.microsoft.com/office/drawing/2014/main" id="{F77A6C15-39B9-4D9B-905D-838F7E9539F2}"/>
            </a:ext>
          </a:extLst>
        </xdr:cNvPr>
        <xdr:cNvSpPr txBox="1">
          <a:spLocks noChangeArrowheads="1"/>
        </xdr:cNvSpPr>
      </xdr:nvSpPr>
      <xdr:spPr bwMode="auto">
        <a:xfrm>
          <a:off x="5607141"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590550</xdr:colOff>
      <xdr:row>43</xdr:row>
      <xdr:rowOff>180975</xdr:rowOff>
    </xdr:from>
    <xdr:ext cx="851067" cy="201850"/>
    <xdr:sp macro="" textlink="">
      <xdr:nvSpPr>
        <xdr:cNvPr id="16" name="Text Box 138">
          <a:extLst>
            <a:ext uri="{FF2B5EF4-FFF2-40B4-BE49-F238E27FC236}">
              <a16:creationId xmlns:a16="http://schemas.microsoft.com/office/drawing/2014/main" id="{89013214-B72D-4D65-8BA9-B6BA276B45BE}"/>
            </a:ext>
          </a:extLst>
        </xdr:cNvPr>
        <xdr:cNvSpPr txBox="1">
          <a:spLocks noChangeArrowheads="1"/>
        </xdr:cNvSpPr>
      </xdr:nvSpPr>
      <xdr:spPr bwMode="auto">
        <a:xfrm>
          <a:off x="3810000"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739140</xdr:colOff>
      <xdr:row>43</xdr:row>
      <xdr:rowOff>180975</xdr:rowOff>
    </xdr:from>
    <xdr:ext cx="851067" cy="201850"/>
    <xdr:sp macro="" textlink="">
      <xdr:nvSpPr>
        <xdr:cNvPr id="17" name="Text Box 139">
          <a:extLst>
            <a:ext uri="{FF2B5EF4-FFF2-40B4-BE49-F238E27FC236}">
              <a16:creationId xmlns:a16="http://schemas.microsoft.com/office/drawing/2014/main" id="{56242BEC-692A-474B-8D66-5714425E1079}"/>
            </a:ext>
          </a:extLst>
        </xdr:cNvPr>
        <xdr:cNvSpPr txBox="1">
          <a:spLocks noChangeArrowheads="1"/>
        </xdr:cNvSpPr>
      </xdr:nvSpPr>
      <xdr:spPr bwMode="auto">
        <a:xfrm>
          <a:off x="939165"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10</xdr:col>
      <xdr:colOff>87630</xdr:colOff>
      <xdr:row>54</xdr:row>
      <xdr:rowOff>181927</xdr:rowOff>
    </xdr:from>
    <xdr:ext cx="916148" cy="201850"/>
    <xdr:sp macro="" textlink="">
      <xdr:nvSpPr>
        <xdr:cNvPr id="18" name="Text Box 136">
          <a:extLst>
            <a:ext uri="{FF2B5EF4-FFF2-40B4-BE49-F238E27FC236}">
              <a16:creationId xmlns:a16="http://schemas.microsoft.com/office/drawing/2014/main" id="{DE2AFED5-F6EB-491C-8594-F81863CFAA36}"/>
            </a:ext>
          </a:extLst>
        </xdr:cNvPr>
        <xdr:cNvSpPr txBox="1">
          <a:spLocks noChangeArrowheads="1"/>
        </xdr:cNvSpPr>
      </xdr:nvSpPr>
      <xdr:spPr bwMode="auto">
        <a:xfrm>
          <a:off x="556450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510540</xdr:colOff>
      <xdr:row>54</xdr:row>
      <xdr:rowOff>181927</xdr:rowOff>
    </xdr:from>
    <xdr:ext cx="916148" cy="201850"/>
    <xdr:sp macro="" textlink="">
      <xdr:nvSpPr>
        <xdr:cNvPr id="19" name="Text Box 137">
          <a:extLst>
            <a:ext uri="{FF2B5EF4-FFF2-40B4-BE49-F238E27FC236}">
              <a16:creationId xmlns:a16="http://schemas.microsoft.com/office/drawing/2014/main" id="{96EC0B69-6FFD-47D3-8134-98D60139D376}"/>
            </a:ext>
          </a:extLst>
        </xdr:cNvPr>
        <xdr:cNvSpPr txBox="1">
          <a:spLocks noChangeArrowheads="1"/>
        </xdr:cNvSpPr>
      </xdr:nvSpPr>
      <xdr:spPr bwMode="auto">
        <a:xfrm>
          <a:off x="3729990"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3</xdr:col>
      <xdr:colOff>72390</xdr:colOff>
      <xdr:row>54</xdr:row>
      <xdr:rowOff>181927</xdr:rowOff>
    </xdr:from>
    <xdr:ext cx="916148" cy="201850"/>
    <xdr:sp macro="" textlink="">
      <xdr:nvSpPr>
        <xdr:cNvPr id="20" name="Text Box 140">
          <a:extLst>
            <a:ext uri="{FF2B5EF4-FFF2-40B4-BE49-F238E27FC236}">
              <a16:creationId xmlns:a16="http://schemas.microsoft.com/office/drawing/2014/main" id="{E827BFCD-461C-4A78-8048-BB3523287752}"/>
            </a:ext>
          </a:extLst>
        </xdr:cNvPr>
        <xdr:cNvSpPr txBox="1">
          <a:spLocks noChangeArrowheads="1"/>
        </xdr:cNvSpPr>
      </xdr:nvSpPr>
      <xdr:spPr bwMode="auto">
        <a:xfrm>
          <a:off x="135826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398794</xdr:colOff>
      <xdr:row>22</xdr:row>
      <xdr:rowOff>94639</xdr:rowOff>
    </xdr:from>
    <xdr:to>
      <xdr:col>14</xdr:col>
      <xdr:colOff>437481</xdr:colOff>
      <xdr:row>27</xdr:row>
      <xdr:rowOff>20012</xdr:rowOff>
    </xdr:to>
    <xdr:graphicFrame macro="">
      <xdr:nvGraphicFramePr>
        <xdr:cNvPr id="21" name="Chart 123">
          <a:extLst>
            <a:ext uri="{FF2B5EF4-FFF2-40B4-BE49-F238E27FC236}">
              <a16:creationId xmlns:a16="http://schemas.microsoft.com/office/drawing/2014/main" id="{903AFD42-20AD-4380-8310-155AEC8C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14</xdr:col>
      <xdr:colOff>400399</xdr:colOff>
      <xdr:row>27</xdr:row>
      <xdr:rowOff>130846</xdr:rowOff>
    </xdr:from>
    <xdr:to>
      <xdr:col>14</xdr:col>
      <xdr:colOff>756266</xdr:colOff>
      <xdr:row>29</xdr:row>
      <xdr:rowOff>21056</xdr:rowOff>
    </xdr:to>
    <xdr:sp macro="" textlink="AG31">
      <xdr:nvSpPr>
        <xdr:cNvPr id="22" name="テキスト ボックス 21">
          <a:extLst>
            <a:ext uri="{FF2B5EF4-FFF2-40B4-BE49-F238E27FC236}">
              <a16:creationId xmlns:a16="http://schemas.microsoft.com/office/drawing/2014/main" id="{7B2D0515-D2FB-4482-9577-7E8E44C20783}"/>
            </a:ext>
          </a:extLst>
        </xdr:cNvPr>
        <xdr:cNvSpPr txBox="1"/>
      </xdr:nvSpPr>
      <xdr:spPr>
        <a:xfrm>
          <a:off x="8866219" y="487048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28</xdr:row>
      <xdr:rowOff>130128</xdr:rowOff>
    </xdr:from>
    <xdr:to>
      <xdr:col>14</xdr:col>
      <xdr:colOff>756266</xdr:colOff>
      <xdr:row>30</xdr:row>
      <xdr:rowOff>20338</xdr:rowOff>
    </xdr:to>
    <xdr:sp macro="" textlink="AG32">
      <xdr:nvSpPr>
        <xdr:cNvPr id="23" name="テキスト ボックス 22">
          <a:extLst>
            <a:ext uri="{FF2B5EF4-FFF2-40B4-BE49-F238E27FC236}">
              <a16:creationId xmlns:a16="http://schemas.microsoft.com/office/drawing/2014/main" id="{3313DF9E-1B6B-4D5C-8480-52B76446B1CC}"/>
            </a:ext>
          </a:extLst>
        </xdr:cNvPr>
        <xdr:cNvSpPr txBox="1"/>
      </xdr:nvSpPr>
      <xdr:spPr>
        <a:xfrm>
          <a:off x="8866219" y="502978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30</xdr:row>
      <xdr:rowOff>1102</xdr:rowOff>
    </xdr:from>
    <xdr:to>
      <xdr:col>14</xdr:col>
      <xdr:colOff>756266</xdr:colOff>
      <xdr:row>31</xdr:row>
      <xdr:rowOff>51332</xdr:rowOff>
    </xdr:to>
    <xdr:sp macro="" textlink="AG33">
      <xdr:nvSpPr>
        <xdr:cNvPr id="24" name="テキスト ボックス 23">
          <a:extLst>
            <a:ext uri="{FF2B5EF4-FFF2-40B4-BE49-F238E27FC236}">
              <a16:creationId xmlns:a16="http://schemas.microsoft.com/office/drawing/2014/main" id="{149ED8C4-0AE8-4897-B528-269E2CBE0446}"/>
            </a:ext>
          </a:extLst>
        </xdr:cNvPr>
        <xdr:cNvSpPr txBox="1"/>
      </xdr:nvSpPr>
      <xdr:spPr>
        <a:xfrm>
          <a:off x="8866219" y="522080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402304</xdr:colOff>
      <xdr:row>31</xdr:row>
      <xdr:rowOff>34674</xdr:rowOff>
    </xdr:from>
    <xdr:to>
      <xdr:col>14</xdr:col>
      <xdr:colOff>758171</xdr:colOff>
      <xdr:row>32</xdr:row>
      <xdr:rowOff>84904</xdr:rowOff>
    </xdr:to>
    <xdr:sp macro="" textlink="AG34">
      <xdr:nvSpPr>
        <xdr:cNvPr id="25" name="テキスト ボックス 24">
          <a:extLst>
            <a:ext uri="{FF2B5EF4-FFF2-40B4-BE49-F238E27FC236}">
              <a16:creationId xmlns:a16="http://schemas.microsoft.com/office/drawing/2014/main" id="{D90A81BC-8548-42B8-AB8B-EF399BDD9E09}"/>
            </a:ext>
          </a:extLst>
        </xdr:cNvPr>
        <xdr:cNvSpPr txBox="1"/>
      </xdr:nvSpPr>
      <xdr:spPr>
        <a:xfrm>
          <a:off x="8868124" y="541439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32</xdr:row>
      <xdr:rowOff>22526</xdr:rowOff>
    </xdr:from>
    <xdr:to>
      <xdr:col>14</xdr:col>
      <xdr:colOff>754361</xdr:colOff>
      <xdr:row>33</xdr:row>
      <xdr:rowOff>72756</xdr:rowOff>
    </xdr:to>
    <xdr:sp macro="" textlink="AG35">
      <xdr:nvSpPr>
        <xdr:cNvPr id="26" name="テキスト ボックス 25">
          <a:extLst>
            <a:ext uri="{FF2B5EF4-FFF2-40B4-BE49-F238E27FC236}">
              <a16:creationId xmlns:a16="http://schemas.microsoft.com/office/drawing/2014/main" id="{84C0AAEA-4597-4BA3-AFE8-F8541AC3FC07}"/>
            </a:ext>
          </a:extLst>
        </xdr:cNvPr>
        <xdr:cNvSpPr txBox="1"/>
      </xdr:nvSpPr>
      <xdr:spPr>
        <a:xfrm>
          <a:off x="8864314" y="556226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33</xdr:row>
      <xdr:rowOff>54192</xdr:rowOff>
    </xdr:from>
    <xdr:to>
      <xdr:col>14</xdr:col>
      <xdr:colOff>754361</xdr:colOff>
      <xdr:row>34</xdr:row>
      <xdr:rowOff>104422</xdr:rowOff>
    </xdr:to>
    <xdr:sp macro="" textlink="AG36">
      <xdr:nvSpPr>
        <xdr:cNvPr id="27" name="テキスト ボックス 26">
          <a:extLst>
            <a:ext uri="{FF2B5EF4-FFF2-40B4-BE49-F238E27FC236}">
              <a16:creationId xmlns:a16="http://schemas.microsoft.com/office/drawing/2014/main" id="{2D128474-3753-4F68-99C7-AC40A90A1C48}"/>
            </a:ext>
          </a:extLst>
        </xdr:cNvPr>
        <xdr:cNvSpPr txBox="1"/>
      </xdr:nvSpPr>
      <xdr:spPr>
        <a:xfrm>
          <a:off x="8864314" y="575395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34</xdr:row>
      <xdr:rowOff>55379</xdr:rowOff>
    </xdr:from>
    <xdr:to>
      <xdr:col>14</xdr:col>
      <xdr:colOff>754361</xdr:colOff>
      <xdr:row>35</xdr:row>
      <xdr:rowOff>105609</xdr:rowOff>
    </xdr:to>
    <xdr:sp macro="" textlink="AG37">
      <xdr:nvSpPr>
        <xdr:cNvPr id="28" name="テキスト ボックス 27">
          <a:extLst>
            <a:ext uri="{FF2B5EF4-FFF2-40B4-BE49-F238E27FC236}">
              <a16:creationId xmlns:a16="http://schemas.microsoft.com/office/drawing/2014/main" id="{51065667-D9EA-4D72-9E63-ED3087C8E404}"/>
            </a:ext>
          </a:extLst>
        </xdr:cNvPr>
        <xdr:cNvSpPr txBox="1"/>
      </xdr:nvSpPr>
      <xdr:spPr>
        <a:xfrm>
          <a:off x="8864314" y="591515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35</xdr:row>
      <xdr:rowOff>94665</xdr:rowOff>
    </xdr:from>
    <xdr:to>
      <xdr:col>14</xdr:col>
      <xdr:colOff>754361</xdr:colOff>
      <xdr:row>36</xdr:row>
      <xdr:rowOff>144895</xdr:rowOff>
    </xdr:to>
    <xdr:sp macro="" textlink="AG38">
      <xdr:nvSpPr>
        <xdr:cNvPr id="29" name="テキスト ボックス 28">
          <a:extLst>
            <a:ext uri="{FF2B5EF4-FFF2-40B4-BE49-F238E27FC236}">
              <a16:creationId xmlns:a16="http://schemas.microsoft.com/office/drawing/2014/main" id="{10418493-55CC-4A68-871E-ABF8C7158BC8}"/>
            </a:ext>
          </a:extLst>
        </xdr:cNvPr>
        <xdr:cNvSpPr txBox="1"/>
      </xdr:nvSpPr>
      <xdr:spPr>
        <a:xfrm>
          <a:off x="8864314" y="6114465"/>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36</xdr:row>
      <xdr:rowOff>95852</xdr:rowOff>
    </xdr:from>
    <xdr:to>
      <xdr:col>14</xdr:col>
      <xdr:colOff>754361</xdr:colOff>
      <xdr:row>37</xdr:row>
      <xdr:rowOff>146082</xdr:rowOff>
    </xdr:to>
    <xdr:sp macro="" textlink="AG39">
      <xdr:nvSpPr>
        <xdr:cNvPr id="30" name="テキスト ボックス 29">
          <a:extLst>
            <a:ext uri="{FF2B5EF4-FFF2-40B4-BE49-F238E27FC236}">
              <a16:creationId xmlns:a16="http://schemas.microsoft.com/office/drawing/2014/main" id="{F1B0E4BC-677C-4016-86D6-5CC8545C8F64}"/>
            </a:ext>
          </a:extLst>
        </xdr:cNvPr>
        <xdr:cNvSpPr txBox="1"/>
      </xdr:nvSpPr>
      <xdr:spPr>
        <a:xfrm>
          <a:off x="8864314" y="627567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37</xdr:row>
      <xdr:rowOff>98944</xdr:rowOff>
    </xdr:from>
    <xdr:to>
      <xdr:col>14</xdr:col>
      <xdr:colOff>754361</xdr:colOff>
      <xdr:row>38</xdr:row>
      <xdr:rowOff>149174</xdr:rowOff>
    </xdr:to>
    <xdr:sp macro="" textlink="AG40">
      <xdr:nvSpPr>
        <xdr:cNvPr id="31" name="テキスト ボックス 30">
          <a:extLst>
            <a:ext uri="{FF2B5EF4-FFF2-40B4-BE49-F238E27FC236}">
              <a16:creationId xmlns:a16="http://schemas.microsoft.com/office/drawing/2014/main" id="{EA6FF2D4-CFCC-48C0-B0B0-3B82C57F4FF0}"/>
            </a:ext>
          </a:extLst>
        </xdr:cNvPr>
        <xdr:cNvSpPr txBox="1"/>
      </xdr:nvSpPr>
      <xdr:spPr>
        <a:xfrm>
          <a:off x="8864314" y="643878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38</xdr:row>
      <xdr:rowOff>134417</xdr:rowOff>
    </xdr:from>
    <xdr:to>
      <xdr:col>14</xdr:col>
      <xdr:colOff>756266</xdr:colOff>
      <xdr:row>40</xdr:row>
      <xdr:rowOff>24627</xdr:rowOff>
    </xdr:to>
    <xdr:sp macro="" textlink="AG41">
      <xdr:nvSpPr>
        <xdr:cNvPr id="32" name="テキスト ボックス 31">
          <a:extLst>
            <a:ext uri="{FF2B5EF4-FFF2-40B4-BE49-F238E27FC236}">
              <a16:creationId xmlns:a16="http://schemas.microsoft.com/office/drawing/2014/main" id="{FA043664-9F91-4AD4-BA8D-06B28BA3F4EB}"/>
            </a:ext>
          </a:extLst>
        </xdr:cNvPr>
        <xdr:cNvSpPr txBox="1"/>
      </xdr:nvSpPr>
      <xdr:spPr>
        <a:xfrm>
          <a:off x="8866219" y="663427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174421</xdr:colOff>
      <xdr:row>26</xdr:row>
      <xdr:rowOff>92058</xdr:rowOff>
    </xdr:from>
    <xdr:to>
      <xdr:col>12</xdr:col>
      <xdr:colOff>58617</xdr:colOff>
      <xdr:row>28</xdr:row>
      <xdr:rowOff>15668</xdr:rowOff>
    </xdr:to>
    <xdr:sp macro="" textlink="">
      <xdr:nvSpPr>
        <xdr:cNvPr id="33" name="テキスト ボックス 32">
          <a:extLst>
            <a:ext uri="{FF2B5EF4-FFF2-40B4-BE49-F238E27FC236}">
              <a16:creationId xmlns:a16="http://schemas.microsoft.com/office/drawing/2014/main" id="{B959F0F0-7AB9-42EE-A883-F0A6F623452D}"/>
            </a:ext>
          </a:extLst>
        </xdr:cNvPr>
        <xdr:cNvSpPr txBox="1"/>
      </xdr:nvSpPr>
      <xdr:spPr>
        <a:xfrm>
          <a:off x="6399961" y="4648818"/>
          <a:ext cx="703346" cy="2569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174421</xdr:colOff>
      <xdr:row>27</xdr:row>
      <xdr:rowOff>133832</xdr:rowOff>
    </xdr:from>
    <xdr:to>
      <xdr:col>12</xdr:col>
      <xdr:colOff>58617</xdr:colOff>
      <xdr:row>28</xdr:row>
      <xdr:rowOff>136220</xdr:rowOff>
    </xdr:to>
    <xdr:sp macro="" textlink="">
      <xdr:nvSpPr>
        <xdr:cNvPr id="34" name="テキスト ボックス 33">
          <a:extLst>
            <a:ext uri="{FF2B5EF4-FFF2-40B4-BE49-F238E27FC236}">
              <a16:creationId xmlns:a16="http://schemas.microsoft.com/office/drawing/2014/main" id="{6DC1A9CC-886A-4C1A-9533-F662AE990DFF}"/>
            </a:ext>
          </a:extLst>
        </xdr:cNvPr>
        <xdr:cNvSpPr txBox="1"/>
      </xdr:nvSpPr>
      <xdr:spPr>
        <a:xfrm>
          <a:off x="6399961" y="4854422"/>
          <a:ext cx="703346" cy="16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174421</xdr:colOff>
      <xdr:row>28</xdr:row>
      <xdr:rowOff>129887</xdr:rowOff>
    </xdr:from>
    <xdr:to>
      <xdr:col>12</xdr:col>
      <xdr:colOff>134775</xdr:colOff>
      <xdr:row>30</xdr:row>
      <xdr:rowOff>55402</xdr:rowOff>
    </xdr:to>
    <xdr:sp macro="" textlink="">
      <xdr:nvSpPr>
        <xdr:cNvPr id="35" name="テキスト ボックス 34">
          <a:extLst>
            <a:ext uri="{FF2B5EF4-FFF2-40B4-BE49-F238E27FC236}">
              <a16:creationId xmlns:a16="http://schemas.microsoft.com/office/drawing/2014/main" id="{8A9FBAD8-1BDA-46B2-8142-D9A6D33D1EA3}"/>
            </a:ext>
          </a:extLst>
        </xdr:cNvPr>
        <xdr:cNvSpPr txBox="1"/>
      </xdr:nvSpPr>
      <xdr:spPr>
        <a:xfrm>
          <a:off x="6399961" y="5020022"/>
          <a:ext cx="779504" cy="249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174421</xdr:colOff>
      <xdr:row>30</xdr:row>
      <xdr:rowOff>1444</xdr:rowOff>
    </xdr:from>
    <xdr:to>
      <xdr:col>12</xdr:col>
      <xdr:colOff>134775</xdr:colOff>
      <xdr:row>31</xdr:row>
      <xdr:rowOff>34312</xdr:rowOff>
    </xdr:to>
    <xdr:sp macro="" textlink="">
      <xdr:nvSpPr>
        <xdr:cNvPr id="36" name="テキスト ボックス 35">
          <a:extLst>
            <a:ext uri="{FF2B5EF4-FFF2-40B4-BE49-F238E27FC236}">
              <a16:creationId xmlns:a16="http://schemas.microsoft.com/office/drawing/2014/main" id="{D042DC3B-9A90-454D-ABA7-577635F882B1}"/>
            </a:ext>
          </a:extLst>
        </xdr:cNvPr>
        <xdr:cNvSpPr txBox="1"/>
      </xdr:nvSpPr>
      <xdr:spPr>
        <a:xfrm>
          <a:off x="6399961" y="5211619"/>
          <a:ext cx="779504" cy="19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174421</xdr:colOff>
      <xdr:row>31</xdr:row>
      <xdr:rowOff>22264</xdr:rowOff>
    </xdr:from>
    <xdr:to>
      <xdr:col>12</xdr:col>
      <xdr:colOff>134775</xdr:colOff>
      <xdr:row>32</xdr:row>
      <xdr:rowOff>57037</xdr:rowOff>
    </xdr:to>
    <xdr:sp macro="" textlink="">
      <xdr:nvSpPr>
        <xdr:cNvPr id="37" name="テキスト ボックス 36">
          <a:extLst>
            <a:ext uri="{FF2B5EF4-FFF2-40B4-BE49-F238E27FC236}">
              <a16:creationId xmlns:a16="http://schemas.microsoft.com/office/drawing/2014/main" id="{4D0FE9E3-F973-4E25-BBD2-05D70EBD4D85}"/>
            </a:ext>
          </a:extLst>
        </xdr:cNvPr>
        <xdr:cNvSpPr txBox="1"/>
      </xdr:nvSpPr>
      <xdr:spPr>
        <a:xfrm>
          <a:off x="6399961" y="5390554"/>
          <a:ext cx="779504" cy="20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174421</xdr:colOff>
      <xdr:row>32</xdr:row>
      <xdr:rowOff>16414</xdr:rowOff>
    </xdr:from>
    <xdr:to>
      <xdr:col>12</xdr:col>
      <xdr:colOff>134775</xdr:colOff>
      <xdr:row>33</xdr:row>
      <xdr:rowOff>56901</xdr:rowOff>
    </xdr:to>
    <xdr:sp macro="" textlink="">
      <xdr:nvSpPr>
        <xdr:cNvPr id="38" name="テキスト ボックス 37">
          <a:extLst>
            <a:ext uri="{FF2B5EF4-FFF2-40B4-BE49-F238E27FC236}">
              <a16:creationId xmlns:a16="http://schemas.microsoft.com/office/drawing/2014/main" id="{4677E0D3-6E28-4E76-857F-CD1018C2991E}"/>
            </a:ext>
          </a:extLst>
        </xdr:cNvPr>
        <xdr:cNvSpPr txBox="1"/>
      </xdr:nvSpPr>
      <xdr:spPr>
        <a:xfrm>
          <a:off x="6399961" y="5554249"/>
          <a:ext cx="779504" cy="2024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174421</xdr:colOff>
      <xdr:row>33</xdr:row>
      <xdr:rowOff>56283</xdr:rowOff>
    </xdr:from>
    <xdr:to>
      <xdr:col>12</xdr:col>
      <xdr:colOff>134775</xdr:colOff>
      <xdr:row>34</xdr:row>
      <xdr:rowOff>112011</xdr:rowOff>
    </xdr:to>
    <xdr:sp macro="" textlink="">
      <xdr:nvSpPr>
        <xdr:cNvPr id="39" name="テキスト ボックス 38">
          <a:extLst>
            <a:ext uri="{FF2B5EF4-FFF2-40B4-BE49-F238E27FC236}">
              <a16:creationId xmlns:a16="http://schemas.microsoft.com/office/drawing/2014/main" id="{E7B8E05A-37F5-4588-AD05-15B71FFF4915}"/>
            </a:ext>
          </a:extLst>
        </xdr:cNvPr>
        <xdr:cNvSpPr txBox="1"/>
      </xdr:nvSpPr>
      <xdr:spPr>
        <a:xfrm>
          <a:off x="6399961" y="5756043"/>
          <a:ext cx="779504" cy="213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174421</xdr:colOff>
      <xdr:row>34</xdr:row>
      <xdr:rowOff>59958</xdr:rowOff>
    </xdr:from>
    <xdr:to>
      <xdr:col>12</xdr:col>
      <xdr:colOff>58617</xdr:colOff>
      <xdr:row>35</xdr:row>
      <xdr:rowOff>98540</xdr:rowOff>
    </xdr:to>
    <xdr:sp macro="" textlink="">
      <xdr:nvSpPr>
        <xdr:cNvPr id="40" name="テキスト ボックス 39">
          <a:extLst>
            <a:ext uri="{FF2B5EF4-FFF2-40B4-BE49-F238E27FC236}">
              <a16:creationId xmlns:a16="http://schemas.microsoft.com/office/drawing/2014/main" id="{86739F51-5F1D-42BF-A530-AA022613BBC7}"/>
            </a:ext>
          </a:extLst>
        </xdr:cNvPr>
        <xdr:cNvSpPr txBox="1"/>
      </xdr:nvSpPr>
      <xdr:spPr>
        <a:xfrm>
          <a:off x="6399961" y="5914023"/>
          <a:ext cx="703346" cy="200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174420</xdr:colOff>
      <xdr:row>35</xdr:row>
      <xdr:rowOff>73157</xdr:rowOff>
    </xdr:from>
    <xdr:to>
      <xdr:col>12</xdr:col>
      <xdr:colOff>79075</xdr:colOff>
      <xdr:row>37</xdr:row>
      <xdr:rowOff>17723</xdr:rowOff>
    </xdr:to>
    <xdr:sp macro="" textlink="">
      <xdr:nvSpPr>
        <xdr:cNvPr id="41" name="テキスト ボックス 40">
          <a:extLst>
            <a:ext uri="{FF2B5EF4-FFF2-40B4-BE49-F238E27FC236}">
              <a16:creationId xmlns:a16="http://schemas.microsoft.com/office/drawing/2014/main" id="{24A1E2E8-F24B-442A-84AD-A5AC2EBB2BFF}"/>
            </a:ext>
          </a:extLst>
        </xdr:cNvPr>
        <xdr:cNvSpPr txBox="1"/>
      </xdr:nvSpPr>
      <xdr:spPr>
        <a:xfrm>
          <a:off x="6399960" y="6092957"/>
          <a:ext cx="727615" cy="272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174420</xdr:colOff>
      <xdr:row>36</xdr:row>
      <xdr:rowOff>130172</xdr:rowOff>
    </xdr:from>
    <xdr:to>
      <xdr:col>12</xdr:col>
      <xdr:colOff>116561</xdr:colOff>
      <xdr:row>37</xdr:row>
      <xdr:rowOff>136370</xdr:rowOff>
    </xdr:to>
    <xdr:sp macro="" textlink="">
      <xdr:nvSpPr>
        <xdr:cNvPr id="42" name="テキスト ボックス 41">
          <a:extLst>
            <a:ext uri="{FF2B5EF4-FFF2-40B4-BE49-F238E27FC236}">
              <a16:creationId xmlns:a16="http://schemas.microsoft.com/office/drawing/2014/main" id="{A33EFDF0-E071-4645-B3ED-EF5198D63381}"/>
            </a:ext>
          </a:extLst>
        </xdr:cNvPr>
        <xdr:cNvSpPr txBox="1"/>
      </xdr:nvSpPr>
      <xdr:spPr>
        <a:xfrm>
          <a:off x="6399960" y="6315707"/>
          <a:ext cx="765101" cy="16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174420</xdr:colOff>
      <xdr:row>39</xdr:row>
      <xdr:rowOff>1598</xdr:rowOff>
    </xdr:from>
    <xdr:to>
      <xdr:col>12</xdr:col>
      <xdr:colOff>116561</xdr:colOff>
      <xdr:row>40</xdr:row>
      <xdr:rowOff>21131</xdr:rowOff>
    </xdr:to>
    <xdr:sp macro="" textlink="">
      <xdr:nvSpPr>
        <xdr:cNvPr id="43" name="テキスト ボックス 42">
          <a:extLst>
            <a:ext uri="{FF2B5EF4-FFF2-40B4-BE49-F238E27FC236}">
              <a16:creationId xmlns:a16="http://schemas.microsoft.com/office/drawing/2014/main" id="{5A3DB63E-4524-4AE2-A673-B0421C06C726}"/>
            </a:ext>
          </a:extLst>
        </xdr:cNvPr>
        <xdr:cNvSpPr txBox="1"/>
      </xdr:nvSpPr>
      <xdr:spPr>
        <a:xfrm>
          <a:off x="6399960" y="6669098"/>
          <a:ext cx="765101" cy="177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174420</xdr:colOff>
      <xdr:row>37</xdr:row>
      <xdr:rowOff>131942</xdr:rowOff>
    </xdr:from>
    <xdr:to>
      <xdr:col>12</xdr:col>
      <xdr:colOff>116561</xdr:colOff>
      <xdr:row>39</xdr:row>
      <xdr:rowOff>38407</xdr:rowOff>
    </xdr:to>
    <xdr:sp macro="" textlink="">
      <xdr:nvSpPr>
        <xdr:cNvPr id="44" name="テキスト ボックス 43">
          <a:extLst>
            <a:ext uri="{FF2B5EF4-FFF2-40B4-BE49-F238E27FC236}">
              <a16:creationId xmlns:a16="http://schemas.microsoft.com/office/drawing/2014/main" id="{7C747E81-44AA-4F47-BD88-C93818E1964F}"/>
            </a:ext>
          </a:extLst>
        </xdr:cNvPr>
        <xdr:cNvSpPr txBox="1"/>
      </xdr:nvSpPr>
      <xdr:spPr>
        <a:xfrm>
          <a:off x="6399960" y="6479402"/>
          <a:ext cx="765101" cy="226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97148</xdr:colOff>
      <xdr:row>26</xdr:row>
      <xdr:rowOff>134771</xdr:rowOff>
    </xdr:from>
    <xdr:to>
      <xdr:col>11</xdr:col>
      <xdr:colOff>244874</xdr:colOff>
      <xdr:row>28</xdr:row>
      <xdr:rowOff>21384</xdr:rowOff>
    </xdr:to>
    <xdr:pic>
      <xdr:nvPicPr>
        <xdr:cNvPr id="45" name="図 44">
          <a:extLst>
            <a:ext uri="{FF2B5EF4-FFF2-40B4-BE49-F238E27FC236}">
              <a16:creationId xmlns:a16="http://schemas.microsoft.com/office/drawing/2014/main" id="{53FD9AFC-76A5-4D41-BC97-887AA37EA19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22688" y="4683911"/>
          <a:ext cx="155346" cy="219988"/>
        </a:xfrm>
        <a:prstGeom prst="rect">
          <a:avLst/>
        </a:prstGeom>
      </xdr:spPr>
    </xdr:pic>
    <xdr:clientData/>
  </xdr:twoCellAnchor>
  <xdr:twoCellAnchor editAs="absolute">
    <xdr:from>
      <xdr:col>11</xdr:col>
      <xdr:colOff>93338</xdr:colOff>
      <xdr:row>28</xdr:row>
      <xdr:rowOff>15590</xdr:rowOff>
    </xdr:from>
    <xdr:to>
      <xdr:col>11</xdr:col>
      <xdr:colOff>250589</xdr:colOff>
      <xdr:row>28</xdr:row>
      <xdr:rowOff>129965</xdr:rowOff>
    </xdr:to>
    <xdr:pic>
      <xdr:nvPicPr>
        <xdr:cNvPr id="46" name="図 45">
          <a:extLst>
            <a:ext uri="{FF2B5EF4-FFF2-40B4-BE49-F238E27FC236}">
              <a16:creationId xmlns:a16="http://schemas.microsoft.com/office/drawing/2014/main" id="{770F6A02-2EF5-4219-944E-FFC7C2D8E80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26498" y="4905725"/>
          <a:ext cx="149631" cy="114375"/>
        </a:xfrm>
        <a:prstGeom prst="rect">
          <a:avLst/>
        </a:prstGeom>
      </xdr:spPr>
    </xdr:pic>
    <xdr:clientData/>
  </xdr:twoCellAnchor>
  <xdr:twoCellAnchor editAs="absolute">
    <xdr:from>
      <xdr:col>11</xdr:col>
      <xdr:colOff>93338</xdr:colOff>
      <xdr:row>28</xdr:row>
      <xdr:rowOff>136142</xdr:rowOff>
    </xdr:from>
    <xdr:to>
      <xdr:col>11</xdr:col>
      <xdr:colOff>250589</xdr:colOff>
      <xdr:row>30</xdr:row>
      <xdr:rowOff>47</xdr:rowOff>
    </xdr:to>
    <xdr:pic>
      <xdr:nvPicPr>
        <xdr:cNvPr id="47" name="図 46">
          <a:extLst>
            <a:ext uri="{FF2B5EF4-FFF2-40B4-BE49-F238E27FC236}">
              <a16:creationId xmlns:a16="http://schemas.microsoft.com/office/drawing/2014/main" id="{583F3759-E357-4ED7-98CD-6ED36DAA273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26498" y="5018657"/>
          <a:ext cx="149631" cy="191565"/>
        </a:xfrm>
        <a:prstGeom prst="rect">
          <a:avLst/>
        </a:prstGeom>
      </xdr:spPr>
    </xdr:pic>
    <xdr:clientData/>
  </xdr:twoCellAnchor>
  <xdr:twoCellAnchor editAs="absolute">
    <xdr:from>
      <xdr:col>11</xdr:col>
      <xdr:colOff>93338</xdr:colOff>
      <xdr:row>30</xdr:row>
      <xdr:rowOff>79</xdr:rowOff>
    </xdr:from>
    <xdr:to>
      <xdr:col>11</xdr:col>
      <xdr:colOff>250589</xdr:colOff>
      <xdr:row>31</xdr:row>
      <xdr:rowOff>22342</xdr:rowOff>
    </xdr:to>
    <xdr:pic>
      <xdr:nvPicPr>
        <xdr:cNvPr id="48" name="図 47">
          <a:extLst>
            <a:ext uri="{FF2B5EF4-FFF2-40B4-BE49-F238E27FC236}">
              <a16:creationId xmlns:a16="http://schemas.microsoft.com/office/drawing/2014/main" id="{FD62F603-8531-4A8B-BD44-BA42343D234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26498" y="5210254"/>
          <a:ext cx="149631" cy="180378"/>
        </a:xfrm>
        <a:prstGeom prst="rect">
          <a:avLst/>
        </a:prstGeom>
      </xdr:spPr>
    </xdr:pic>
    <xdr:clientData/>
  </xdr:twoCellAnchor>
  <xdr:twoCellAnchor editAs="absolute">
    <xdr:from>
      <xdr:col>11</xdr:col>
      <xdr:colOff>93338</xdr:colOff>
      <xdr:row>31</xdr:row>
      <xdr:rowOff>22804</xdr:rowOff>
    </xdr:from>
    <xdr:to>
      <xdr:col>11</xdr:col>
      <xdr:colOff>250589</xdr:colOff>
      <xdr:row>32</xdr:row>
      <xdr:rowOff>16492</xdr:rowOff>
    </xdr:to>
    <xdr:pic>
      <xdr:nvPicPr>
        <xdr:cNvPr id="49" name="図 48">
          <a:extLst>
            <a:ext uri="{FF2B5EF4-FFF2-40B4-BE49-F238E27FC236}">
              <a16:creationId xmlns:a16="http://schemas.microsoft.com/office/drawing/2014/main" id="{D9D1CC39-E840-4286-AA45-7D12C75877A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26498" y="5391094"/>
          <a:ext cx="149631" cy="163233"/>
        </a:xfrm>
        <a:prstGeom prst="rect">
          <a:avLst/>
        </a:prstGeom>
      </xdr:spPr>
    </xdr:pic>
    <xdr:clientData/>
  </xdr:twoCellAnchor>
  <xdr:twoCellAnchor editAs="absolute">
    <xdr:from>
      <xdr:col>11</xdr:col>
      <xdr:colOff>93338</xdr:colOff>
      <xdr:row>32</xdr:row>
      <xdr:rowOff>18859</xdr:rowOff>
    </xdr:from>
    <xdr:to>
      <xdr:col>11</xdr:col>
      <xdr:colOff>250589</xdr:colOff>
      <xdr:row>33</xdr:row>
      <xdr:rowOff>56361</xdr:rowOff>
    </xdr:to>
    <xdr:pic>
      <xdr:nvPicPr>
        <xdr:cNvPr id="50" name="図 49">
          <a:extLst>
            <a:ext uri="{FF2B5EF4-FFF2-40B4-BE49-F238E27FC236}">
              <a16:creationId xmlns:a16="http://schemas.microsoft.com/office/drawing/2014/main" id="{CC2D3489-8983-40CF-A368-5FDBFBC0E5D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26498" y="5556694"/>
          <a:ext cx="149631" cy="199427"/>
        </a:xfrm>
        <a:prstGeom prst="rect">
          <a:avLst/>
        </a:prstGeom>
      </xdr:spPr>
    </xdr:pic>
    <xdr:clientData/>
  </xdr:twoCellAnchor>
  <xdr:twoCellAnchor editAs="absolute">
    <xdr:from>
      <xdr:col>11</xdr:col>
      <xdr:colOff>93338</xdr:colOff>
      <xdr:row>33</xdr:row>
      <xdr:rowOff>56823</xdr:rowOff>
    </xdr:from>
    <xdr:to>
      <xdr:col>11</xdr:col>
      <xdr:colOff>250679</xdr:colOff>
      <xdr:row>34</xdr:row>
      <xdr:rowOff>60036</xdr:rowOff>
    </xdr:to>
    <xdr:pic>
      <xdr:nvPicPr>
        <xdr:cNvPr id="51" name="図 50">
          <a:extLst>
            <a:ext uri="{FF2B5EF4-FFF2-40B4-BE49-F238E27FC236}">
              <a16:creationId xmlns:a16="http://schemas.microsoft.com/office/drawing/2014/main" id="{8963E817-AF3F-44DA-A5DB-C6063E23AD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26498" y="5756583"/>
          <a:ext cx="149721" cy="157518"/>
        </a:xfrm>
        <a:prstGeom prst="rect">
          <a:avLst/>
        </a:prstGeom>
      </xdr:spPr>
    </xdr:pic>
    <xdr:clientData/>
  </xdr:twoCellAnchor>
  <xdr:twoCellAnchor editAs="absolute">
    <xdr:from>
      <xdr:col>11</xdr:col>
      <xdr:colOff>93338</xdr:colOff>
      <xdr:row>34</xdr:row>
      <xdr:rowOff>60498</xdr:rowOff>
    </xdr:from>
    <xdr:to>
      <xdr:col>11</xdr:col>
      <xdr:colOff>250602</xdr:colOff>
      <xdr:row>35</xdr:row>
      <xdr:rowOff>98000</xdr:rowOff>
    </xdr:to>
    <xdr:pic>
      <xdr:nvPicPr>
        <xdr:cNvPr id="52" name="図 51">
          <a:extLst>
            <a:ext uri="{FF2B5EF4-FFF2-40B4-BE49-F238E27FC236}">
              <a16:creationId xmlns:a16="http://schemas.microsoft.com/office/drawing/2014/main" id="{71AB112C-6A38-4816-8F61-9B86D7B3330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26498" y="5914563"/>
          <a:ext cx="149644" cy="199427"/>
        </a:xfrm>
        <a:prstGeom prst="rect">
          <a:avLst/>
        </a:prstGeom>
      </xdr:spPr>
    </xdr:pic>
    <xdr:clientData/>
  </xdr:twoCellAnchor>
  <xdr:twoCellAnchor editAs="absolute">
    <xdr:from>
      <xdr:col>11</xdr:col>
      <xdr:colOff>93338</xdr:colOff>
      <xdr:row>35</xdr:row>
      <xdr:rowOff>98462</xdr:rowOff>
    </xdr:from>
    <xdr:to>
      <xdr:col>11</xdr:col>
      <xdr:colOff>250602</xdr:colOff>
      <xdr:row>36</xdr:row>
      <xdr:rowOff>130250</xdr:rowOff>
    </xdr:to>
    <xdr:pic>
      <xdr:nvPicPr>
        <xdr:cNvPr id="53" name="図 52">
          <a:extLst>
            <a:ext uri="{FF2B5EF4-FFF2-40B4-BE49-F238E27FC236}">
              <a16:creationId xmlns:a16="http://schemas.microsoft.com/office/drawing/2014/main" id="{DE19E09A-F1E2-461D-B40A-86CF6C842C4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26498" y="6114452"/>
          <a:ext cx="149644" cy="201333"/>
        </a:xfrm>
        <a:prstGeom prst="rect">
          <a:avLst/>
        </a:prstGeom>
      </xdr:spPr>
    </xdr:pic>
    <xdr:clientData/>
  </xdr:twoCellAnchor>
  <xdr:twoCellAnchor editAs="absolute">
    <xdr:from>
      <xdr:col>11</xdr:col>
      <xdr:colOff>93338</xdr:colOff>
      <xdr:row>36</xdr:row>
      <xdr:rowOff>134522</xdr:rowOff>
    </xdr:from>
    <xdr:to>
      <xdr:col>11</xdr:col>
      <xdr:colOff>250602</xdr:colOff>
      <xdr:row>37</xdr:row>
      <xdr:rowOff>135830</xdr:rowOff>
    </xdr:to>
    <xdr:pic>
      <xdr:nvPicPr>
        <xdr:cNvPr id="54" name="図 53">
          <a:extLst>
            <a:ext uri="{FF2B5EF4-FFF2-40B4-BE49-F238E27FC236}">
              <a16:creationId xmlns:a16="http://schemas.microsoft.com/office/drawing/2014/main" id="{1DFB668C-649D-4734-9E37-2128C133335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26498" y="6312437"/>
          <a:ext cx="149644" cy="163233"/>
        </a:xfrm>
        <a:prstGeom prst="rect">
          <a:avLst/>
        </a:prstGeom>
      </xdr:spPr>
    </xdr:pic>
    <xdr:clientData/>
  </xdr:twoCellAnchor>
  <xdr:twoCellAnchor editAs="absolute">
    <xdr:from>
      <xdr:col>11</xdr:col>
      <xdr:colOff>93338</xdr:colOff>
      <xdr:row>37</xdr:row>
      <xdr:rowOff>136292</xdr:rowOff>
    </xdr:from>
    <xdr:to>
      <xdr:col>11</xdr:col>
      <xdr:colOff>250602</xdr:colOff>
      <xdr:row>39</xdr:row>
      <xdr:rowOff>1672</xdr:rowOff>
    </xdr:to>
    <xdr:pic>
      <xdr:nvPicPr>
        <xdr:cNvPr id="55" name="図 54">
          <a:extLst>
            <a:ext uri="{FF2B5EF4-FFF2-40B4-BE49-F238E27FC236}">
              <a16:creationId xmlns:a16="http://schemas.microsoft.com/office/drawing/2014/main" id="{E68A4A71-F041-496F-93A5-AE0FA93C12D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26498" y="6476132"/>
          <a:ext cx="149644" cy="193040"/>
        </a:xfrm>
        <a:prstGeom prst="rect">
          <a:avLst/>
        </a:prstGeom>
      </xdr:spPr>
    </xdr:pic>
    <xdr:clientData/>
  </xdr:twoCellAnchor>
  <xdr:twoCellAnchor editAs="absolute">
    <xdr:from>
      <xdr:col>11</xdr:col>
      <xdr:colOff>93338</xdr:colOff>
      <xdr:row>39</xdr:row>
      <xdr:rowOff>233</xdr:rowOff>
    </xdr:from>
    <xdr:to>
      <xdr:col>11</xdr:col>
      <xdr:colOff>250580</xdr:colOff>
      <xdr:row>40</xdr:row>
      <xdr:rowOff>20591</xdr:rowOff>
    </xdr:to>
    <xdr:pic>
      <xdr:nvPicPr>
        <xdr:cNvPr id="56" name="図 55">
          <a:extLst>
            <a:ext uri="{FF2B5EF4-FFF2-40B4-BE49-F238E27FC236}">
              <a16:creationId xmlns:a16="http://schemas.microsoft.com/office/drawing/2014/main" id="{44F905CF-4C77-492C-B05A-AB5479E205C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26498" y="6667733"/>
          <a:ext cx="149622" cy="178473"/>
        </a:xfrm>
        <a:prstGeom prst="rect">
          <a:avLst/>
        </a:prstGeom>
      </xdr:spPr>
    </xdr:pic>
    <xdr:clientData/>
  </xdr:twoCellAnchor>
  <xdr:twoCellAnchor>
    <xdr:from>
      <xdr:col>12</xdr:col>
      <xdr:colOff>325755</xdr:colOff>
      <xdr:row>25</xdr:row>
      <xdr:rowOff>26670</xdr:rowOff>
    </xdr:from>
    <xdr:to>
      <xdr:col>14</xdr:col>
      <xdr:colOff>614680</xdr:colOff>
      <xdr:row>26</xdr:row>
      <xdr:rowOff>109220</xdr:rowOff>
    </xdr:to>
    <xdr:sp macro="" textlink="">
      <xdr:nvSpPr>
        <xdr:cNvPr id="57" name="テキスト ボックス 56">
          <a:extLst>
            <a:ext uri="{FF2B5EF4-FFF2-40B4-BE49-F238E27FC236}">
              <a16:creationId xmlns:a16="http://schemas.microsoft.com/office/drawing/2014/main" id="{BF5FF9D9-CC0F-438A-8A19-60A52C088FFF}"/>
            </a:ext>
          </a:extLst>
        </xdr:cNvPr>
        <xdr:cNvSpPr txBox="1"/>
      </xdr:nvSpPr>
      <xdr:spPr>
        <a:xfrm>
          <a:off x="7370445" y="4444365"/>
          <a:ext cx="1694815" cy="21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2021</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oneCell">
    <xdr:from>
      <xdr:col>11</xdr:col>
      <xdr:colOff>792480</xdr:colOff>
      <xdr:row>4</xdr:row>
      <xdr:rowOff>1905</xdr:rowOff>
    </xdr:from>
    <xdr:to>
      <xdr:col>13</xdr:col>
      <xdr:colOff>57148</xdr:colOff>
      <xdr:row>5</xdr:row>
      <xdr:rowOff>17224</xdr:rowOff>
    </xdr:to>
    <xdr:sp macro="" textlink="">
      <xdr:nvSpPr>
        <xdr:cNvPr id="58" name="Text Box 178">
          <a:extLst>
            <a:ext uri="{FF2B5EF4-FFF2-40B4-BE49-F238E27FC236}">
              <a16:creationId xmlns:a16="http://schemas.microsoft.com/office/drawing/2014/main" id="{7F58037F-A02B-47ED-8FFF-D376E0113FAF}"/>
            </a:ext>
          </a:extLst>
        </xdr:cNvPr>
        <xdr:cNvSpPr txBox="1">
          <a:spLocks noChangeArrowheads="1"/>
        </xdr:cNvSpPr>
      </xdr:nvSpPr>
      <xdr:spPr bwMode="auto">
        <a:xfrm>
          <a:off x="7019925" y="687705"/>
          <a:ext cx="895348" cy="190579"/>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36195</xdr:colOff>
      <xdr:row>0</xdr:row>
      <xdr:rowOff>93345</xdr:rowOff>
    </xdr:from>
    <xdr:to>
      <xdr:col>8</xdr:col>
      <xdr:colOff>570441</xdr:colOff>
      <xdr:row>4</xdr:row>
      <xdr:rowOff>74690</xdr:rowOff>
    </xdr:to>
    <xdr:pic>
      <xdr:nvPicPr>
        <xdr:cNvPr id="59" name="図 58">
          <a:extLst>
            <a:ext uri="{FF2B5EF4-FFF2-40B4-BE49-F238E27FC236}">
              <a16:creationId xmlns:a16="http://schemas.microsoft.com/office/drawing/2014/main" id="{861F95D1-4BFF-4A3B-AC78-3C16984875E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3345" y="97155"/>
          <a:ext cx="4466166" cy="68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742952</xdr:colOff>
      <xdr:row>3</xdr:row>
      <xdr:rowOff>15240</xdr:rowOff>
    </xdr:to>
    <xdr:pic>
      <xdr:nvPicPr>
        <xdr:cNvPr id="60" name="Picture 181" descr="評価結果">
          <a:extLst>
            <a:ext uri="{FF2B5EF4-FFF2-40B4-BE49-F238E27FC236}">
              <a16:creationId xmlns:a16="http://schemas.microsoft.com/office/drawing/2014/main" id="{E80D361B-B646-446F-9A97-526B441FD1C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58000" y="154305"/>
          <a:ext cx="2335532"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17594</xdr:colOff>
      <xdr:row>23</xdr:row>
      <xdr:rowOff>48474</xdr:rowOff>
    </xdr:from>
    <xdr:to>
      <xdr:col>14</xdr:col>
      <xdr:colOff>777361</xdr:colOff>
      <xdr:row>40</xdr:row>
      <xdr:rowOff>149147</xdr:rowOff>
    </xdr:to>
    <xdr:sp macro="" textlink="">
      <xdr:nvSpPr>
        <xdr:cNvPr id="61" name="正方形/長方形 60">
          <a:extLst>
            <a:ext uri="{FF2B5EF4-FFF2-40B4-BE49-F238E27FC236}">
              <a16:creationId xmlns:a16="http://schemas.microsoft.com/office/drawing/2014/main" id="{A6565151-C470-4955-9DB8-4E8086CAE7B7}"/>
            </a:ext>
          </a:extLst>
        </xdr:cNvPr>
        <xdr:cNvSpPr/>
      </xdr:nvSpPr>
      <xdr:spPr>
        <a:xfrm>
          <a:off x="6246944" y="4087074"/>
          <a:ext cx="2979092" cy="28914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596395</xdr:colOff>
      <xdr:row>23</xdr:row>
      <xdr:rowOff>60959</xdr:rowOff>
    </xdr:from>
    <xdr:to>
      <xdr:col>16</xdr:col>
      <xdr:colOff>110490</xdr:colOff>
      <xdr:row>41</xdr:row>
      <xdr:rowOff>167640</xdr:rowOff>
    </xdr:to>
    <xdr:graphicFrame macro="">
      <xdr:nvGraphicFramePr>
        <xdr:cNvPr id="62" name="Chart 8">
          <a:extLst>
            <a:ext uri="{FF2B5EF4-FFF2-40B4-BE49-F238E27FC236}">
              <a16:creationId xmlns:a16="http://schemas.microsoft.com/office/drawing/2014/main" id="{A4B5B2D8-E8A5-4296-8FEA-380041F9D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55244</xdr:colOff>
      <xdr:row>43</xdr:row>
      <xdr:rowOff>182880</xdr:rowOff>
    </xdr:from>
    <xdr:to>
      <xdr:col>14</xdr:col>
      <xdr:colOff>742950</xdr:colOff>
      <xdr:row>52</xdr:row>
      <xdr:rowOff>160020</xdr:rowOff>
    </xdr:to>
    <xdr:graphicFrame macro="">
      <xdr:nvGraphicFramePr>
        <xdr:cNvPr id="63" name="グラフ 62">
          <a:extLst>
            <a:ext uri="{FF2B5EF4-FFF2-40B4-BE49-F238E27FC236}">
              <a16:creationId xmlns:a16="http://schemas.microsoft.com/office/drawing/2014/main" id="{3E50DC5E-A8CD-4F69-B8D1-43029D6F5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64770</xdr:colOff>
      <xdr:row>55</xdr:row>
      <xdr:rowOff>188595</xdr:rowOff>
    </xdr:from>
    <xdr:to>
      <xdr:col>14</xdr:col>
      <xdr:colOff>742951</xdr:colOff>
      <xdr:row>63</xdr:row>
      <xdr:rowOff>45720</xdr:rowOff>
    </xdr:to>
    <xdr:graphicFrame macro="">
      <xdr:nvGraphicFramePr>
        <xdr:cNvPr id="65" name="グラフ 64">
          <a:extLst>
            <a:ext uri="{FF2B5EF4-FFF2-40B4-BE49-F238E27FC236}">
              <a16:creationId xmlns:a16="http://schemas.microsoft.com/office/drawing/2014/main" id="{AFB963E2-8DC6-4ADD-9D10-D9B35A0A30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oneCellAnchor>
    <xdr:from>
      <xdr:col>7</xdr:col>
      <xdr:colOff>176112</xdr:colOff>
      <xdr:row>38</xdr:row>
      <xdr:rowOff>537</xdr:rowOff>
    </xdr:from>
    <xdr:ext cx="201530" cy="151836"/>
    <xdr:sp macro="" textlink="">
      <xdr:nvSpPr>
        <xdr:cNvPr id="67" name="Text Box 135">
          <a:extLst>
            <a:ext uri="{FF2B5EF4-FFF2-40B4-BE49-F238E27FC236}">
              <a16:creationId xmlns:a16="http://schemas.microsoft.com/office/drawing/2014/main" id="{B3932BB8-461E-4597-B0CA-592764E6172B}"/>
            </a:ext>
          </a:extLst>
        </xdr:cNvPr>
        <xdr:cNvSpPr txBox="1">
          <a:spLocks noChangeArrowheads="1"/>
        </xdr:cNvSpPr>
      </xdr:nvSpPr>
      <xdr:spPr bwMode="auto">
        <a:xfrm>
          <a:off x="3391752" y="6506112"/>
          <a:ext cx="201530"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CO</a:t>
          </a:r>
          <a:r>
            <a:rPr lang="en-US" altLang="ja-JP" sz="400" b="0" i="0" strike="noStrike">
              <a:solidFill>
                <a:srgbClr val="000000"/>
              </a:solidFill>
              <a:latin typeface="ＭＳ Ｐゴシック"/>
              <a:ea typeface="ＭＳ Ｐゴシック"/>
            </a:rPr>
            <a:t>2</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165732</xdr:colOff>
      <xdr:row>38</xdr:row>
      <xdr:rowOff>537</xdr:rowOff>
    </xdr:from>
    <xdr:ext cx="194669" cy="151836"/>
    <xdr:sp macro="" textlink="">
      <xdr:nvSpPr>
        <xdr:cNvPr id="68" name="Text Box 135">
          <a:extLst>
            <a:ext uri="{FF2B5EF4-FFF2-40B4-BE49-F238E27FC236}">
              <a16:creationId xmlns:a16="http://schemas.microsoft.com/office/drawing/2014/main" id="{2431F11F-6B0C-4083-9F35-111F4D28CE10}"/>
            </a:ext>
          </a:extLst>
        </xdr:cNvPr>
        <xdr:cNvSpPr txBox="1">
          <a:spLocks noChangeArrowheads="1"/>
        </xdr:cNvSpPr>
      </xdr:nvSpPr>
      <xdr:spPr bwMode="auto">
        <a:xfrm>
          <a:off x="4141467" y="6506112"/>
          <a:ext cx="19466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CH</a:t>
          </a:r>
          <a:r>
            <a:rPr lang="en-US" altLang="ja-JP" sz="400" b="0" i="0" strike="noStrike">
              <a:solidFill>
                <a:srgbClr val="000000"/>
              </a:solidFill>
              <a:latin typeface="ＭＳ Ｐゴシック"/>
              <a:ea typeface="ＭＳ Ｐゴシック"/>
            </a:rPr>
            <a:t>4</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157910</xdr:colOff>
      <xdr:row>38</xdr:row>
      <xdr:rowOff>537</xdr:rowOff>
    </xdr:from>
    <xdr:ext cx="192617" cy="151836"/>
    <xdr:sp macro="" textlink="">
      <xdr:nvSpPr>
        <xdr:cNvPr id="69" name="Text Box 135">
          <a:extLst>
            <a:ext uri="{FF2B5EF4-FFF2-40B4-BE49-F238E27FC236}">
              <a16:creationId xmlns:a16="http://schemas.microsoft.com/office/drawing/2014/main" id="{AF2E3148-EAFD-47D1-A588-0F4183FC2BAE}"/>
            </a:ext>
          </a:extLst>
        </xdr:cNvPr>
        <xdr:cNvSpPr txBox="1">
          <a:spLocks noChangeArrowheads="1"/>
        </xdr:cNvSpPr>
      </xdr:nvSpPr>
      <xdr:spPr bwMode="auto">
        <a:xfrm>
          <a:off x="4884215" y="6506112"/>
          <a:ext cx="192617"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N</a:t>
          </a:r>
          <a:r>
            <a:rPr lang="en-US" altLang="ja-JP" sz="400" b="0" i="0" strike="noStrike">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O</a:t>
          </a:r>
        </a:p>
      </xdr:txBody>
    </xdr:sp>
    <xdr:clientData/>
  </xdr:oneCellAnchor>
  <xdr:oneCellAnchor>
    <xdr:from>
      <xdr:col>10</xdr:col>
      <xdr:colOff>150864</xdr:colOff>
      <xdr:row>38</xdr:row>
      <xdr:rowOff>537</xdr:rowOff>
    </xdr:from>
    <xdr:ext cx="631263" cy="151836"/>
    <xdr:sp macro="" textlink="">
      <xdr:nvSpPr>
        <xdr:cNvPr id="70" name="Text Box 135">
          <a:extLst>
            <a:ext uri="{FF2B5EF4-FFF2-40B4-BE49-F238E27FC236}">
              <a16:creationId xmlns:a16="http://schemas.microsoft.com/office/drawing/2014/main" id="{C0FC52EA-5FDB-48C7-8B38-1301B3FD90D7}"/>
            </a:ext>
          </a:extLst>
        </xdr:cNvPr>
        <xdr:cNvSpPr txBox="1">
          <a:spLocks noChangeArrowheads="1"/>
        </xdr:cNvSpPr>
      </xdr:nvSpPr>
      <xdr:spPr bwMode="auto">
        <a:xfrm>
          <a:off x="5627739" y="6506112"/>
          <a:ext cx="631263"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その他のガス</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154280</xdr:colOff>
      <xdr:row>40</xdr:row>
      <xdr:rowOff>2050</xdr:rowOff>
    </xdr:from>
    <xdr:ext cx="645561" cy="151836"/>
    <xdr:sp macro="" textlink="">
      <xdr:nvSpPr>
        <xdr:cNvPr id="71" name="Text Box 135">
          <a:extLst>
            <a:ext uri="{FF2B5EF4-FFF2-40B4-BE49-F238E27FC236}">
              <a16:creationId xmlns:a16="http://schemas.microsoft.com/office/drawing/2014/main" id="{AD87A8BC-4001-40E3-8B3E-6AB3DB426CD3}"/>
            </a:ext>
          </a:extLst>
        </xdr:cNvPr>
        <xdr:cNvSpPr txBox="1">
          <a:spLocks noChangeArrowheads="1"/>
        </xdr:cNvSpPr>
      </xdr:nvSpPr>
      <xdr:spPr bwMode="auto">
        <a:xfrm>
          <a:off x="3373730"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40</xdr:row>
      <xdr:rowOff>2050</xdr:rowOff>
    </xdr:from>
    <xdr:ext cx="645561" cy="151836"/>
    <xdr:sp macro="" textlink="">
      <xdr:nvSpPr>
        <xdr:cNvPr id="72" name="Text Box 135">
          <a:extLst>
            <a:ext uri="{FF2B5EF4-FFF2-40B4-BE49-F238E27FC236}">
              <a16:creationId xmlns:a16="http://schemas.microsoft.com/office/drawing/2014/main" id="{03D750DA-3897-4365-86B9-D29000AEF1C7}"/>
            </a:ext>
          </a:extLst>
        </xdr:cNvPr>
        <xdr:cNvSpPr txBox="1">
          <a:spLocks noChangeArrowheads="1"/>
        </xdr:cNvSpPr>
      </xdr:nvSpPr>
      <xdr:spPr bwMode="auto">
        <a:xfrm>
          <a:off x="4127519"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10</xdr:col>
      <xdr:colOff>142653</xdr:colOff>
      <xdr:row>40</xdr:row>
      <xdr:rowOff>2050</xdr:rowOff>
    </xdr:from>
    <xdr:ext cx="645561" cy="151836"/>
    <xdr:sp macro="" textlink="">
      <xdr:nvSpPr>
        <xdr:cNvPr id="73" name="Text Box 135">
          <a:extLst>
            <a:ext uri="{FF2B5EF4-FFF2-40B4-BE49-F238E27FC236}">
              <a16:creationId xmlns:a16="http://schemas.microsoft.com/office/drawing/2014/main" id="{E8FEA19A-6C1D-4C4E-B52B-7F601B9DF920}"/>
            </a:ext>
          </a:extLst>
        </xdr:cNvPr>
        <xdr:cNvSpPr txBox="1">
          <a:spLocks noChangeArrowheads="1"/>
        </xdr:cNvSpPr>
      </xdr:nvSpPr>
      <xdr:spPr bwMode="auto">
        <a:xfrm>
          <a:off x="5617623"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149025</xdr:colOff>
      <xdr:row>40</xdr:row>
      <xdr:rowOff>2050</xdr:rowOff>
    </xdr:from>
    <xdr:ext cx="645561" cy="151836"/>
    <xdr:sp macro="" textlink="">
      <xdr:nvSpPr>
        <xdr:cNvPr id="74" name="Text Box 135">
          <a:extLst>
            <a:ext uri="{FF2B5EF4-FFF2-40B4-BE49-F238E27FC236}">
              <a16:creationId xmlns:a16="http://schemas.microsoft.com/office/drawing/2014/main" id="{CCFEBAD0-6CE5-46F4-AAA5-8FA894DBB54E}"/>
            </a:ext>
          </a:extLst>
        </xdr:cNvPr>
        <xdr:cNvSpPr txBox="1">
          <a:spLocks noChangeArrowheads="1"/>
        </xdr:cNvSpPr>
      </xdr:nvSpPr>
      <xdr:spPr bwMode="auto">
        <a:xfrm>
          <a:off x="4873425"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151587</xdr:colOff>
      <xdr:row>39</xdr:row>
      <xdr:rowOff>3561</xdr:rowOff>
    </xdr:from>
    <xdr:ext cx="439608" cy="151836"/>
    <xdr:sp macro="" textlink="">
      <xdr:nvSpPr>
        <xdr:cNvPr id="75" name="Text Box 135">
          <a:extLst>
            <a:ext uri="{FF2B5EF4-FFF2-40B4-BE49-F238E27FC236}">
              <a16:creationId xmlns:a16="http://schemas.microsoft.com/office/drawing/2014/main" id="{1DB983EB-6889-494F-9269-C989E105A7CE}"/>
            </a:ext>
          </a:extLst>
        </xdr:cNvPr>
        <xdr:cNvSpPr txBox="1">
          <a:spLocks noChangeArrowheads="1"/>
        </xdr:cNvSpPr>
      </xdr:nvSpPr>
      <xdr:spPr bwMode="auto">
        <a:xfrm>
          <a:off x="3371037" y="6671061"/>
          <a:ext cx="439608"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39</xdr:row>
      <xdr:rowOff>3561</xdr:rowOff>
    </xdr:from>
    <xdr:ext cx="538609" cy="151836"/>
    <xdr:sp macro="" textlink="">
      <xdr:nvSpPr>
        <xdr:cNvPr id="76" name="Text Box 135">
          <a:extLst>
            <a:ext uri="{FF2B5EF4-FFF2-40B4-BE49-F238E27FC236}">
              <a16:creationId xmlns:a16="http://schemas.microsoft.com/office/drawing/2014/main" id="{869CAC46-2533-42E4-ABCE-490727C97FEA}"/>
            </a:ext>
          </a:extLst>
        </xdr:cNvPr>
        <xdr:cNvSpPr txBox="1">
          <a:spLocks noChangeArrowheads="1"/>
        </xdr:cNvSpPr>
      </xdr:nvSpPr>
      <xdr:spPr bwMode="auto">
        <a:xfrm>
          <a:off x="4127519" y="6671061"/>
          <a:ext cx="53860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非建築敷地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13</xdr:col>
      <xdr:colOff>83820</xdr:colOff>
      <xdr:row>43</xdr:row>
      <xdr:rowOff>0</xdr:rowOff>
    </xdr:from>
    <xdr:ext cx="713785" cy="228600"/>
    <xdr:sp macro="" textlink="">
      <xdr:nvSpPr>
        <xdr:cNvPr id="77" name="Text Box 135">
          <a:extLst>
            <a:ext uri="{FF2B5EF4-FFF2-40B4-BE49-F238E27FC236}">
              <a16:creationId xmlns:a16="http://schemas.microsoft.com/office/drawing/2014/main" id="{2AF5276C-FDD7-4D18-B189-86D5669AEEE2}"/>
            </a:ext>
          </a:extLst>
        </xdr:cNvPr>
        <xdr:cNvSpPr txBox="1">
          <a:spLocks noChangeArrowheads="1"/>
        </xdr:cNvSpPr>
      </xdr:nvSpPr>
      <xdr:spPr bwMode="auto">
        <a:xfrm>
          <a:off x="7955280" y="755142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127635</xdr:colOff>
      <xdr:row>53</xdr:row>
      <xdr:rowOff>180975</xdr:rowOff>
    </xdr:from>
    <xdr:ext cx="693973" cy="201850"/>
    <xdr:sp macro="" textlink="">
      <xdr:nvSpPr>
        <xdr:cNvPr id="78" name="Text Box 135">
          <a:extLst>
            <a:ext uri="{FF2B5EF4-FFF2-40B4-BE49-F238E27FC236}">
              <a16:creationId xmlns:a16="http://schemas.microsoft.com/office/drawing/2014/main" id="{001ED273-8832-4F09-B9BF-E23BAC9AB96E}"/>
            </a:ext>
          </a:extLst>
        </xdr:cNvPr>
        <xdr:cNvSpPr txBox="1">
          <a:spLocks noChangeArrowheads="1"/>
        </xdr:cNvSpPr>
      </xdr:nvSpPr>
      <xdr:spPr bwMode="auto">
        <a:xfrm>
          <a:off x="7999095" y="9637395"/>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wsDr>
</file>

<file path=xl/drawings/drawing1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3.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userShapes>
</file>

<file path=xl/drawings/drawing15.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7</xdr:col>
      <xdr:colOff>85725</xdr:colOff>
      <xdr:row>25</xdr:row>
      <xdr:rowOff>190500</xdr:rowOff>
    </xdr:from>
    <xdr:to>
      <xdr:col>11</xdr:col>
      <xdr:colOff>0</xdr:colOff>
      <xdr:row>31</xdr:row>
      <xdr:rowOff>209550</xdr:rowOff>
    </xdr:to>
    <xdr:graphicFrame macro="">
      <xdr:nvGraphicFramePr>
        <xdr:cNvPr id="7138024" name="グラフ 131">
          <a:extLst>
            <a:ext uri="{FF2B5EF4-FFF2-40B4-BE49-F238E27FC236}">
              <a16:creationId xmlns:a16="http://schemas.microsoft.com/office/drawing/2014/main" id="{00000000-0008-0000-0200-0000E8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180975</xdr:colOff>
      <xdr:row>36</xdr:row>
      <xdr:rowOff>123825</xdr:rowOff>
    </xdr:from>
    <xdr:to>
      <xdr:col>15</xdr:col>
      <xdr:colOff>0</xdr:colOff>
      <xdr:row>44</xdr:row>
      <xdr:rowOff>171450</xdr:rowOff>
    </xdr:to>
    <xdr:graphicFrame macro="">
      <xdr:nvGraphicFramePr>
        <xdr:cNvPr id="7138025" name="グラフ 55">
          <a:extLst>
            <a:ext uri="{FF2B5EF4-FFF2-40B4-BE49-F238E27FC236}">
              <a16:creationId xmlns:a16="http://schemas.microsoft.com/office/drawing/2014/main" id="{00000000-0008-0000-0200-0000E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152400</xdr:colOff>
      <xdr:row>25</xdr:row>
      <xdr:rowOff>133350</xdr:rowOff>
    </xdr:from>
    <xdr:to>
      <xdr:col>6</xdr:col>
      <xdr:colOff>167640</xdr:colOff>
      <xdr:row>33</xdr:row>
      <xdr:rowOff>0</xdr:rowOff>
    </xdr:to>
    <xdr:graphicFrame macro="">
      <xdr:nvGraphicFramePr>
        <xdr:cNvPr id="7138026" name="グラフ 10">
          <a:extLst>
            <a:ext uri="{FF2B5EF4-FFF2-40B4-BE49-F238E27FC236}">
              <a16:creationId xmlns:a16="http://schemas.microsoft.com/office/drawing/2014/main" id="{00000000-0008-0000-0200-0000EA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219075</xdr:colOff>
      <xdr:row>22</xdr:row>
      <xdr:rowOff>142875</xdr:rowOff>
    </xdr:from>
    <xdr:to>
      <xdr:col>6</xdr:col>
      <xdr:colOff>19050</xdr:colOff>
      <xdr:row>25</xdr:row>
      <xdr:rowOff>152400</xdr:rowOff>
    </xdr:to>
    <xdr:graphicFrame macro="">
      <xdr:nvGraphicFramePr>
        <xdr:cNvPr id="7138027" name="グラフ 20">
          <a:extLst>
            <a:ext uri="{FF2B5EF4-FFF2-40B4-BE49-F238E27FC236}">
              <a16:creationId xmlns:a16="http://schemas.microsoft.com/office/drawing/2014/main" id="{00000000-0008-0000-0200-0000EB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152400</xdr:colOff>
      <xdr:row>36</xdr:row>
      <xdr:rowOff>123825</xdr:rowOff>
    </xdr:from>
    <xdr:to>
      <xdr:col>7</xdr:col>
      <xdr:colOff>0</xdr:colOff>
      <xdr:row>44</xdr:row>
      <xdr:rowOff>177165</xdr:rowOff>
    </xdr:to>
    <xdr:graphicFrame macro="">
      <xdr:nvGraphicFramePr>
        <xdr:cNvPr id="7138028" name="グラフ 54">
          <a:extLst>
            <a:ext uri="{FF2B5EF4-FFF2-40B4-BE49-F238E27FC236}">
              <a16:creationId xmlns:a16="http://schemas.microsoft.com/office/drawing/2014/main" id="{00000000-0008-0000-0200-0000EC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238125</xdr:colOff>
      <xdr:row>36</xdr:row>
      <xdr:rowOff>114300</xdr:rowOff>
    </xdr:from>
    <xdr:to>
      <xdr:col>11</xdr:col>
      <xdr:colOff>15240</xdr:colOff>
      <xdr:row>44</xdr:row>
      <xdr:rowOff>152400</xdr:rowOff>
    </xdr:to>
    <xdr:graphicFrame macro="">
      <xdr:nvGraphicFramePr>
        <xdr:cNvPr id="7138029" name="グラフ 56">
          <a:extLst>
            <a:ext uri="{FF2B5EF4-FFF2-40B4-BE49-F238E27FC236}">
              <a16:creationId xmlns:a16="http://schemas.microsoft.com/office/drawing/2014/main" id="{00000000-0008-0000-0200-0000E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175260</xdr:colOff>
      <xdr:row>43</xdr:row>
      <xdr:rowOff>104775</xdr:rowOff>
    </xdr:from>
    <xdr:to>
      <xdr:col>7</xdr:col>
      <xdr:colOff>98426</xdr:colOff>
      <xdr:row>44</xdr:row>
      <xdr:rowOff>152400</xdr:rowOff>
    </xdr:to>
    <xdr:sp macro="" textlink="">
      <xdr:nvSpPr>
        <xdr:cNvPr id="172089" name="Text Box 57">
          <a:extLst>
            <a:ext uri="{FF2B5EF4-FFF2-40B4-BE49-F238E27FC236}">
              <a16:creationId xmlns:a16="http://schemas.microsoft.com/office/drawing/2014/main" id="{00000000-0008-0000-0200-000039A00200}"/>
            </a:ext>
          </a:extLst>
        </xdr:cNvPr>
        <xdr:cNvSpPr txBox="1">
          <a:spLocks noChangeArrowheads="1"/>
        </xdr:cNvSpPr>
      </xdr:nvSpPr>
      <xdr:spPr bwMode="auto">
        <a:xfrm>
          <a:off x="394335" y="9572625"/>
          <a:ext cx="3144521"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資源　　　　  　自然（緑・生物多様性）　　 人工物（建築）</a:t>
          </a:r>
        </a:p>
      </xdr:txBody>
    </xdr:sp>
    <xdr:clientData/>
  </xdr:twoCellAnchor>
  <xdr:twoCellAnchor>
    <xdr:from>
      <xdr:col>0</xdr:col>
      <xdr:colOff>38100</xdr:colOff>
      <xdr:row>76</xdr:row>
      <xdr:rowOff>76200</xdr:rowOff>
    </xdr:from>
    <xdr:to>
      <xdr:col>14</xdr:col>
      <xdr:colOff>822921</xdr:colOff>
      <xdr:row>78</xdr:row>
      <xdr:rowOff>76200</xdr:rowOff>
    </xdr:to>
    <xdr:sp macro="" textlink="">
      <xdr:nvSpPr>
        <xdr:cNvPr id="172189" name="Text Box 157">
          <a:extLst>
            <a:ext uri="{FF2B5EF4-FFF2-40B4-BE49-F238E27FC236}">
              <a16:creationId xmlns:a16="http://schemas.microsoft.com/office/drawing/2014/main" id="{00000000-0008-0000-0200-00009DA00200}"/>
            </a:ext>
          </a:extLst>
        </xdr:cNvPr>
        <xdr:cNvSpPr txBox="1">
          <a:spLocks noChangeArrowheads="1"/>
        </xdr:cNvSpPr>
      </xdr:nvSpPr>
      <xdr:spPr bwMode="auto">
        <a:xfrm>
          <a:off x="38100" y="16306800"/>
          <a:ext cx="10300296" cy="342900"/>
        </a:xfrm>
        <a:prstGeom prst="rect">
          <a:avLst/>
        </a:prstGeom>
        <a:solidFill>
          <a:srgbClr val="FFFFFF"/>
        </a:solidFill>
        <a:ln>
          <a:noFill/>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■CASBEE: Comprehensive Assessment System for Buil</a:t>
          </a:r>
          <a:r>
            <a:rPr lang="en-US" altLang="ja-JP" sz="900" b="1" i="0" u="none" strike="noStrike" baseline="0">
              <a:solidFill>
                <a:srgbClr val="000000"/>
              </a:solidFill>
              <a:latin typeface="ＭＳ Ｐゴシック"/>
              <a:ea typeface="ＭＳ Ｐゴシック"/>
            </a:rPr>
            <a:t>t </a:t>
          </a:r>
          <a:r>
            <a:rPr lang="ja-JP" altLang="en-US" sz="900" b="1" i="0" u="none" strike="noStrike" baseline="0">
              <a:solidFill>
                <a:srgbClr val="000000"/>
              </a:solidFill>
              <a:latin typeface="ＭＳ Ｐゴシック"/>
              <a:ea typeface="ＭＳ Ｐゴシック"/>
            </a:rPr>
            <a:t>Environment Efficiency</a:t>
          </a:r>
          <a:r>
            <a:rPr lang="ja-JP" altLang="en-US" sz="900" b="0" i="0" u="none" strike="noStrike" baseline="0">
              <a:solidFill>
                <a:srgbClr val="000000"/>
              </a:solidFill>
              <a:latin typeface="ＭＳ Ｐゴシック"/>
              <a:ea typeface="ＭＳ Ｐゴシック"/>
            </a:rPr>
            <a:t> （建築環境</a:t>
          </a:r>
          <a:r>
            <a:rPr lang="ja-JP" altLang="ja-JP" sz="1000" b="0" i="0" baseline="0">
              <a:effectLst/>
              <a:latin typeface="+mn-lt"/>
              <a:ea typeface="+mn-ea"/>
              <a:cs typeface="+mn-cs"/>
            </a:rPr>
            <a:t>総合</a:t>
          </a:r>
          <a:r>
            <a:rPr lang="ja-JP" altLang="en-US" sz="900" b="0" i="0" u="none" strike="noStrike" baseline="0">
              <a:solidFill>
                <a:srgbClr val="000000"/>
              </a:solidFill>
              <a:latin typeface="ＭＳ Ｐゴシック"/>
              <a:ea typeface="ＭＳ Ｐゴシック"/>
            </a:rPr>
            <a:t>性能評価システム）</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（街区の環境品質）、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（街区の環境負荷）、 </a:t>
          </a:r>
          <a:r>
            <a:rPr lang="ja-JP" altLang="en-US" sz="900" b="1" i="0" u="none" strike="noStrike" baseline="0">
              <a:solidFill>
                <a:srgbClr val="000000"/>
              </a:solidFill>
              <a:latin typeface="ＭＳ Ｐゴシック"/>
              <a:ea typeface="ＭＳ Ｐゴシック"/>
            </a:rPr>
            <a:t>BEE: Buil</a:t>
          </a:r>
          <a:r>
            <a:rPr lang="en-US" altLang="ja-JP" sz="900" b="1" i="0" u="none" strike="noStrike" baseline="0">
              <a:solidFill>
                <a:srgbClr val="000000"/>
              </a:solidFill>
              <a:latin typeface="ＭＳ Ｐゴシック"/>
              <a:ea typeface="ＭＳ Ｐゴシック"/>
            </a:rPr>
            <a:t>t</a:t>
          </a:r>
          <a:r>
            <a:rPr lang="ja-JP" altLang="en-US" sz="900" b="1" i="0" u="none" strike="noStrike" baseline="0">
              <a:solidFill>
                <a:srgbClr val="000000"/>
              </a:solidFill>
              <a:latin typeface="ＭＳ Ｐゴシック"/>
              <a:ea typeface="ＭＳ Ｐゴシック"/>
            </a:rPr>
            <a:t> Environment Efficiency  </a:t>
          </a:r>
          <a:r>
            <a:rPr lang="ja-JP" altLang="en-US" sz="900" b="0" i="0" u="none" strike="noStrike" baseline="0">
              <a:solidFill>
                <a:srgbClr val="000000"/>
              </a:solidFill>
              <a:latin typeface="ＭＳ Ｐゴシック"/>
              <a:ea typeface="ＭＳ Ｐゴシック"/>
            </a:rPr>
            <a:t>（街区の環境効率）、</a:t>
          </a:r>
          <a:r>
            <a:rPr lang="ja-JP" altLang="ja-JP" sz="1000" b="1" i="0" baseline="0">
              <a:effectLst/>
              <a:latin typeface="+mn-lt"/>
              <a:ea typeface="+mn-ea"/>
              <a:cs typeface="+mn-cs"/>
            </a:rPr>
            <a:t>B</a:t>
          </a:r>
          <a:r>
            <a:rPr lang="en-US" altLang="ja-JP" sz="1000" b="1" i="0" baseline="0">
              <a:effectLst/>
              <a:latin typeface="+mn-lt"/>
              <a:ea typeface="+mn-ea"/>
              <a:cs typeface="+mn-cs"/>
            </a:rPr>
            <a:t>AU</a:t>
          </a:r>
          <a:r>
            <a:rPr lang="ja-JP" altLang="ja-JP" sz="1000" b="1" i="0" baseline="0">
              <a:effectLst/>
              <a:latin typeface="+mn-lt"/>
              <a:ea typeface="+mn-ea"/>
              <a:cs typeface="+mn-cs"/>
            </a:rPr>
            <a:t>: Bu</a:t>
          </a:r>
          <a:r>
            <a:rPr lang="en-US" altLang="ja-JP" sz="1000" b="1" i="0" baseline="0">
              <a:effectLst/>
              <a:latin typeface="+mn-lt"/>
              <a:ea typeface="+mn-ea"/>
              <a:cs typeface="+mn-cs"/>
            </a:rPr>
            <a:t>siness As Usual</a:t>
          </a:r>
          <a:r>
            <a:rPr lang="ja-JP" altLang="ja-JP" sz="1000" b="1" i="0" baseline="0">
              <a:effectLst/>
              <a:latin typeface="+mn-lt"/>
              <a:ea typeface="+mn-ea"/>
              <a:cs typeface="+mn-cs"/>
            </a:rPr>
            <a:t>  </a:t>
          </a:r>
          <a:r>
            <a:rPr lang="ja-JP" altLang="ja-JP" sz="1000" b="0" i="0" baseline="0">
              <a:effectLst/>
              <a:latin typeface="+mn-lt"/>
              <a:ea typeface="+mn-ea"/>
              <a:cs typeface="+mn-cs"/>
            </a:rPr>
            <a:t>（</a:t>
          </a:r>
          <a:r>
            <a:rPr lang="ja-JP" altLang="en-US" sz="1000" b="0" i="0" baseline="0">
              <a:effectLst/>
              <a:latin typeface="+mn-lt"/>
              <a:ea typeface="+mn-ea"/>
              <a:cs typeface="+mn-cs"/>
            </a:rPr>
            <a:t>現状趨勢</a:t>
          </a:r>
          <a:r>
            <a:rPr lang="ja-JP" altLang="ja-JP" sz="1000" b="0" i="0" baseline="0">
              <a:effectLst/>
              <a:latin typeface="+mn-lt"/>
              <a:ea typeface="+mn-ea"/>
              <a:cs typeface="+mn-cs"/>
            </a:rPr>
            <a:t>）</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13</xdr:col>
      <xdr:colOff>81915</xdr:colOff>
      <xdr:row>35</xdr:row>
      <xdr:rowOff>177613</xdr:rowOff>
    </xdr:from>
    <xdr:ext cx="779957" cy="201850"/>
    <xdr:sp macro="" textlink="">
      <xdr:nvSpPr>
        <xdr:cNvPr id="172191" name="Text Box 159">
          <a:extLst>
            <a:ext uri="{FF2B5EF4-FFF2-40B4-BE49-F238E27FC236}">
              <a16:creationId xmlns:a16="http://schemas.microsoft.com/office/drawing/2014/main" id="{00000000-0008-0000-0200-00009FA00200}"/>
            </a:ext>
          </a:extLst>
        </xdr:cNvPr>
        <xdr:cNvSpPr txBox="1">
          <a:spLocks noChangeArrowheads="1"/>
        </xdr:cNvSpPr>
      </xdr:nvSpPr>
      <xdr:spPr bwMode="auto">
        <a:xfrm>
          <a:off x="873061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Q3のスコア=</a:t>
          </a:r>
        </a:p>
      </xdr:txBody>
    </xdr:sp>
    <xdr:clientData/>
  </xdr:oneCellAnchor>
  <xdr:oneCellAnchor>
    <xdr:from>
      <xdr:col>9</xdr:col>
      <xdr:colOff>169545</xdr:colOff>
      <xdr:row>35</xdr:row>
      <xdr:rowOff>177613</xdr:rowOff>
    </xdr:from>
    <xdr:ext cx="779957" cy="201850"/>
    <xdr:sp macro="" textlink="">
      <xdr:nvSpPr>
        <xdr:cNvPr id="172192" name="Text Box 160">
          <a:extLst>
            <a:ext uri="{FF2B5EF4-FFF2-40B4-BE49-F238E27FC236}">
              <a16:creationId xmlns:a16="http://schemas.microsoft.com/office/drawing/2014/main" id="{00000000-0008-0000-0200-0000A0A00200}"/>
            </a:ext>
          </a:extLst>
        </xdr:cNvPr>
        <xdr:cNvSpPr txBox="1">
          <a:spLocks noChangeArrowheads="1"/>
        </xdr:cNvSpPr>
      </xdr:nvSpPr>
      <xdr:spPr bwMode="auto">
        <a:xfrm>
          <a:off x="535114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Q2のスコア=</a:t>
          </a:r>
        </a:p>
      </xdr:txBody>
    </xdr:sp>
    <xdr:clientData/>
  </xdr:oneCellAnchor>
  <xdr:oneCellAnchor>
    <xdr:from>
      <xdr:col>4</xdr:col>
      <xdr:colOff>110490</xdr:colOff>
      <xdr:row>35</xdr:row>
      <xdr:rowOff>177613</xdr:rowOff>
    </xdr:from>
    <xdr:ext cx="779957" cy="201850"/>
    <xdr:sp macro="" textlink="">
      <xdr:nvSpPr>
        <xdr:cNvPr id="172194" name="Text Box 162">
          <a:extLst>
            <a:ext uri="{FF2B5EF4-FFF2-40B4-BE49-F238E27FC236}">
              <a16:creationId xmlns:a16="http://schemas.microsoft.com/office/drawing/2014/main" id="{00000000-0008-0000-0200-0000A2A00200}"/>
            </a:ext>
          </a:extLst>
        </xdr:cNvPr>
        <xdr:cNvSpPr txBox="1">
          <a:spLocks noChangeArrowheads="1"/>
        </xdr:cNvSpPr>
      </xdr:nvSpPr>
      <xdr:spPr bwMode="auto">
        <a:xfrm>
          <a:off x="204406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Q1のスコア=</a:t>
          </a:r>
        </a:p>
      </xdr:txBody>
    </xdr:sp>
    <xdr:clientData/>
  </xdr:oneCellAnchor>
  <xdr:twoCellAnchor editAs="oneCell">
    <xdr:from>
      <xdr:col>1</xdr:col>
      <xdr:colOff>49529</xdr:colOff>
      <xdr:row>24</xdr:row>
      <xdr:rowOff>247650</xdr:rowOff>
    </xdr:from>
    <xdr:to>
      <xdr:col>7</xdr:col>
      <xdr:colOff>47681</xdr:colOff>
      <xdr:row>25</xdr:row>
      <xdr:rowOff>171450</xdr:rowOff>
    </xdr:to>
    <xdr:sp macro="" textlink="">
      <xdr:nvSpPr>
        <xdr:cNvPr id="172196" name="Text Box 164">
          <a:extLst>
            <a:ext uri="{FF2B5EF4-FFF2-40B4-BE49-F238E27FC236}">
              <a16:creationId xmlns:a16="http://schemas.microsoft.com/office/drawing/2014/main" id="{00000000-0008-0000-0200-0000A4A00200}"/>
            </a:ext>
          </a:extLst>
        </xdr:cNvPr>
        <xdr:cNvSpPr txBox="1">
          <a:spLocks noChangeArrowheads="1"/>
        </xdr:cNvSpPr>
      </xdr:nvSpPr>
      <xdr:spPr bwMode="auto">
        <a:xfrm>
          <a:off x="106679" y="4591050"/>
          <a:ext cx="338400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S: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A: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C: </a:t>
          </a:r>
          <a:r>
            <a:rPr lang="ja-JP" altLang="en-US" sz="1000" b="0" i="0" u="none" strike="noStrike" baseline="0">
              <a:solidFill>
                <a:srgbClr val="333333"/>
              </a:solidFill>
              <a:latin typeface="ＭＳ Ｐゴシック"/>
              <a:ea typeface="ＭＳ Ｐゴシック"/>
            </a:rPr>
            <a:t>★</a:t>
          </a:r>
        </a:p>
      </xdr:txBody>
    </xdr:sp>
    <xdr:clientData/>
  </xdr:twoCellAnchor>
  <xdr:twoCellAnchor editAs="oneCell">
    <xdr:from>
      <xdr:col>1</xdr:col>
      <xdr:colOff>99060</xdr:colOff>
      <xdr:row>26</xdr:row>
      <xdr:rowOff>76200</xdr:rowOff>
    </xdr:from>
    <xdr:to>
      <xdr:col>2</xdr:col>
      <xdr:colOff>262898</xdr:colOff>
      <xdr:row>32</xdr:row>
      <xdr:rowOff>228600</xdr:rowOff>
    </xdr:to>
    <xdr:sp macro="" textlink="">
      <xdr:nvSpPr>
        <xdr:cNvPr id="172205" name="Text Box 173">
          <a:extLst>
            <a:ext uri="{FF2B5EF4-FFF2-40B4-BE49-F238E27FC236}">
              <a16:creationId xmlns:a16="http://schemas.microsoft.com/office/drawing/2014/main" id="{00000000-0008-0000-0200-0000ADA00200}"/>
            </a:ext>
          </a:extLst>
        </xdr:cNvPr>
        <xdr:cNvSpPr txBox="1">
          <a:spLocks noChangeArrowheads="1"/>
        </xdr:cNvSpPr>
      </xdr:nvSpPr>
      <xdr:spPr bwMode="auto">
        <a:xfrm>
          <a:off x="161925" y="5324475"/>
          <a:ext cx="323850" cy="2266950"/>
        </a:xfrm>
        <a:prstGeom prst="rect">
          <a:avLst/>
        </a:prstGeom>
        <a:noFill/>
        <a:ln>
          <a:noFill/>
        </a:ln>
        <a:effectLst/>
      </xdr:spPr>
      <xdr:txBody>
        <a:bodyPr vertOverflow="clip" vert="vert270"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街区の環境品質 Ｑ</a:t>
          </a:r>
        </a:p>
      </xdr:txBody>
    </xdr:sp>
    <xdr:clientData/>
  </xdr:twoCellAnchor>
  <xdr:twoCellAnchor>
    <xdr:from>
      <xdr:col>1</xdr:col>
      <xdr:colOff>9525</xdr:colOff>
      <xdr:row>25</xdr:row>
      <xdr:rowOff>161925</xdr:rowOff>
    </xdr:from>
    <xdr:to>
      <xdr:col>7</xdr:col>
      <xdr:colOff>0</xdr:colOff>
      <xdr:row>25</xdr:row>
      <xdr:rowOff>161925</xdr:rowOff>
    </xdr:to>
    <xdr:sp macro="" textlink="">
      <xdr:nvSpPr>
        <xdr:cNvPr id="7138037" name="Line 174">
          <a:extLst>
            <a:ext uri="{FF2B5EF4-FFF2-40B4-BE49-F238E27FC236}">
              <a16:creationId xmlns:a16="http://schemas.microsoft.com/office/drawing/2014/main" id="{00000000-0008-0000-0200-0000F5EA6C00}"/>
            </a:ext>
          </a:extLst>
        </xdr:cNvPr>
        <xdr:cNvSpPr>
          <a:spLocks noChangeShapeType="1"/>
        </xdr:cNvSpPr>
      </xdr:nvSpPr>
      <xdr:spPr bwMode="auto">
        <a:xfrm>
          <a:off x="66675" y="4791075"/>
          <a:ext cx="3381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626745</xdr:colOff>
      <xdr:row>32</xdr:row>
      <xdr:rowOff>76200</xdr:rowOff>
    </xdr:from>
    <xdr:to>
      <xdr:col>5</xdr:col>
      <xdr:colOff>263031</xdr:colOff>
      <xdr:row>33</xdr:row>
      <xdr:rowOff>19050</xdr:rowOff>
    </xdr:to>
    <xdr:sp macro="" textlink="">
      <xdr:nvSpPr>
        <xdr:cNvPr id="172207" name="Text Box 175">
          <a:extLst>
            <a:ext uri="{FF2B5EF4-FFF2-40B4-BE49-F238E27FC236}">
              <a16:creationId xmlns:a16="http://schemas.microsoft.com/office/drawing/2014/main" id="{00000000-0008-0000-0200-0000AFA00200}"/>
            </a:ext>
          </a:extLst>
        </xdr:cNvPr>
        <xdr:cNvSpPr txBox="1">
          <a:spLocks noChangeArrowheads="1"/>
        </xdr:cNvSpPr>
      </xdr:nvSpPr>
      <xdr:spPr bwMode="auto">
        <a:xfrm>
          <a:off x="845820" y="7172325"/>
          <a:ext cx="1855611" cy="295275"/>
        </a:xfrm>
        <a:prstGeom prst="rect">
          <a:avLst/>
        </a:prstGeom>
        <a:noFill/>
        <a:ln>
          <a:noFill/>
        </a:ln>
        <a:effec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街区の環境負荷 L</a:t>
          </a:r>
        </a:p>
      </xdr:txBody>
    </xdr:sp>
    <xdr:clientData/>
  </xdr:twoCellAnchor>
  <xdr:twoCellAnchor editAs="oneCell">
    <xdr:from>
      <xdr:col>12</xdr:col>
      <xdr:colOff>312420</xdr:colOff>
      <xdr:row>2</xdr:row>
      <xdr:rowOff>11430</xdr:rowOff>
    </xdr:from>
    <xdr:to>
      <xdr:col>13</xdr:col>
      <xdr:colOff>430529</xdr:colOff>
      <xdr:row>3</xdr:row>
      <xdr:rowOff>24844</xdr:rowOff>
    </xdr:to>
    <xdr:sp macro="" textlink="">
      <xdr:nvSpPr>
        <xdr:cNvPr id="172210" name="Text Box 178">
          <a:extLst>
            <a:ext uri="{FF2B5EF4-FFF2-40B4-BE49-F238E27FC236}">
              <a16:creationId xmlns:a16="http://schemas.microsoft.com/office/drawing/2014/main" id="{00000000-0008-0000-0200-0000B2A00200}"/>
            </a:ext>
          </a:extLst>
        </xdr:cNvPr>
        <xdr:cNvSpPr txBox="1">
          <a:spLocks noChangeArrowheads="1"/>
        </xdr:cNvSpPr>
      </xdr:nvSpPr>
      <xdr:spPr bwMode="auto">
        <a:xfrm>
          <a:off x="8124825" y="542925"/>
          <a:ext cx="981075" cy="19050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11</xdr:col>
      <xdr:colOff>552450</xdr:colOff>
      <xdr:row>1</xdr:row>
      <xdr:rowOff>38100</xdr:rowOff>
    </xdr:from>
    <xdr:to>
      <xdr:col>14</xdr:col>
      <xdr:colOff>552450</xdr:colOff>
      <xdr:row>2</xdr:row>
      <xdr:rowOff>15240</xdr:rowOff>
    </xdr:to>
    <xdr:pic>
      <xdr:nvPicPr>
        <xdr:cNvPr id="7138040" name="Picture 181" descr="評価結果">
          <a:extLst>
            <a:ext uri="{FF2B5EF4-FFF2-40B4-BE49-F238E27FC236}">
              <a16:creationId xmlns:a16="http://schemas.microsoft.com/office/drawing/2014/main" id="{00000000-0008-0000-0200-0000F8EA6C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67600" y="114300"/>
          <a:ext cx="26003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895350</xdr:colOff>
      <xdr:row>23</xdr:row>
      <xdr:rowOff>257175</xdr:rowOff>
    </xdr:from>
    <xdr:to>
      <xdr:col>16</xdr:col>
      <xdr:colOff>9525</xdr:colOff>
      <xdr:row>32</xdr:row>
      <xdr:rowOff>66675</xdr:rowOff>
    </xdr:to>
    <xdr:graphicFrame macro="">
      <xdr:nvGraphicFramePr>
        <xdr:cNvPr id="7138041" name="Chart 17">
          <a:extLst>
            <a:ext uri="{FF2B5EF4-FFF2-40B4-BE49-F238E27FC236}">
              <a16:creationId xmlns:a16="http://schemas.microsoft.com/office/drawing/2014/main" id="{00000000-0008-0000-0200-0000F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327660</xdr:colOff>
      <xdr:row>43</xdr:row>
      <xdr:rowOff>104775</xdr:rowOff>
    </xdr:from>
    <xdr:to>
      <xdr:col>11</xdr:col>
      <xdr:colOff>7650</xdr:colOff>
      <xdr:row>44</xdr:row>
      <xdr:rowOff>152400</xdr:rowOff>
    </xdr:to>
    <xdr:sp macro="" textlink="">
      <xdr:nvSpPr>
        <xdr:cNvPr id="54" name="Text Box 57">
          <a:extLst>
            <a:ext uri="{FF2B5EF4-FFF2-40B4-BE49-F238E27FC236}">
              <a16:creationId xmlns:a16="http://schemas.microsoft.com/office/drawing/2014/main" id="{00000000-0008-0000-0200-000036000000}"/>
            </a:ext>
          </a:extLst>
        </xdr:cNvPr>
        <xdr:cNvSpPr txBox="1">
          <a:spLocks noChangeArrowheads="1"/>
        </xdr:cNvSpPr>
      </xdr:nvSpPr>
      <xdr:spPr bwMode="auto">
        <a:xfrm>
          <a:off x="3775710" y="9572625"/>
          <a:ext cx="3143280"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公平・公正　　　　　　　　  安全安心　　　　　　　　　アメニティ</a:t>
          </a:r>
        </a:p>
      </xdr:txBody>
    </xdr:sp>
    <xdr:clientData/>
  </xdr:twoCellAnchor>
  <xdr:twoCellAnchor editAs="oneCell">
    <xdr:from>
      <xdr:col>11</xdr:col>
      <xdr:colOff>241935</xdr:colOff>
      <xdr:row>43</xdr:row>
      <xdr:rowOff>104775</xdr:rowOff>
    </xdr:from>
    <xdr:to>
      <xdr:col>15</xdr:col>
      <xdr:colOff>29</xdr:colOff>
      <xdr:row>44</xdr:row>
      <xdr:rowOff>152400</xdr:rowOff>
    </xdr:to>
    <xdr:sp macro="" textlink="">
      <xdr:nvSpPr>
        <xdr:cNvPr id="55" name="Text Box 57">
          <a:extLst>
            <a:ext uri="{FF2B5EF4-FFF2-40B4-BE49-F238E27FC236}">
              <a16:creationId xmlns:a16="http://schemas.microsoft.com/office/drawing/2014/main" id="{00000000-0008-0000-0200-000037000000}"/>
            </a:ext>
          </a:extLst>
        </xdr:cNvPr>
        <xdr:cNvSpPr txBox="1">
          <a:spLocks noChangeArrowheads="1"/>
        </xdr:cNvSpPr>
      </xdr:nvSpPr>
      <xdr:spPr bwMode="auto">
        <a:xfrm>
          <a:off x="7157085" y="9572625"/>
          <a:ext cx="3143279"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交通・都市構造　　　　　　　成長性　　　　　　　 効率性・合理性</a:t>
          </a:r>
        </a:p>
      </xdr:txBody>
    </xdr:sp>
    <xdr:clientData/>
  </xdr:twoCellAnchor>
  <xdr:twoCellAnchor editAs="oneCell">
    <xdr:from>
      <xdr:col>6</xdr:col>
      <xdr:colOff>503144</xdr:colOff>
      <xdr:row>26</xdr:row>
      <xdr:rowOff>317126</xdr:rowOff>
    </xdr:from>
    <xdr:to>
      <xdr:col>7</xdr:col>
      <xdr:colOff>542129</xdr:colOff>
      <xdr:row>27</xdr:row>
      <xdr:rowOff>210446</xdr:rowOff>
    </xdr:to>
    <xdr:sp macro="" textlink="">
      <xdr:nvSpPr>
        <xdr:cNvPr id="56" name="Text Box 57">
          <a:extLst>
            <a:ext uri="{FF2B5EF4-FFF2-40B4-BE49-F238E27FC236}">
              <a16:creationId xmlns:a16="http://schemas.microsoft.com/office/drawing/2014/main" id="{00000000-0008-0000-0200-000038000000}"/>
            </a:ext>
          </a:extLst>
        </xdr:cNvPr>
        <xdr:cNvSpPr txBox="1">
          <a:spLocks noChangeArrowheads="1"/>
        </xdr:cNvSpPr>
      </xdr:nvSpPr>
      <xdr:spPr bwMode="auto">
        <a:xfrm>
          <a:off x="3446369" y="5298701"/>
          <a:ext cx="540000" cy="238125"/>
        </a:xfrm>
        <a:prstGeom prst="rect">
          <a:avLst/>
        </a:prstGeom>
        <a:noFill/>
        <a:ln>
          <a:noFill/>
        </a:ln>
      </xdr:spPr>
      <xdr:txBody>
        <a:bodyPr vertOverflow="clip" wrap="square" lIns="0" tIns="0" rIns="0" bIns="0" anchor="ctr" upright="1"/>
        <a:lstStyle/>
        <a:p>
          <a:pPr algn="r" rtl="0">
            <a:defRPr sz="1000"/>
          </a:pPr>
          <a:r>
            <a:rPr lang="en-US" altLang="ja-JP" sz="1050" b="0" i="0" u="none" strike="noStrike" baseline="0">
              <a:solidFill>
                <a:srgbClr val="000000"/>
              </a:solidFill>
              <a:latin typeface="ＭＳ Ｐゴシック"/>
              <a:ea typeface="ＭＳ Ｐゴシック"/>
            </a:rPr>
            <a:t>BAU</a:t>
          </a:r>
          <a:endParaRPr lang="ja-JP" altLang="en-US" sz="1050" b="0" i="0" u="none" strike="noStrike" baseline="0">
            <a:solidFill>
              <a:srgbClr val="000000"/>
            </a:solidFill>
            <a:latin typeface="ＭＳ Ｐゴシック"/>
            <a:ea typeface="ＭＳ Ｐゴシック"/>
          </a:endParaRPr>
        </a:p>
      </xdr:txBody>
    </xdr:sp>
    <xdr:clientData/>
  </xdr:twoCellAnchor>
  <xdr:twoCellAnchor editAs="oneCell">
    <xdr:from>
      <xdr:col>1</xdr:col>
      <xdr:colOff>152400</xdr:colOff>
      <xdr:row>47</xdr:row>
      <xdr:rowOff>38100</xdr:rowOff>
    </xdr:from>
    <xdr:to>
      <xdr:col>7</xdr:col>
      <xdr:colOff>0</xdr:colOff>
      <xdr:row>56</xdr:row>
      <xdr:rowOff>24765</xdr:rowOff>
    </xdr:to>
    <xdr:graphicFrame macro="">
      <xdr:nvGraphicFramePr>
        <xdr:cNvPr id="7138045" name="グラフ 131">
          <a:extLst>
            <a:ext uri="{FF2B5EF4-FFF2-40B4-BE49-F238E27FC236}">
              <a16:creationId xmlns:a16="http://schemas.microsoft.com/office/drawing/2014/main" id="{00000000-0008-0000-0200-0000F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180975</xdr:colOff>
      <xdr:row>47</xdr:row>
      <xdr:rowOff>38100</xdr:rowOff>
    </xdr:from>
    <xdr:to>
      <xdr:col>15</xdr:col>
      <xdr:colOff>0</xdr:colOff>
      <xdr:row>56</xdr:row>
      <xdr:rowOff>24765</xdr:rowOff>
    </xdr:to>
    <xdr:graphicFrame macro="">
      <xdr:nvGraphicFramePr>
        <xdr:cNvPr id="7138046" name="グラフ 131">
          <a:extLst>
            <a:ext uri="{FF2B5EF4-FFF2-40B4-BE49-F238E27FC236}">
              <a16:creationId xmlns:a16="http://schemas.microsoft.com/office/drawing/2014/main" id="{00000000-0008-0000-0200-0000FE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8284</xdr:colOff>
      <xdr:row>38</xdr:row>
      <xdr:rowOff>76201</xdr:rowOff>
    </xdr:from>
    <xdr:to>
      <xdr:col>2</xdr:col>
      <xdr:colOff>121414</xdr:colOff>
      <xdr:row>42</xdr:row>
      <xdr:rowOff>71438</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rot="16200000">
          <a:off x="-175657" y="8832642"/>
          <a:ext cx="757237" cy="27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7</xdr:col>
      <xdr:colOff>247651</xdr:colOff>
      <xdr:row>31</xdr:row>
      <xdr:rowOff>85952</xdr:rowOff>
    </xdr:from>
    <xdr:to>
      <xdr:col>10</xdr:col>
      <xdr:colOff>723900</xdr:colOff>
      <xdr:row>32</xdr:row>
      <xdr:rowOff>9681</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3695701" y="6829652"/>
          <a:ext cx="3248024" cy="27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温室効果ガス排出量</a:t>
          </a:r>
          <a:r>
            <a:rPr kumimoji="1" lang="en-US" altLang="ja-JP" sz="1000"/>
            <a:t>[t-CO</a:t>
          </a:r>
          <a:r>
            <a:rPr kumimoji="1" lang="en-US" altLang="ja-JP" sz="1000" baseline="-25000"/>
            <a:t>2</a:t>
          </a:r>
          <a:r>
            <a:rPr kumimoji="1" lang="en-US" altLang="ja-JP" sz="1000"/>
            <a:t>/</a:t>
          </a:r>
          <a:r>
            <a:rPr kumimoji="1" lang="ja-JP" altLang="en-US" sz="1000"/>
            <a:t>（人・年）</a:t>
          </a:r>
          <a:r>
            <a:rPr kumimoji="1" lang="en-US" altLang="ja-JP" sz="1000"/>
            <a:t>]</a:t>
          </a:r>
          <a:endParaRPr kumimoji="1" lang="ja-JP" altLang="en-US" sz="1000"/>
        </a:p>
      </xdr:txBody>
    </xdr:sp>
    <xdr:clientData/>
  </xdr:twoCellAnchor>
  <xdr:twoCellAnchor>
    <xdr:from>
      <xdr:col>6</xdr:col>
      <xdr:colOff>497791</xdr:colOff>
      <xdr:row>38</xdr:row>
      <xdr:rowOff>76201</xdr:rowOff>
    </xdr:from>
    <xdr:to>
      <xdr:col>7</xdr:col>
      <xdr:colOff>342394</xdr:colOff>
      <xdr:row>42</xdr:row>
      <xdr:rowOff>71438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rot="16200000">
          <a:off x="3237111" y="8795456"/>
          <a:ext cx="757237" cy="34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10</xdr:col>
      <xdr:colOff>815986</xdr:colOff>
      <xdr:row>38</xdr:row>
      <xdr:rowOff>76201</xdr:rowOff>
    </xdr:from>
    <xdr:to>
      <xdr:col>11</xdr:col>
      <xdr:colOff>215496</xdr:colOff>
      <xdr:row>42</xdr:row>
      <xdr:rowOff>71438</xdr:rowOff>
    </xdr:to>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rot="16200000">
          <a:off x="6618885" y="8837027"/>
          <a:ext cx="757237" cy="266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2</xdr:col>
      <xdr:colOff>425823</xdr:colOff>
      <xdr:row>42</xdr:row>
      <xdr:rowOff>11205</xdr:rowOff>
    </xdr:from>
    <xdr:to>
      <xdr:col>2</xdr:col>
      <xdr:colOff>1019735</xdr:colOff>
      <xdr:row>43</xdr:row>
      <xdr:rowOff>33617</xdr:rowOff>
    </xdr:to>
    <xdr:sp macro="" textlink="$T$40">
      <xdr:nvSpPr>
        <xdr:cNvPr id="82" name="テキスト ボックス 81">
          <a:extLst>
            <a:ext uri="{FF2B5EF4-FFF2-40B4-BE49-F238E27FC236}">
              <a16:creationId xmlns:a16="http://schemas.microsoft.com/office/drawing/2014/main" id="{00000000-0008-0000-0200-000052000000}"/>
            </a:ext>
          </a:extLst>
        </xdr:cNvPr>
        <xdr:cNvSpPr txBox="1"/>
      </xdr:nvSpPr>
      <xdr:spPr>
        <a:xfrm>
          <a:off x="638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981EA087-3EB4-493A-B8E5-0A179BE22BE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3</xdr:col>
      <xdr:colOff>190500</xdr:colOff>
      <xdr:row>42</xdr:row>
      <xdr:rowOff>11205</xdr:rowOff>
    </xdr:from>
    <xdr:to>
      <xdr:col>4</xdr:col>
      <xdr:colOff>369794</xdr:colOff>
      <xdr:row>43</xdr:row>
      <xdr:rowOff>33617</xdr:rowOff>
    </xdr:to>
    <xdr:sp macro="" textlink="$T$41">
      <xdr:nvSpPr>
        <xdr:cNvPr id="83" name="テキスト ボックス 82">
          <a:extLst>
            <a:ext uri="{FF2B5EF4-FFF2-40B4-BE49-F238E27FC236}">
              <a16:creationId xmlns:a16="http://schemas.microsoft.com/office/drawing/2014/main" id="{00000000-0008-0000-0200-000053000000}"/>
            </a:ext>
          </a:extLst>
        </xdr:cNvPr>
        <xdr:cNvSpPr txBox="1"/>
      </xdr:nvSpPr>
      <xdr:spPr>
        <a:xfrm>
          <a:off x="1613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AD8301D-8305-4366-99BA-BDCADD67BC2E}"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5</xdr:col>
      <xdr:colOff>11205</xdr:colOff>
      <xdr:row>42</xdr:row>
      <xdr:rowOff>11205</xdr:rowOff>
    </xdr:from>
    <xdr:to>
      <xdr:col>6</xdr:col>
      <xdr:colOff>179294</xdr:colOff>
      <xdr:row>43</xdr:row>
      <xdr:rowOff>33617</xdr:rowOff>
    </xdr:to>
    <xdr:sp macro="" textlink="$T$42">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588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7E18B0-1333-4FCE-A4A4-1F32E1B7E710}"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7</xdr:col>
      <xdr:colOff>616323</xdr:colOff>
      <xdr:row>42</xdr:row>
      <xdr:rowOff>11205</xdr:rowOff>
    </xdr:from>
    <xdr:to>
      <xdr:col>8</xdr:col>
      <xdr:colOff>291353</xdr:colOff>
      <xdr:row>43</xdr:row>
      <xdr:rowOff>33617</xdr:rowOff>
    </xdr:to>
    <xdr:sp macro="" textlink="$W$40">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045323"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CC3A7CC-21C6-497C-8080-9BC4E13B202F}"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8</xdr:col>
      <xdr:colOff>683558</xdr:colOff>
      <xdr:row>42</xdr:row>
      <xdr:rowOff>11205</xdr:rowOff>
    </xdr:from>
    <xdr:to>
      <xdr:col>9</xdr:col>
      <xdr:colOff>358587</xdr:colOff>
      <xdr:row>43</xdr:row>
      <xdr:rowOff>33617</xdr:rowOff>
    </xdr:to>
    <xdr:sp macro="" textlink="$W$41">
      <xdr:nvSpPr>
        <xdr:cNvPr id="88" name="テキスト ボックス 87">
          <a:extLst>
            <a:ext uri="{FF2B5EF4-FFF2-40B4-BE49-F238E27FC236}">
              <a16:creationId xmlns:a16="http://schemas.microsoft.com/office/drawing/2014/main" id="{00000000-0008-0000-0200-000058000000}"/>
            </a:ext>
          </a:extLst>
        </xdr:cNvPr>
        <xdr:cNvSpPr txBox="1"/>
      </xdr:nvSpPr>
      <xdr:spPr>
        <a:xfrm>
          <a:off x="5031440"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49AC06-90AA-4D90-9B6D-19C55D2869BB}"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750793</xdr:colOff>
      <xdr:row>42</xdr:row>
      <xdr:rowOff>11205</xdr:rowOff>
    </xdr:from>
    <xdr:to>
      <xdr:col>10</xdr:col>
      <xdr:colOff>425823</xdr:colOff>
      <xdr:row>43</xdr:row>
      <xdr:rowOff>33617</xdr:rowOff>
    </xdr:to>
    <xdr:sp macro="" textlink="$W$42">
      <xdr:nvSpPr>
        <xdr:cNvPr id="89" name="テキスト ボックス 88">
          <a:extLst>
            <a:ext uri="{FF2B5EF4-FFF2-40B4-BE49-F238E27FC236}">
              <a16:creationId xmlns:a16="http://schemas.microsoft.com/office/drawing/2014/main" id="{00000000-0008-0000-0200-000059000000}"/>
            </a:ext>
          </a:extLst>
        </xdr:cNvPr>
        <xdr:cNvSpPr txBox="1"/>
      </xdr:nvSpPr>
      <xdr:spPr>
        <a:xfrm>
          <a:off x="6017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B1040E-1267-40A1-BF0E-BF2FDE1E97B6}"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11</xdr:col>
      <xdr:colOff>392206</xdr:colOff>
      <xdr:row>42</xdr:row>
      <xdr:rowOff>11205</xdr:rowOff>
    </xdr:from>
    <xdr:to>
      <xdr:col>12</xdr:col>
      <xdr:colOff>313765</xdr:colOff>
      <xdr:row>43</xdr:row>
      <xdr:rowOff>33617</xdr:rowOff>
    </xdr:to>
    <xdr:sp macro="" textlink="$Z$40">
      <xdr:nvSpPr>
        <xdr:cNvPr id="90" name="テキスト ボックス 89">
          <a:extLst>
            <a:ext uri="{FF2B5EF4-FFF2-40B4-BE49-F238E27FC236}">
              <a16:creationId xmlns:a16="http://schemas.microsoft.com/office/drawing/2014/main" id="{00000000-0008-0000-0200-00005A000000}"/>
            </a:ext>
          </a:extLst>
        </xdr:cNvPr>
        <xdr:cNvSpPr txBox="1"/>
      </xdr:nvSpPr>
      <xdr:spPr>
        <a:xfrm>
          <a:off x="7496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141C3CF-FAEE-439E-BF8E-1208333BE7D4}"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694765</xdr:colOff>
      <xdr:row>42</xdr:row>
      <xdr:rowOff>11205</xdr:rowOff>
    </xdr:from>
    <xdr:to>
      <xdr:col>13</xdr:col>
      <xdr:colOff>235324</xdr:colOff>
      <xdr:row>43</xdr:row>
      <xdr:rowOff>33617</xdr:rowOff>
    </xdr:to>
    <xdr:sp macro="" textlink="$Z$41">
      <xdr:nvSpPr>
        <xdr:cNvPr id="91" name="テキスト ボックス 90">
          <a:extLst>
            <a:ext uri="{FF2B5EF4-FFF2-40B4-BE49-F238E27FC236}">
              <a16:creationId xmlns:a16="http://schemas.microsoft.com/office/drawing/2014/main" id="{00000000-0008-0000-0200-00005B000000}"/>
            </a:ext>
          </a:extLst>
        </xdr:cNvPr>
        <xdr:cNvSpPr txBox="1"/>
      </xdr:nvSpPr>
      <xdr:spPr>
        <a:xfrm>
          <a:off x="8471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742FF6-37BE-48B7-911B-DE8E1E4F6F3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627530</xdr:colOff>
      <xdr:row>42</xdr:row>
      <xdr:rowOff>11205</xdr:rowOff>
    </xdr:from>
    <xdr:to>
      <xdr:col>14</xdr:col>
      <xdr:colOff>560295</xdr:colOff>
      <xdr:row>43</xdr:row>
      <xdr:rowOff>33617</xdr:rowOff>
    </xdr:to>
    <xdr:sp macro="" textlink="$Z$42">
      <xdr:nvSpPr>
        <xdr:cNvPr id="92" name="テキスト ボックス 91">
          <a:extLst>
            <a:ext uri="{FF2B5EF4-FFF2-40B4-BE49-F238E27FC236}">
              <a16:creationId xmlns:a16="http://schemas.microsoft.com/office/drawing/2014/main" id="{00000000-0008-0000-0200-00005C000000}"/>
            </a:ext>
          </a:extLst>
        </xdr:cNvPr>
        <xdr:cNvSpPr txBox="1"/>
      </xdr:nvSpPr>
      <xdr:spPr>
        <a:xfrm>
          <a:off x="945776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C697FE4-537E-4210-8F8D-927D229C6B2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6</xdr:col>
      <xdr:colOff>257736</xdr:colOff>
      <xdr:row>53</xdr:row>
      <xdr:rowOff>67234</xdr:rowOff>
    </xdr:from>
    <xdr:to>
      <xdr:col>7</xdr:col>
      <xdr:colOff>425824</xdr:colOff>
      <xdr:row>54</xdr:row>
      <xdr:rowOff>78440</xdr:rowOff>
    </xdr:to>
    <xdr:sp macro="" textlink="$T$46">
      <xdr:nvSpPr>
        <xdr:cNvPr id="95" name="テキスト ボックス 94">
          <a:extLst>
            <a:ext uri="{FF2B5EF4-FFF2-40B4-BE49-F238E27FC236}">
              <a16:creationId xmlns:a16="http://schemas.microsoft.com/office/drawing/2014/main" id="{00000000-0008-0000-0200-00005F000000}"/>
            </a:ext>
          </a:extLst>
        </xdr:cNvPr>
        <xdr:cNvSpPr txBox="1"/>
      </xdr:nvSpPr>
      <xdr:spPr>
        <a:xfrm>
          <a:off x="326091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506C7F0B-D177-4602-8AA9-A30059232D8B}"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7</xdr:col>
      <xdr:colOff>851647</xdr:colOff>
      <xdr:row>53</xdr:row>
      <xdr:rowOff>67234</xdr:rowOff>
    </xdr:from>
    <xdr:to>
      <xdr:col>8</xdr:col>
      <xdr:colOff>526677</xdr:colOff>
      <xdr:row>54</xdr:row>
      <xdr:rowOff>78440</xdr:rowOff>
    </xdr:to>
    <xdr:sp macro="" textlink="$T$47">
      <xdr:nvSpPr>
        <xdr:cNvPr id="96" name="テキスト ボックス 95">
          <a:extLst>
            <a:ext uri="{FF2B5EF4-FFF2-40B4-BE49-F238E27FC236}">
              <a16:creationId xmlns:a16="http://schemas.microsoft.com/office/drawing/2014/main" id="{00000000-0008-0000-0200-000060000000}"/>
            </a:ext>
          </a:extLst>
        </xdr:cNvPr>
        <xdr:cNvSpPr txBox="1"/>
      </xdr:nvSpPr>
      <xdr:spPr>
        <a:xfrm>
          <a:off x="428064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AD5E957-9210-4CAA-8302-16ABC8B6792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571500</xdr:colOff>
      <xdr:row>53</xdr:row>
      <xdr:rowOff>67234</xdr:rowOff>
    </xdr:from>
    <xdr:to>
      <xdr:col>10</xdr:col>
      <xdr:colOff>246530</xdr:colOff>
      <xdr:row>54</xdr:row>
      <xdr:rowOff>78440</xdr:rowOff>
    </xdr:to>
    <xdr:sp macro="" textlink="$W$46">
      <xdr:nvSpPr>
        <xdr:cNvPr id="97" name="テキスト ボックス 96">
          <a:extLst>
            <a:ext uri="{FF2B5EF4-FFF2-40B4-BE49-F238E27FC236}">
              <a16:creationId xmlns:a16="http://schemas.microsoft.com/office/drawing/2014/main" id="{00000000-0008-0000-0200-000061000000}"/>
            </a:ext>
          </a:extLst>
        </xdr:cNvPr>
        <xdr:cNvSpPr txBox="1"/>
      </xdr:nvSpPr>
      <xdr:spPr>
        <a:xfrm>
          <a:off x="5838265"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4E96A8CB-1A05-4FA4-98BD-03275296668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10</xdr:col>
      <xdr:colOff>649942</xdr:colOff>
      <xdr:row>53</xdr:row>
      <xdr:rowOff>67234</xdr:rowOff>
    </xdr:from>
    <xdr:to>
      <xdr:col>11</xdr:col>
      <xdr:colOff>324972</xdr:colOff>
      <xdr:row>54</xdr:row>
      <xdr:rowOff>78440</xdr:rowOff>
    </xdr:to>
    <xdr:sp macro="" textlink="$W$47">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835589"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F2A81528-46AF-4992-A26A-1AEA99071417}"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616325</xdr:colOff>
      <xdr:row>53</xdr:row>
      <xdr:rowOff>67234</xdr:rowOff>
    </xdr:from>
    <xdr:to>
      <xdr:col>13</xdr:col>
      <xdr:colOff>156884</xdr:colOff>
      <xdr:row>54</xdr:row>
      <xdr:rowOff>78440</xdr:rowOff>
    </xdr:to>
    <xdr:sp macro="" textlink="$Z$46">
      <xdr:nvSpPr>
        <xdr:cNvPr id="99" name="テキスト ボックス 98">
          <a:extLst>
            <a:ext uri="{FF2B5EF4-FFF2-40B4-BE49-F238E27FC236}">
              <a16:creationId xmlns:a16="http://schemas.microsoft.com/office/drawing/2014/main" id="{00000000-0008-0000-0200-000063000000}"/>
            </a:ext>
          </a:extLst>
        </xdr:cNvPr>
        <xdr:cNvSpPr txBox="1"/>
      </xdr:nvSpPr>
      <xdr:spPr>
        <a:xfrm>
          <a:off x="839320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CD982B7-91B7-4F1A-B1D1-05BAD92DC25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582707</xdr:colOff>
      <xdr:row>53</xdr:row>
      <xdr:rowOff>67234</xdr:rowOff>
    </xdr:from>
    <xdr:to>
      <xdr:col>14</xdr:col>
      <xdr:colOff>515472</xdr:colOff>
      <xdr:row>54</xdr:row>
      <xdr:rowOff>78440</xdr:rowOff>
    </xdr:to>
    <xdr:sp macro="" textlink="$Z$47">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941294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848CB4F-381D-4809-AD00-2F82CA42C76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editAs="oneCell">
    <xdr:from>
      <xdr:col>2</xdr:col>
      <xdr:colOff>207908</xdr:colOff>
      <xdr:row>54</xdr:row>
      <xdr:rowOff>114300</xdr:rowOff>
    </xdr:from>
    <xdr:to>
      <xdr:col>6</xdr:col>
      <xdr:colOff>408307</xdr:colOff>
      <xdr:row>55</xdr:row>
      <xdr:rowOff>152400</xdr:rowOff>
    </xdr:to>
    <xdr:sp macro="" textlink="">
      <xdr:nvSpPr>
        <xdr:cNvPr id="59" name="Text Box 57">
          <a:extLst>
            <a:ext uri="{FF2B5EF4-FFF2-40B4-BE49-F238E27FC236}">
              <a16:creationId xmlns:a16="http://schemas.microsoft.com/office/drawing/2014/main" id="{00000000-0008-0000-0200-00003B000000}"/>
            </a:ext>
          </a:extLst>
        </xdr:cNvPr>
        <xdr:cNvSpPr txBox="1">
          <a:spLocks noChangeArrowheads="1"/>
        </xdr:cNvSpPr>
      </xdr:nvSpPr>
      <xdr:spPr bwMode="auto">
        <a:xfrm>
          <a:off x="426983" y="11801475"/>
          <a:ext cx="292835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xdr:from>
      <xdr:col>1</xdr:col>
      <xdr:colOff>8284</xdr:colOff>
      <xdr:row>45</xdr:row>
      <xdr:rowOff>108135</xdr:rowOff>
    </xdr:from>
    <xdr:to>
      <xdr:col>2</xdr:col>
      <xdr:colOff>122513</xdr:colOff>
      <xdr:row>63</xdr:row>
      <xdr:rowOff>9432</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rot="16200000">
          <a:off x="-854559" y="10888183"/>
          <a:ext cx="2108856"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6</xdr:col>
      <xdr:colOff>497791</xdr:colOff>
      <xdr:row>45</xdr:row>
      <xdr:rowOff>108136</xdr:rowOff>
    </xdr:from>
    <xdr:to>
      <xdr:col>7</xdr:col>
      <xdr:colOff>345734</xdr:colOff>
      <xdr:row>63</xdr:row>
      <xdr:rowOff>9433</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rot="16200000">
          <a:off x="2566614" y="10869488"/>
          <a:ext cx="2101572" cy="352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10</xdr:col>
      <xdr:colOff>815987</xdr:colOff>
      <xdr:row>45</xdr:row>
      <xdr:rowOff>108136</xdr:rowOff>
    </xdr:from>
    <xdr:to>
      <xdr:col>11</xdr:col>
      <xdr:colOff>230409</xdr:colOff>
      <xdr:row>63</xdr:row>
      <xdr:rowOff>9433</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rot="16200000">
          <a:off x="5954175" y="10905273"/>
          <a:ext cx="2101572" cy="281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7</xdr:col>
      <xdr:colOff>19050</xdr:colOff>
      <xdr:row>25</xdr:row>
      <xdr:rowOff>161925</xdr:rowOff>
    </xdr:from>
    <xdr:to>
      <xdr:col>11</xdr:col>
      <xdr:colOff>0</xdr:colOff>
      <xdr:row>25</xdr:row>
      <xdr:rowOff>161925</xdr:rowOff>
    </xdr:to>
    <xdr:sp macro="" textlink="">
      <xdr:nvSpPr>
        <xdr:cNvPr id="7138070" name="Line 174">
          <a:extLst>
            <a:ext uri="{FF2B5EF4-FFF2-40B4-BE49-F238E27FC236}">
              <a16:creationId xmlns:a16="http://schemas.microsoft.com/office/drawing/2014/main" id="{00000000-0008-0000-0200-000016EB6C00}"/>
            </a:ext>
          </a:extLst>
        </xdr:cNvPr>
        <xdr:cNvSpPr>
          <a:spLocks noChangeShapeType="1"/>
        </xdr:cNvSpPr>
      </xdr:nvSpPr>
      <xdr:spPr bwMode="auto">
        <a:xfrm>
          <a:off x="3467100" y="4791075"/>
          <a:ext cx="3448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171450</xdr:colOff>
      <xdr:row>47</xdr:row>
      <xdr:rowOff>38100</xdr:rowOff>
    </xdr:from>
    <xdr:to>
      <xdr:col>11</xdr:col>
      <xdr:colOff>0</xdr:colOff>
      <xdr:row>56</xdr:row>
      <xdr:rowOff>24765</xdr:rowOff>
    </xdr:to>
    <xdr:graphicFrame macro="">
      <xdr:nvGraphicFramePr>
        <xdr:cNvPr id="7138071" name="グラフ 131">
          <a:extLst>
            <a:ext uri="{FF2B5EF4-FFF2-40B4-BE49-F238E27FC236}">
              <a16:creationId xmlns:a16="http://schemas.microsoft.com/office/drawing/2014/main" id="{00000000-0008-0000-0200-000017EB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7</xdr:col>
      <xdr:colOff>390564</xdr:colOff>
      <xdr:row>54</xdr:row>
      <xdr:rowOff>114300</xdr:rowOff>
    </xdr:from>
    <xdr:to>
      <xdr:col>10</xdr:col>
      <xdr:colOff>739295</xdr:colOff>
      <xdr:row>55</xdr:row>
      <xdr:rowOff>152400</xdr:rowOff>
    </xdr:to>
    <xdr:sp macro="" textlink="">
      <xdr:nvSpPr>
        <xdr:cNvPr id="104" name="Text Box 57">
          <a:extLst>
            <a:ext uri="{FF2B5EF4-FFF2-40B4-BE49-F238E27FC236}">
              <a16:creationId xmlns:a16="http://schemas.microsoft.com/office/drawing/2014/main" id="{00000000-0008-0000-0200-000068000000}"/>
            </a:ext>
          </a:extLst>
        </xdr:cNvPr>
        <xdr:cNvSpPr txBox="1">
          <a:spLocks noChangeArrowheads="1"/>
        </xdr:cNvSpPr>
      </xdr:nvSpPr>
      <xdr:spPr bwMode="auto">
        <a:xfrm>
          <a:off x="3838614" y="11801475"/>
          <a:ext cx="2943341"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11</xdr:col>
      <xdr:colOff>391639</xdr:colOff>
      <xdr:row>54</xdr:row>
      <xdr:rowOff>114300</xdr:rowOff>
    </xdr:from>
    <xdr:to>
      <xdr:col>14</xdr:col>
      <xdr:colOff>708208</xdr:colOff>
      <xdr:row>55</xdr:row>
      <xdr:rowOff>152400</xdr:rowOff>
    </xdr:to>
    <xdr:sp macro="" textlink="">
      <xdr:nvSpPr>
        <xdr:cNvPr id="106" name="Text Box 57">
          <a:extLst>
            <a:ext uri="{FF2B5EF4-FFF2-40B4-BE49-F238E27FC236}">
              <a16:creationId xmlns:a16="http://schemas.microsoft.com/office/drawing/2014/main" id="{00000000-0008-0000-0200-00006A000000}"/>
            </a:ext>
          </a:extLst>
        </xdr:cNvPr>
        <xdr:cNvSpPr txBox="1">
          <a:spLocks noChangeArrowheads="1"/>
        </xdr:cNvSpPr>
      </xdr:nvSpPr>
      <xdr:spPr bwMode="auto">
        <a:xfrm>
          <a:off x="7306789" y="11801475"/>
          <a:ext cx="292260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6</xdr:col>
      <xdr:colOff>503144</xdr:colOff>
      <xdr:row>29</xdr:row>
      <xdr:rowOff>48745</xdr:rowOff>
    </xdr:from>
    <xdr:to>
      <xdr:col>7</xdr:col>
      <xdr:colOff>542129</xdr:colOff>
      <xdr:row>29</xdr:row>
      <xdr:rowOff>289447</xdr:rowOff>
    </xdr:to>
    <xdr:sp macro="" textlink="">
      <xdr:nvSpPr>
        <xdr:cNvPr id="108" name="Text Box 57">
          <a:extLst>
            <a:ext uri="{FF2B5EF4-FFF2-40B4-BE49-F238E27FC236}">
              <a16:creationId xmlns:a16="http://schemas.microsoft.com/office/drawing/2014/main" id="{00000000-0008-0000-0200-00006C000000}"/>
            </a:ext>
          </a:extLst>
        </xdr:cNvPr>
        <xdr:cNvSpPr txBox="1">
          <a:spLocks noChangeArrowheads="1"/>
        </xdr:cNvSpPr>
      </xdr:nvSpPr>
      <xdr:spPr bwMode="auto">
        <a:xfrm>
          <a:off x="3446369" y="6087595"/>
          <a:ext cx="540000" cy="233082"/>
        </a:xfrm>
        <a:prstGeom prst="rect">
          <a:avLst/>
        </a:prstGeom>
        <a:noFill/>
        <a:ln>
          <a:noFill/>
        </a:ln>
      </xdr:spPr>
      <xdr:txBody>
        <a:bodyPr vertOverflow="clip" wrap="square" lIns="0" tIns="0" rIns="0" bIns="0" anchor="ctr" upright="1"/>
        <a:lstStyle/>
        <a:p>
          <a:pPr algn="r" rtl="0">
            <a:defRPr sz="1000"/>
          </a:pPr>
          <a:r>
            <a:rPr lang="ja-JP" altLang="en-US" sz="1050" b="0" i="0" u="none" strike="noStrike" baseline="0">
              <a:solidFill>
                <a:srgbClr val="000000"/>
              </a:solidFill>
              <a:latin typeface="ＭＳ Ｐゴシック"/>
              <a:ea typeface="ＭＳ Ｐゴシック"/>
            </a:rPr>
            <a:t>施策後</a:t>
          </a:r>
        </a:p>
      </xdr:txBody>
    </xdr:sp>
    <xdr:clientData/>
  </xdr:twoCellAnchor>
  <xdr:twoCellAnchor>
    <xdr:from>
      <xdr:col>7</xdr:col>
      <xdr:colOff>569203</xdr:colOff>
      <xdr:row>32</xdr:row>
      <xdr:rowOff>58497</xdr:rowOff>
    </xdr:from>
    <xdr:to>
      <xdr:col>9</xdr:col>
      <xdr:colOff>843672</xdr:colOff>
      <xdr:row>32</xdr:row>
      <xdr:rowOff>329609</xdr:rowOff>
    </xdr:to>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4017253" y="7154622"/>
          <a:ext cx="2122319"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t>温室効果ガス排出量削減率＝</a:t>
          </a:r>
        </a:p>
      </xdr:txBody>
    </xdr:sp>
    <xdr:clientData/>
  </xdr:twoCellAnchor>
  <xdr:twoCellAnchor>
    <xdr:from>
      <xdr:col>9</xdr:col>
      <xdr:colOff>485775</xdr:colOff>
      <xdr:row>23</xdr:row>
      <xdr:rowOff>38100</xdr:rowOff>
    </xdr:from>
    <xdr:to>
      <xdr:col>11</xdr:col>
      <xdr:colOff>113775</xdr:colOff>
      <xdr:row>23</xdr:row>
      <xdr:rowOff>228600</xdr:rowOff>
    </xdr:to>
    <xdr:sp macro="" textlink="">
      <xdr:nvSpPr>
        <xdr:cNvPr id="69" name="Text Box 134">
          <a:extLst>
            <a:ext uri="{FF2B5EF4-FFF2-40B4-BE49-F238E27FC236}">
              <a16:creationId xmlns:a16="http://schemas.microsoft.com/office/drawing/2014/main" id="{00000000-0008-0000-0200-000045000000}"/>
            </a:ext>
          </a:extLst>
        </xdr:cNvPr>
        <xdr:cNvSpPr txBox="1">
          <a:spLocks noChangeArrowheads="1"/>
        </xdr:cNvSpPr>
      </xdr:nvSpPr>
      <xdr:spPr bwMode="auto">
        <a:xfrm>
          <a:off x="5667375" y="4095750"/>
          <a:ext cx="1361550" cy="190500"/>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xdr:from>
      <xdr:col>9</xdr:col>
      <xdr:colOff>485775</xdr:colOff>
      <xdr:row>24</xdr:row>
      <xdr:rowOff>47627</xdr:rowOff>
    </xdr:from>
    <xdr:to>
      <xdr:col>11</xdr:col>
      <xdr:colOff>113775</xdr:colOff>
      <xdr:row>24</xdr:row>
      <xdr:rowOff>236884</xdr:rowOff>
    </xdr:to>
    <xdr:sp macro="" textlink="">
      <xdr:nvSpPr>
        <xdr:cNvPr id="76" name="Text Box 134">
          <a:extLst>
            <a:ext uri="{FF2B5EF4-FFF2-40B4-BE49-F238E27FC236}">
              <a16:creationId xmlns:a16="http://schemas.microsoft.com/office/drawing/2014/main" id="{00000000-0008-0000-0200-00004C000000}"/>
            </a:ext>
          </a:extLst>
        </xdr:cNvPr>
        <xdr:cNvSpPr txBox="1">
          <a:spLocks noChangeArrowheads="1"/>
        </xdr:cNvSpPr>
      </xdr:nvSpPr>
      <xdr:spPr bwMode="auto">
        <a:xfrm>
          <a:off x="5667375" y="4391027"/>
          <a:ext cx="1361550" cy="189257"/>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editAs="oneCell">
    <xdr:from>
      <xdr:col>1</xdr:col>
      <xdr:colOff>38100</xdr:colOff>
      <xdr:row>0</xdr:row>
      <xdr:rowOff>76200</xdr:rowOff>
    </xdr:from>
    <xdr:to>
      <xdr:col>8</xdr:col>
      <xdr:colOff>171450</xdr:colOff>
      <xdr:row>3</xdr:row>
      <xdr:rowOff>19050</xdr:rowOff>
    </xdr:to>
    <xdr:pic>
      <xdr:nvPicPr>
        <xdr:cNvPr id="7138078" name="図 56">
          <a:extLst>
            <a:ext uri="{FF2B5EF4-FFF2-40B4-BE49-F238E27FC236}">
              <a16:creationId xmlns:a16="http://schemas.microsoft.com/office/drawing/2014/main" id="{00000000-0008-0000-0200-00001EEB6C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76200"/>
          <a:ext cx="439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c:userShapes xmlns:c="http://schemas.openxmlformats.org/drawingml/2006/chart">
  <cdr:relSizeAnchor xmlns:cdr="http://schemas.openxmlformats.org/drawingml/2006/chartDrawing">
    <cdr:from>
      <cdr:x>0.07378</cdr:x>
      <cdr:y>0.44267</cdr:y>
    </cdr:from>
    <cdr:to>
      <cdr:x>0.97917</cdr:x>
      <cdr:y>0.44267</cdr:y>
    </cdr:to>
    <cdr:sp macro="" textlink="">
      <cdr:nvSpPr>
        <cdr:cNvPr id="186369" name="Line 1"/>
        <cdr:cNvSpPr>
          <a:spLocks xmlns:a="http://schemas.openxmlformats.org/drawingml/2006/main" noChangeShapeType="1"/>
        </cdr:cNvSpPr>
      </cdr:nvSpPr>
      <cdr:spPr bwMode="auto">
        <a:xfrm xmlns:a="http://schemas.openxmlformats.org/drawingml/2006/main">
          <a:off x="215746" y="695711"/>
          <a:ext cx="2647518"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1.xml><?xml version="1.0" encoding="utf-8"?>
<c:userShapes xmlns:c="http://schemas.openxmlformats.org/drawingml/2006/chart">
  <cdr:relSizeAnchor xmlns:cdr="http://schemas.openxmlformats.org/drawingml/2006/chartDrawing">
    <cdr:from>
      <cdr:x>0.20153</cdr:x>
      <cdr:y>0.10208</cdr:y>
    </cdr:from>
    <cdr:to>
      <cdr:x>0.38097</cdr:x>
      <cdr:y>0.20529</cdr:y>
    </cdr:to>
    <cdr:sp macro="" textlink="">
      <cdr:nvSpPr>
        <cdr:cNvPr id="180227" name="Text Box 1027"/>
        <cdr:cNvSpPr txBox="1">
          <a:spLocks xmlns:a="http://schemas.openxmlformats.org/drawingml/2006/main" noChangeArrowheads="1"/>
        </cdr:cNvSpPr>
      </cdr:nvSpPr>
      <cdr:spPr bwMode="auto">
        <a:xfrm xmlns:a="http://schemas.openxmlformats.org/drawingml/2006/main">
          <a:off x="586784" y="278328"/>
          <a:ext cx="524041"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S</a:t>
          </a:r>
        </a:p>
      </cdr:txBody>
    </cdr:sp>
  </cdr:relSizeAnchor>
  <cdr:relSizeAnchor xmlns:cdr="http://schemas.openxmlformats.org/drawingml/2006/chartDrawing">
    <cdr:from>
      <cdr:x>0.45788</cdr:x>
      <cdr:y>0.09846</cdr:y>
    </cdr:from>
    <cdr:to>
      <cdr:x>0.59864</cdr:x>
      <cdr:y>0.21229</cdr:y>
    </cdr:to>
    <cdr:sp macro="" textlink="">
      <cdr:nvSpPr>
        <cdr:cNvPr id="180228" name="Text Box 1028"/>
        <cdr:cNvSpPr txBox="1">
          <a:spLocks xmlns:a="http://schemas.openxmlformats.org/drawingml/2006/main" noChangeArrowheads="1"/>
        </cdr:cNvSpPr>
      </cdr:nvSpPr>
      <cdr:spPr bwMode="auto">
        <a:xfrm xmlns:a="http://schemas.openxmlformats.org/drawingml/2006/main">
          <a:off x="1332805" y="268577"/>
          <a:ext cx="409540" cy="3048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A</a:t>
          </a:r>
        </a:p>
      </cdr:txBody>
    </cdr:sp>
  </cdr:relSizeAnchor>
  <cdr:relSizeAnchor xmlns:cdr="http://schemas.openxmlformats.org/drawingml/2006/chartDrawing">
    <cdr:from>
      <cdr:x>0.69586</cdr:x>
      <cdr:y>0.09195</cdr:y>
    </cdr:from>
    <cdr:to>
      <cdr:x>0.84242</cdr:x>
      <cdr:y>0.19516</cdr:y>
    </cdr:to>
    <cdr:sp macro="" textlink="">
      <cdr:nvSpPr>
        <cdr:cNvPr id="180229" name="Text Box 1029"/>
        <cdr:cNvSpPr txBox="1">
          <a:spLocks xmlns:a="http://schemas.openxmlformats.org/drawingml/2006/main" noChangeArrowheads="1"/>
        </cdr:cNvSpPr>
      </cdr:nvSpPr>
      <cdr:spPr bwMode="auto">
        <a:xfrm xmlns:a="http://schemas.openxmlformats.org/drawingml/2006/main">
          <a:off x="2024737" y="251025"/>
          <a:ext cx="428506"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0.77108</cdr:x>
      <cdr:y>0.29911</cdr:y>
    </cdr:from>
    <cdr:to>
      <cdr:x>0.90651</cdr:x>
      <cdr:y>0.4016</cdr:y>
    </cdr:to>
    <cdr:sp macro="" textlink="">
      <cdr:nvSpPr>
        <cdr:cNvPr id="180230" name="Text Box 1030"/>
        <cdr:cNvSpPr txBox="1">
          <a:spLocks xmlns:a="http://schemas.openxmlformats.org/drawingml/2006/main" noChangeArrowheads="1"/>
        </cdr:cNvSpPr>
      </cdr:nvSpPr>
      <cdr:spPr bwMode="auto">
        <a:xfrm xmlns:a="http://schemas.openxmlformats.org/drawingml/2006/main">
          <a:off x="2243907" y="807495"/>
          <a:ext cx="390573" cy="2762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0.77181</cdr:x>
      <cdr:y>0.66567</cdr:y>
    </cdr:from>
    <cdr:to>
      <cdr:x>0.86322</cdr:x>
      <cdr:y>0.74067</cdr:y>
    </cdr:to>
    <cdr:sp macro="" textlink="">
      <cdr:nvSpPr>
        <cdr:cNvPr id="180231" name="Text Box 1031"/>
        <cdr:cNvSpPr txBox="1">
          <a:spLocks xmlns:a="http://schemas.openxmlformats.org/drawingml/2006/main" noChangeArrowheads="1"/>
        </cdr:cNvSpPr>
      </cdr:nvSpPr>
      <cdr:spPr bwMode="auto">
        <a:xfrm xmlns:a="http://schemas.openxmlformats.org/drawingml/2006/main">
          <a:off x="2246015" y="1791718"/>
          <a:ext cx="266938" cy="2002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C</a:t>
          </a:r>
        </a:p>
      </cdr:txBody>
    </cdr:sp>
  </cdr:relSizeAnchor>
  <cdr:relSizeAnchor xmlns:cdr="http://schemas.openxmlformats.org/drawingml/2006/chartDrawing">
    <cdr:from>
      <cdr:x>0.38096</cdr:x>
      <cdr:y>0.01486</cdr:y>
    </cdr:from>
    <cdr:to>
      <cdr:x>0.45235</cdr:x>
      <cdr:y>0.09813</cdr:y>
    </cdr:to>
    <cdr:sp macro="" textlink="">
      <cdr:nvSpPr>
        <cdr:cNvPr id="180232" name="Text Box 1032"/>
        <cdr:cNvSpPr txBox="1">
          <a:spLocks xmlns:a="http://schemas.openxmlformats.org/drawingml/2006/main" noChangeArrowheads="1"/>
        </cdr:cNvSpPr>
      </cdr:nvSpPr>
      <cdr:spPr bwMode="auto">
        <a:xfrm xmlns:a="http://schemas.openxmlformats.org/drawingml/2006/main">
          <a:off x="1102903" y="39311"/>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3.0</a:t>
          </a:r>
        </a:p>
      </cdr:txBody>
    </cdr:sp>
  </cdr:relSizeAnchor>
  <cdr:relSizeAnchor xmlns:cdr="http://schemas.openxmlformats.org/drawingml/2006/chartDrawing">
    <cdr:from>
      <cdr:x>0.91968</cdr:x>
      <cdr:y>0.43581</cdr:y>
    </cdr:from>
    <cdr:to>
      <cdr:x>0.99107</cdr:x>
      <cdr:y>0.51908</cdr:y>
    </cdr:to>
    <cdr:sp macro="" textlink="">
      <cdr:nvSpPr>
        <cdr:cNvPr id="180233" name="Text Box 1033"/>
        <cdr:cNvSpPr txBox="1">
          <a:spLocks xmlns:a="http://schemas.openxmlformats.org/drawingml/2006/main" noChangeArrowheads="1"/>
        </cdr:cNvSpPr>
      </cdr:nvSpPr>
      <cdr:spPr bwMode="auto">
        <a:xfrm xmlns:a="http://schemas.openxmlformats.org/drawingml/2006/main">
          <a:off x="2662518" y="1153022"/>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0.5</a:t>
          </a:r>
        </a:p>
      </cdr:txBody>
    </cdr:sp>
  </cdr:relSizeAnchor>
  <cdr:relSizeAnchor xmlns:cdr="http://schemas.openxmlformats.org/drawingml/2006/chartDrawing">
    <cdr:from>
      <cdr:x>0.62522</cdr:x>
      <cdr:y>0.01848</cdr:y>
    </cdr:from>
    <cdr:to>
      <cdr:x>0.69661</cdr:x>
      <cdr:y>0.10175</cdr:y>
    </cdr:to>
    <cdr:sp macro="" textlink="">
      <cdr:nvSpPr>
        <cdr:cNvPr id="180234" name="Text Box 1034"/>
        <cdr:cNvSpPr txBox="1">
          <a:spLocks xmlns:a="http://schemas.openxmlformats.org/drawingml/2006/main" noChangeArrowheads="1"/>
        </cdr:cNvSpPr>
      </cdr:nvSpPr>
      <cdr:spPr bwMode="auto">
        <a:xfrm xmlns:a="http://schemas.openxmlformats.org/drawingml/2006/main">
          <a:off x="1810045" y="48889"/>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1.5</a:t>
          </a:r>
        </a:p>
      </cdr:txBody>
    </cdr:sp>
  </cdr:relSizeAnchor>
  <cdr:relSizeAnchor xmlns:cdr="http://schemas.openxmlformats.org/drawingml/2006/chartDrawing">
    <cdr:from>
      <cdr:x>0.77874</cdr:x>
      <cdr:y>0.01486</cdr:y>
    </cdr:from>
    <cdr:to>
      <cdr:x>0.96072</cdr:x>
      <cdr:y>0.09813</cdr:y>
    </cdr:to>
    <cdr:sp macro="" textlink="">
      <cdr:nvSpPr>
        <cdr:cNvPr id="180235" name="Text Box 1035"/>
        <cdr:cNvSpPr txBox="1">
          <a:spLocks xmlns:a="http://schemas.openxmlformats.org/drawingml/2006/main" noChangeArrowheads="1"/>
        </cdr:cNvSpPr>
      </cdr:nvSpPr>
      <cdr:spPr bwMode="auto">
        <a:xfrm xmlns:a="http://schemas.openxmlformats.org/drawingml/2006/main">
          <a:off x="2254497" y="39311"/>
          <a:ext cx="526811"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BEE=1.0</a:t>
          </a:r>
        </a:p>
      </cdr:txBody>
    </cdr:sp>
  </cdr:relSizeAnchor>
</c:userShapes>
</file>

<file path=xl/drawings/drawing22.xml><?xml version="1.0" encoding="utf-8"?>
<c:userShapes xmlns:c="http://schemas.openxmlformats.org/drawingml/2006/chart">
  <cdr:relSizeAnchor xmlns:cdr="http://schemas.openxmlformats.org/drawingml/2006/chartDrawing">
    <cdr:from>
      <cdr:x>0.08161</cdr:x>
      <cdr:y>0.43914</cdr:y>
    </cdr:from>
    <cdr:to>
      <cdr:x>0.98276</cdr:x>
      <cdr:y>0.43914</cdr:y>
    </cdr:to>
    <cdr:sp macro="" textlink="">
      <cdr:nvSpPr>
        <cdr:cNvPr id="185345" name="Line 1"/>
        <cdr:cNvSpPr>
          <a:spLocks xmlns:a="http://schemas.openxmlformats.org/drawingml/2006/main" noChangeShapeType="1"/>
        </cdr:cNvSpPr>
      </cdr:nvSpPr>
      <cdr:spPr bwMode="auto">
        <a:xfrm xmlns:a="http://schemas.openxmlformats.org/drawingml/2006/main" flipV="1">
          <a:off x="264555" y="694346"/>
          <a:ext cx="3049164"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3.xml><?xml version="1.0" encoding="utf-8"?>
<c:userShapes xmlns:c="http://schemas.openxmlformats.org/drawingml/2006/chart">
  <cdr:relSizeAnchor xmlns:cdr="http://schemas.openxmlformats.org/drawingml/2006/chartDrawing">
    <cdr:from>
      <cdr:x>0.05469</cdr:x>
      <cdr:y>0.44942</cdr:y>
    </cdr:from>
    <cdr:to>
      <cdr:x>0.96748</cdr:x>
      <cdr:y>0.44942</cdr:y>
    </cdr:to>
    <cdr:sp macro="" textlink="">
      <cdr:nvSpPr>
        <cdr:cNvPr id="187393" name="Line 1"/>
        <cdr:cNvSpPr>
          <a:spLocks xmlns:a="http://schemas.openxmlformats.org/drawingml/2006/main" noChangeShapeType="1"/>
        </cdr:cNvSpPr>
      </cdr:nvSpPr>
      <cdr:spPr bwMode="auto">
        <a:xfrm xmlns:a="http://schemas.openxmlformats.org/drawingml/2006/main" flipV="1">
          <a:off x="177337" y="702036"/>
          <a:ext cx="2959796"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4.xml><?xml version="1.0" encoding="utf-8"?>
<xdr:wsDr xmlns:xdr="http://schemas.openxmlformats.org/drawingml/2006/spreadsheetDrawing" xmlns:a="http://schemas.openxmlformats.org/drawingml/2006/main">
  <xdr:twoCellAnchor>
    <xdr:from>
      <xdr:col>6</xdr:col>
      <xdr:colOff>171450</xdr:colOff>
      <xdr:row>0</xdr:row>
      <xdr:rowOff>0</xdr:rowOff>
    </xdr:from>
    <xdr:to>
      <xdr:col>16</xdr:col>
      <xdr:colOff>323850</xdr:colOff>
      <xdr:row>35</xdr:row>
      <xdr:rowOff>123825</xdr:rowOff>
    </xdr:to>
    <xdr:sp macro="" textlink="">
      <xdr:nvSpPr>
        <xdr:cNvPr id="2" name="Text Box 2">
          <a:extLst>
            <a:ext uri="{FF2B5EF4-FFF2-40B4-BE49-F238E27FC236}">
              <a16:creationId xmlns:a16="http://schemas.microsoft.com/office/drawing/2014/main" id="{00000000-0008-0000-1000-000002000000}"/>
            </a:ext>
          </a:extLst>
        </xdr:cNvPr>
        <xdr:cNvSpPr txBox="1">
          <a:spLocks noChangeArrowheads="1"/>
        </xdr:cNvSpPr>
      </xdr:nvSpPr>
      <xdr:spPr bwMode="auto">
        <a:xfrm>
          <a:off x="4286250" y="0"/>
          <a:ext cx="70104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Microsoft Excel 2016</a:t>
          </a:r>
          <a:r>
            <a:rPr lang="ja-JP" altLang="en-US" sz="1100" b="0" i="0" u="none" strike="noStrike" baseline="0">
              <a:solidFill>
                <a:srgbClr val="000000"/>
              </a:solidFill>
              <a:latin typeface="ＭＳ Ｐゴシック"/>
              <a:ea typeface="ＭＳ Ｐゴシック"/>
            </a:rPr>
            <a:t>版 および </a:t>
          </a:r>
          <a:r>
            <a:rPr lang="en-US" altLang="ja-JP" sz="1100" b="0" i="0" u="none" strike="noStrike" baseline="0">
              <a:solidFill>
                <a:srgbClr val="000000"/>
              </a:solidFill>
              <a:latin typeface="ＭＳ Ｐゴシック"/>
              <a:ea typeface="ＭＳ Ｐゴシック"/>
            </a:rPr>
            <a:t>Microsoft 365</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-UD</a:t>
          </a:r>
          <a:r>
            <a:rPr lang="ja-JP" altLang="en-US" sz="1100" b="0" i="0" u="none" strike="noStrike" baseline="0">
              <a:solidFill>
                <a:srgbClr val="000000"/>
              </a:solidFill>
              <a:latin typeface="ＭＳ Ｐゴシック"/>
              <a:ea typeface="ＭＳ Ｐゴシック"/>
            </a:rPr>
            <a:t>_20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年版(v.</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月発行</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ソフト開発者　 一般社団法人</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a:t>
          </a:r>
          <a:r>
            <a:rPr lang="ja-JP" altLang="ja-JP" sz="1000">
              <a:effectLst/>
              <a:latin typeface="+mn-lt"/>
              <a:ea typeface="+mn-ea"/>
              <a:cs typeface="+mn-cs"/>
            </a:rPr>
            <a:t>住宅・建築</a:t>
          </a:r>
          <a:r>
            <a:rPr lang="en-US" altLang="ja-JP" sz="1000">
              <a:effectLst/>
              <a:latin typeface="+mn-lt"/>
              <a:ea typeface="+mn-ea"/>
              <a:cs typeface="+mn-cs"/>
            </a:rPr>
            <a:t> SDGs </a:t>
          </a:r>
          <a:r>
            <a:rPr lang="ja-JP" altLang="ja-JP" sz="1000">
              <a:effectLst/>
              <a:latin typeface="+mn-lt"/>
              <a:ea typeface="+mn-ea"/>
              <a:cs typeface="+mn-cs"/>
            </a:rPr>
            <a:t>推進センター</a:t>
          </a:r>
          <a:r>
            <a:rPr lang="en-US" altLang="ja-JP" sz="1000">
              <a:effectLst/>
              <a:latin typeface="+mn-lt"/>
              <a:ea typeface="+mn-ea"/>
              <a:cs typeface="+mn-cs"/>
            </a:rPr>
            <a:t> </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IBECs</a:t>
          </a: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一般社団法人　日本サステナブル建築協会</a:t>
          </a:r>
        </a:p>
        <a:p>
          <a:r>
            <a:rPr lang="ja-JP" altLang="en-US" sz="1100" b="0" i="0" u="none" strike="noStrike" baseline="0">
              <a:solidFill>
                <a:srgbClr val="000000"/>
              </a:solidFill>
              <a:latin typeface="ＭＳ Ｐゴシック"/>
              <a:ea typeface="ＭＳ Ｐゴシック"/>
            </a:rPr>
            <a:t>　　　　　〒102-0083　</a:t>
          </a:r>
          <a:r>
            <a:rPr lang="ja-JP" altLang="ja-JP" sz="1100">
              <a:effectLst/>
              <a:latin typeface="+mn-lt"/>
              <a:ea typeface="+mn-ea"/>
              <a:cs typeface="+mn-cs"/>
            </a:rPr>
            <a:t>東京都千代田区平河町</a:t>
          </a:r>
          <a:r>
            <a:rPr lang="en-US" altLang="ja-JP" sz="1100">
              <a:effectLst/>
              <a:latin typeface="+mn-lt"/>
              <a:ea typeface="+mn-ea"/>
              <a:cs typeface="+mn-cs"/>
            </a:rPr>
            <a:t>2-8-9</a:t>
          </a:r>
          <a:r>
            <a:rPr lang="ja-JP" altLang="ja-JP" sz="1100">
              <a:effectLst/>
              <a:latin typeface="+mn-lt"/>
              <a:ea typeface="+mn-ea"/>
              <a:cs typeface="+mn-cs"/>
            </a:rPr>
            <a:t>　</a:t>
          </a:r>
          <a:r>
            <a:rPr lang="en-US" altLang="ja-JP" sz="1100">
              <a:effectLst/>
              <a:latin typeface="+mn-lt"/>
              <a:ea typeface="+mn-ea"/>
              <a:cs typeface="+mn-cs"/>
            </a:rPr>
            <a:t>HB</a:t>
          </a:r>
          <a:r>
            <a:rPr lang="ja-JP" altLang="ja-JP" sz="1100">
              <a:effectLst/>
              <a:latin typeface="+mn-lt"/>
              <a:ea typeface="+mn-ea"/>
              <a:cs typeface="+mn-cs"/>
            </a:rPr>
            <a:t>平河町ビル</a:t>
          </a:r>
          <a:endParaRPr lang="en-US" altLang="ja-JP" sz="1100">
            <a:effectLst/>
            <a:latin typeface="+mn-lt"/>
            <a:ea typeface="+mn-ea"/>
            <a:cs typeface="+mn-cs"/>
          </a:endParaRPr>
        </a:p>
        <a:p>
          <a:r>
            <a:rPr lang="ja-JP" altLang="en-US" sz="1100" b="0" i="0" u="none" strike="noStrike" baseline="0">
              <a:solidFill>
                <a:srgbClr val="000000"/>
              </a:solidFill>
              <a:latin typeface="ＭＳ Ｐゴシック"/>
              <a:ea typeface="ＭＳ Ｐゴシック"/>
            </a:rPr>
            <a:t>　　　　　E-Mail  casbee-info@jsbc.or.jp</a:t>
          </a:r>
        </a:p>
        <a:p>
          <a:pPr algn="l" rtl="0">
            <a:lnSpc>
              <a:spcPts val="1200"/>
            </a:lnSpc>
            <a:defRPr sz="1000"/>
          </a:pPr>
          <a:r>
            <a:rPr lang="ja-JP" altLang="en-US" sz="1100" b="0" i="0" u="none" strike="noStrike" baseline="0">
              <a:solidFill>
                <a:srgbClr val="000000"/>
              </a:solidFill>
              <a:latin typeface="ＭＳ Ｐゴシック"/>
              <a:ea typeface="ＭＳ Ｐゴシック"/>
            </a:rPr>
            <a:t>　　　　　URL　http://www.jsbc.or.jp/CASBEE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Copyright ©20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twoCellAnchor>
    <xdr:from>
      <xdr:col>0</xdr:col>
      <xdr:colOff>0</xdr:colOff>
      <xdr:row>0</xdr:row>
      <xdr:rowOff>0</xdr:rowOff>
    </xdr:from>
    <xdr:to>
      <xdr:col>6</xdr:col>
      <xdr:colOff>38100</xdr:colOff>
      <xdr:row>35</xdr:row>
      <xdr:rowOff>123825</xdr:rowOff>
    </xdr:to>
    <xdr:sp macro="" textlink="">
      <xdr:nvSpPr>
        <xdr:cNvPr id="3" name="Text Box 3">
          <a:extLst>
            <a:ext uri="{FF2B5EF4-FFF2-40B4-BE49-F238E27FC236}">
              <a16:creationId xmlns:a16="http://schemas.microsoft.com/office/drawing/2014/main" id="{00000000-0008-0000-1000-000003000000}"/>
            </a:ext>
          </a:extLst>
        </xdr:cNvPr>
        <xdr:cNvSpPr txBox="1">
          <a:spLocks noChangeArrowheads="1"/>
        </xdr:cNvSpPr>
      </xdr:nvSpPr>
      <xdr:spPr bwMode="auto">
        <a:xfrm>
          <a:off x="0" y="0"/>
          <a:ext cx="41529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a:t>
          </a:r>
          <a:r>
            <a:rPr lang="en-US" altLang="ja-JP" sz="1100" b="0" i="0" u="none" strike="noStrike" baseline="0">
              <a:solidFill>
                <a:srgbClr val="000000"/>
              </a:solidFill>
              <a:latin typeface="ＭＳ Ｐゴシック"/>
              <a:ea typeface="ＭＳ Ｐゴシック"/>
            </a:rPr>
            <a:t>Windows</a:t>
          </a:r>
          <a:r>
            <a:rPr lang="ja-JP" altLang="en-US" sz="1100" b="0" i="0" u="none" strike="noStrike" baseline="0">
              <a:solidFill>
                <a:srgbClr val="000000"/>
              </a:solidFill>
              <a:latin typeface="ＭＳ Ｐゴシック"/>
              <a:ea typeface="ＭＳ Ｐゴシック"/>
            </a:rPr>
            <a:t>版Microsoft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 (2)'!$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ea typeface="ＭＳ Ｐゴシック"/>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 (2)'!$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 (2)'!$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 (2)'!$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 (2)'!$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 (2)'!$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 (2)'!$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 (2)'!$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 (2)'!$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 (2)'!$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 (2)'!$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 (2)'!$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 (2)'!$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 (2)'!$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cs typeface="Arial"/>
            </a:rPr>
            <a:pPr algn="ctr"/>
            <a:t> </a:t>
          </a:fld>
          <a:endParaRPr lang="ja-JP" altLang="en-US" sz="800"/>
        </a:p>
      </cdr:txBody>
    </cdr:sp>
  </cdr:relSizeAnchor>
</c:userShapes>
</file>

<file path=xl/drawings/drawing6.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 (2)'!$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 (2)'!$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 (2)'!$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 (2)'!$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cs typeface="Arial"/>
            </a:rPr>
            <a:pPr algn="ctr"/>
            <a:t> </a:t>
          </a:fld>
          <a:endParaRPr lang="ja-JP" altLang="en-US" sz="900"/>
        </a:p>
      </cdr:txBody>
    </cdr:sp>
  </cdr:relSizeAnchor>
</c:userShapes>
</file>

<file path=xl/drawings/drawing7.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 (2)'!$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 (2)'!$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 (2)'!$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 (2)'!$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 (2)'!$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 (2)'!$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 (2)'!$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 (2)'!$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 (2)'!$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 (2)'!$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IBECSV2\jsbc&#30740;&#31350;&#38283;&#30330;&#37096;\05_CASBEE\3_&#9733;&#22996;&#21729;&#20250;&#36039;&#26009;\15_CASBEE&#34903;&#21306;\&#35413;&#20385;&#12510;&#12491;&#12517;&#12450;&#12523;\&#9734;2023&#12510;&#12491;&#12517;&#12450;&#12523;&#25913;&#35330;&#20316;&#26989;\CASBEE-&#27700;&#20351;&#29992;&#37327;&#31639;&#23450;&#12471;&#12540;&#12488;.xlsx" TargetMode="External"/><Relationship Id="rId1" Type="http://schemas.openxmlformats.org/officeDocument/2006/relationships/externalLinkPath" Target="https://d.docs.live.net/5a629a05c964812f/&#12489;&#12461;&#12517;&#12513;&#12531;&#12488;/JSBC/CASBEE&#38283;&#30330;/CASBEE&#34903;&#21306;&#12477;&#12501;&#12488;/CASBEE-&#27700;&#20351;&#29992;&#37327;&#31639;&#23450;&#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DGs結果表示"/>
      <sheetName val="クレジット"/>
    </sheetNames>
    <sheetDataSet>
      <sheetData sheetId="0">
        <row r="1">
          <cell r="A1" t="e">
            <v>#REF!</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300B-0CCD-4AC0-8DEB-47F98E1886BF}">
  <sheetPr>
    <pageSetUpPr fitToPage="1"/>
  </sheetPr>
  <dimension ref="A1:AL212"/>
  <sheetViews>
    <sheetView showGridLines="0" zoomScaleNormal="100" workbookViewId="0">
      <selection activeCell="C21" sqref="C21"/>
    </sheetView>
  </sheetViews>
  <sheetFormatPr defaultColWidth="9" defaultRowHeight="13.9" customHeight="1"/>
  <cols>
    <col min="1" max="1" width="0.75" style="62" customWidth="1"/>
    <col min="2" max="2" width="2.125" style="85" customWidth="1"/>
    <col min="3" max="3" width="15.875" style="85" customWidth="1"/>
    <col min="4" max="4" width="5.375" style="86" customWidth="1"/>
    <col min="5" max="5" width="9.75" style="83" customWidth="1"/>
    <col min="6" max="6" width="6.25" style="65" customWidth="1"/>
    <col min="7" max="7" width="7" style="65" customWidth="1"/>
    <col min="8" max="8" width="13.125" style="65" customWidth="1"/>
    <col min="9" max="9" width="6.875" style="81" customWidth="1"/>
    <col min="10" max="10" width="12.125" style="81" customWidth="1"/>
    <col min="11" max="12" width="11.875" style="65" customWidth="1"/>
    <col min="13" max="13" width="11.75" style="63" customWidth="1"/>
    <col min="14" max="14" width="8.625" style="63" customWidth="1"/>
    <col min="15" max="15" width="11.5" style="63" customWidth="1"/>
    <col min="16" max="16" width="0.75" style="62" customWidth="1"/>
    <col min="17" max="17" width="4.375" style="62" bestFit="1" customWidth="1"/>
    <col min="18" max="18" width="22.875" style="59" bestFit="1" customWidth="1"/>
    <col min="19" max="19" width="20.625" style="642" bestFit="1" customWidth="1"/>
    <col min="20" max="20" width="16.875" style="59" bestFit="1" customWidth="1"/>
    <col min="21" max="21" width="15" style="59" bestFit="1" customWidth="1"/>
    <col min="22" max="22" width="28.875" style="59" bestFit="1" customWidth="1"/>
    <col min="23" max="23" width="11.625" style="59" bestFit="1" customWidth="1"/>
    <col min="24" max="24" width="224.5" style="59" bestFit="1" customWidth="1"/>
    <col min="25" max="25" width="20.625" style="59" bestFit="1" customWidth="1"/>
    <col min="26" max="26" width="19.625" style="59" bestFit="1" customWidth="1"/>
    <col min="27" max="27" width="5" style="59" bestFit="1" customWidth="1"/>
    <col min="28" max="28" width="5.625" style="59" hidden="1" customWidth="1"/>
    <col min="29" max="29" width="22.875" style="59" bestFit="1" customWidth="1"/>
    <col min="30" max="30" width="14.875" style="59" bestFit="1" customWidth="1"/>
    <col min="31" max="31" width="5.625" style="59" hidden="1" customWidth="1"/>
    <col min="32" max="32" width="6.125" style="59" bestFit="1" customWidth="1"/>
    <col min="33" max="38" width="5.625" style="59" hidden="1" customWidth="1"/>
    <col min="39" max="41" width="5.625" style="59" customWidth="1"/>
    <col min="42" max="47" width="9" style="59" customWidth="1"/>
    <col min="48" max="16384" width="9" style="59"/>
  </cols>
  <sheetData>
    <row r="1" spans="2:27" customFormat="1" ht="13.9" customHeight="1" thickBot="1"/>
    <row r="2" spans="2:27" ht="13.9" customHeight="1" thickTop="1">
      <c r="B2"/>
      <c r="C2"/>
      <c r="D2"/>
      <c r="E2"/>
      <c r="F2"/>
      <c r="G2"/>
      <c r="H2"/>
      <c r="I2"/>
      <c r="J2"/>
      <c r="K2"/>
      <c r="L2"/>
      <c r="M2"/>
      <c r="N2"/>
      <c r="O2"/>
      <c r="Q2" s="1289" t="s">
        <v>70</v>
      </c>
      <c r="S2" s="59"/>
    </row>
    <row r="3" spans="2:27" ht="13.9" customHeight="1">
      <c r="B3"/>
      <c r="C3"/>
      <c r="D3"/>
      <c r="E3"/>
      <c r="F3"/>
      <c r="G3"/>
      <c r="H3"/>
      <c r="I3"/>
      <c r="J3"/>
      <c r="K3"/>
      <c r="L3"/>
      <c r="M3"/>
      <c r="N3"/>
      <c r="O3"/>
      <c r="Q3" s="1290"/>
      <c r="S3" s="59"/>
    </row>
    <row r="4" spans="2:27" ht="13.9" customHeight="1">
      <c r="B4"/>
      <c r="C4"/>
      <c r="D4"/>
      <c r="E4"/>
      <c r="F4"/>
      <c r="G4"/>
      <c r="H4"/>
      <c r="I4"/>
      <c r="J4"/>
      <c r="K4"/>
      <c r="L4"/>
      <c r="M4"/>
      <c r="N4"/>
      <c r="O4"/>
      <c r="Q4" s="1290"/>
      <c r="S4" s="59"/>
    </row>
    <row r="5" spans="2:27" ht="13.9" customHeight="1" thickBot="1">
      <c r="B5" s="548"/>
      <c r="C5" s="549"/>
      <c r="D5" s="546"/>
      <c r="E5" s="547"/>
      <c r="F5" s="169"/>
      <c r="G5" s="169"/>
      <c r="H5" s="169"/>
      <c r="I5" s="550"/>
      <c r="J5" s="321" t="s">
        <v>71</v>
      </c>
      <c r="K5" s="322" t="str">
        <f>メイン!C6</f>
        <v>CASBEE-街区（2023年版）</v>
      </c>
      <c r="L5" s="55"/>
      <c r="M5" s="321"/>
      <c r="N5" s="319"/>
      <c r="O5" s="323" t="str">
        <f>メイン!C5</f>
        <v>CASBEE-UD_2023版(v.1.0)</v>
      </c>
      <c r="Q5" s="1291"/>
      <c r="R5" s="551" t="s">
        <v>74</v>
      </c>
      <c r="S5" s="59"/>
      <c r="U5" s="551" t="s">
        <v>75</v>
      </c>
    </row>
    <row r="6" spans="2:27" ht="5.45" customHeight="1" thickTop="1" thickBot="1">
      <c r="B6" s="552"/>
      <c r="J6" s="553"/>
      <c r="K6" s="553"/>
      <c r="L6" s="554"/>
      <c r="M6" s="83"/>
      <c r="N6" s="83"/>
      <c r="O6" s="83"/>
      <c r="S6" s="59"/>
    </row>
    <row r="7" spans="2:27" ht="15" customHeight="1" thickBot="1">
      <c r="B7" s="160" t="s">
        <v>72</v>
      </c>
      <c r="C7" s="111"/>
      <c r="D7" s="112"/>
      <c r="E7" s="111"/>
      <c r="F7" s="111"/>
      <c r="G7" s="111"/>
      <c r="H7" s="111"/>
      <c r="I7" s="111"/>
      <c r="J7" s="111"/>
      <c r="K7" s="111"/>
      <c r="L7" s="220" t="s">
        <v>73</v>
      </c>
      <c r="M7" s="60"/>
      <c r="N7" s="60"/>
      <c r="O7" s="61"/>
      <c r="R7" s="555" t="s">
        <v>78</v>
      </c>
      <c r="S7" s="706">
        <f>スコア!V7</f>
        <v>3.0723104056437389</v>
      </c>
      <c r="U7" s="339"/>
      <c r="V7" s="339" t="s">
        <v>79</v>
      </c>
      <c r="W7" s="339" t="s">
        <v>173</v>
      </c>
      <c r="X7" s="339">
        <v>4</v>
      </c>
      <c r="Y7" s="339">
        <v>2</v>
      </c>
      <c r="Z7" s="339" t="s">
        <v>144</v>
      </c>
      <c r="AA7" s="555" t="s">
        <v>174</v>
      </c>
    </row>
    <row r="8" spans="2:27" ht="15" customHeight="1">
      <c r="B8" s="161" t="s">
        <v>76</v>
      </c>
      <c r="C8" s="202"/>
      <c r="D8" s="425" t="str">
        <f>IF(メイン!C10="","",メイン!C10)</f>
        <v>Aプロジェクト</v>
      </c>
      <c r="E8" s="162"/>
      <c r="F8" s="162"/>
      <c r="G8" s="201"/>
      <c r="H8" s="255" t="s">
        <v>77</v>
      </c>
      <c r="I8" s="254"/>
      <c r="J8" s="421" t="str">
        <f>IF(メイン!C26="","",メイン!C26)</f>
        <v>第一種市街地再開発事業</v>
      </c>
      <c r="K8" s="273"/>
      <c r="L8" s="290"/>
      <c r="M8" s="290"/>
      <c r="N8" s="290"/>
      <c r="O8" s="291"/>
      <c r="R8" s="555" t="s">
        <v>175</v>
      </c>
      <c r="S8" s="706">
        <f>スコア!V99</f>
        <v>2.9012345679012341</v>
      </c>
      <c r="U8" s="339" t="s">
        <v>84</v>
      </c>
      <c r="V8" s="339" t="str">
        <f>スコア!B41</f>
        <v>Q-2 社会</v>
      </c>
      <c r="W8" s="339">
        <v>5</v>
      </c>
      <c r="X8" s="339">
        <v>4</v>
      </c>
      <c r="Y8" s="339">
        <v>2</v>
      </c>
      <c r="Z8" s="339">
        <f>V46</f>
        <v>3</v>
      </c>
      <c r="AA8" s="555">
        <v>3</v>
      </c>
    </row>
    <row r="9" spans="2:27" ht="15" customHeight="1">
      <c r="B9" s="20" t="s">
        <v>81</v>
      </c>
      <c r="C9" s="203"/>
      <c r="D9" s="426" t="str">
        <f>IF(メイン!C11="","",メイン!C11)</f>
        <v>東京都千代田区</v>
      </c>
      <c r="E9" s="19"/>
      <c r="F9" s="21"/>
      <c r="G9" s="124"/>
      <c r="H9" s="67" t="s">
        <v>82</v>
      </c>
      <c r="I9" s="19"/>
      <c r="J9" s="1292" t="str">
        <f>ROUND(メイン!C28,0)&amp;"%  ／ "&amp;ROUND(メイン!C29,0)&amp;"%"</f>
        <v>100%  ／ 760%</v>
      </c>
      <c r="K9" s="1293"/>
      <c r="L9" s="282"/>
      <c r="M9" s="282"/>
      <c r="N9" s="282"/>
      <c r="O9" s="283"/>
      <c r="R9" s="452" t="s">
        <v>89</v>
      </c>
      <c r="S9" s="452">
        <f>25*(S7-1)</f>
        <v>51.807760141093475</v>
      </c>
      <c r="U9" s="339" t="s">
        <v>90</v>
      </c>
      <c r="V9" s="339" t="str">
        <f>スコア!B74</f>
        <v>Q-3 経済</v>
      </c>
      <c r="W9" s="339">
        <v>5</v>
      </c>
      <c r="X9" s="339">
        <v>4</v>
      </c>
      <c r="Y9" s="339">
        <v>2</v>
      </c>
      <c r="Z9" s="339">
        <f>Y46</f>
        <v>3.1</v>
      </c>
      <c r="AA9" s="555">
        <v>3</v>
      </c>
    </row>
    <row r="10" spans="2:27" ht="15" customHeight="1">
      <c r="B10" s="20" t="s">
        <v>86</v>
      </c>
      <c r="C10" s="203"/>
      <c r="D10" s="270">
        <f>IF(メイン!C30="","",メイン!C30)</f>
        <v>5</v>
      </c>
      <c r="E10" s="427" t="s">
        <v>87</v>
      </c>
      <c r="F10" s="59"/>
      <c r="G10" s="59"/>
      <c r="H10" s="209" t="s">
        <v>88</v>
      </c>
      <c r="I10" s="62"/>
      <c r="J10" s="1294" t="str">
        <f>メイン!C31&amp;"ha"</f>
        <v>2.5ha</v>
      </c>
      <c r="K10" s="1295"/>
      <c r="L10" s="282"/>
      <c r="M10" s="282"/>
      <c r="N10" s="282"/>
      <c r="O10" s="283"/>
      <c r="R10" s="452" t="s">
        <v>94</v>
      </c>
      <c r="S10" s="452">
        <f>25*(5-S8)</f>
        <v>52.469135802469147</v>
      </c>
      <c r="U10" s="339" t="s">
        <v>176</v>
      </c>
      <c r="V10" s="339" t="str">
        <f>スコア!B127</f>
        <v>LR-3 周辺環境</v>
      </c>
      <c r="W10" s="339">
        <v>5</v>
      </c>
      <c r="X10" s="339">
        <v>4</v>
      </c>
      <c r="Y10" s="339">
        <v>2</v>
      </c>
      <c r="Z10" s="339">
        <f>Y57</f>
        <v>2.6</v>
      </c>
      <c r="AA10" s="555">
        <v>3</v>
      </c>
    </row>
    <row r="11" spans="2:27" ht="15" customHeight="1">
      <c r="B11" s="20" t="s">
        <v>92</v>
      </c>
      <c r="C11" s="204"/>
      <c r="D11" s="1299">
        <f>IF(メイン!C12="","",メイン!C12)</f>
        <v>45292</v>
      </c>
      <c r="E11" s="1300"/>
      <c r="F11" s="137">
        <f>メイン!E13</f>
        <v>0</v>
      </c>
      <c r="G11" s="210"/>
      <c r="H11" s="209" t="s">
        <v>93</v>
      </c>
      <c r="I11" s="212"/>
      <c r="J11" s="1301" t="str">
        <f>ROUND(メイン!C32,0)&amp;"㎡  ／ "&amp;ROUND(メイン!C33,0)&amp;"%"</f>
        <v>16000㎡  ／ 64%</v>
      </c>
      <c r="K11" s="1302"/>
      <c r="L11" s="282"/>
      <c r="M11" s="282"/>
      <c r="N11" s="282"/>
      <c r="O11" s="283"/>
      <c r="R11" s="452" t="s">
        <v>100</v>
      </c>
      <c r="S11" s="452">
        <f>S9/S10</f>
        <v>0.9873949579831931</v>
      </c>
      <c r="U11" s="339" t="s">
        <v>177</v>
      </c>
      <c r="V11" s="339" t="str">
        <f>スコア!B107</f>
        <v>LR-2 資源</v>
      </c>
      <c r="W11" s="339">
        <v>5</v>
      </c>
      <c r="X11" s="339">
        <v>4</v>
      </c>
      <c r="Y11" s="339">
        <v>2</v>
      </c>
      <c r="Z11" s="339">
        <f>V57</f>
        <v>3</v>
      </c>
      <c r="AA11" s="555">
        <v>3</v>
      </c>
    </row>
    <row r="12" spans="2:27" ht="15" customHeight="1">
      <c r="B12" s="20" t="s">
        <v>97</v>
      </c>
      <c r="C12" s="204"/>
      <c r="D12" s="424" t="s">
        <v>98</v>
      </c>
      <c r="E12" s="256" t="str">
        <f>IF(メイン!C15=0,"",メイン!C15)</f>
        <v>商業地域、防火地域</v>
      </c>
      <c r="F12" s="256"/>
      <c r="G12" s="264"/>
      <c r="H12" s="258" t="s">
        <v>99</v>
      </c>
      <c r="I12" s="259"/>
      <c r="J12" s="1308" t="str">
        <f>ROUND(メイン!C34,0)&amp;"㎡  ／ "&amp;ROUND(メイン!C35,0)&amp;"%"</f>
        <v>200000㎡  ／ 800%</v>
      </c>
      <c r="K12" s="1309"/>
      <c r="L12" s="282"/>
      <c r="M12" s="282"/>
      <c r="N12" s="282"/>
      <c r="O12" s="283"/>
      <c r="R12" s="452" t="s">
        <v>106</v>
      </c>
      <c r="S12" s="559">
        <f>ROUNDDOWN(S11,1)</f>
        <v>0.9</v>
      </c>
      <c r="U12" s="339" t="s">
        <v>178</v>
      </c>
      <c r="V12" s="339" t="str">
        <f>スコア!B100</f>
        <v>LR-1 エネルギー</v>
      </c>
      <c r="W12" s="339">
        <v>5</v>
      </c>
      <c r="X12" s="339">
        <v>4</v>
      </c>
      <c r="Y12" s="339">
        <v>2</v>
      </c>
      <c r="Z12" s="339">
        <f>S57</f>
        <v>3</v>
      </c>
      <c r="AA12" s="555">
        <v>3</v>
      </c>
    </row>
    <row r="13" spans="2:27" ht="15" customHeight="1">
      <c r="B13" s="710" t="s">
        <v>103</v>
      </c>
      <c r="C13" s="265"/>
      <c r="D13" s="300" t="str">
        <f>"（ "&amp;ROUND(メイン!$C$16,0)&amp;"%　／　"&amp;ROUND(メイン!$C$17,0)&amp;"% ）"</f>
        <v>（ 80%　／　800% ）</v>
      </c>
      <c r="E13" s="21"/>
      <c r="F13" s="268"/>
      <c r="G13" s="269"/>
      <c r="H13" s="209" t="s">
        <v>104</v>
      </c>
      <c r="I13" s="213"/>
      <c r="J13" s="430" t="str">
        <f>メイン!C40</f>
        <v>2023/X/X</v>
      </c>
      <c r="K13" s="257"/>
      <c r="L13" s="282"/>
      <c r="M13" s="285" t="s">
        <v>105</v>
      </c>
      <c r="N13" s="282"/>
      <c r="O13" s="283"/>
      <c r="R13" s="452" t="s">
        <v>110</v>
      </c>
      <c r="S13" s="560">
        <f>IF(AND($S$9&gt;=50,$S$11&gt;=3),1,IF(S12&lt;0.5,1,IF(S12&lt;1,2,IF(S12&lt;1.5,3,IF(S12&lt;3,4,4))))/5)</f>
        <v>0.4</v>
      </c>
      <c r="U13" s="339" t="s">
        <v>101</v>
      </c>
      <c r="V13" s="339" t="str">
        <f>スコア!B8</f>
        <v>Q-1 環境</v>
      </c>
      <c r="W13" s="339">
        <v>5</v>
      </c>
      <c r="X13" s="339">
        <v>4</v>
      </c>
      <c r="Y13" s="339">
        <v>2</v>
      </c>
      <c r="Z13" s="339">
        <f>IF(S46=0,1,S46)</f>
        <v>3</v>
      </c>
      <c r="AA13" s="555">
        <v>3</v>
      </c>
    </row>
    <row r="14" spans="2:27" ht="15" customHeight="1">
      <c r="B14" s="123"/>
      <c r="C14" s="205"/>
      <c r="D14" s="424" t="s">
        <v>107</v>
      </c>
      <c r="E14" s="256" t="str">
        <f>IF(メイン!D15=0,"",メイン!D15)</f>
        <v/>
      </c>
      <c r="F14" s="159"/>
      <c r="G14" s="274"/>
      <c r="H14" s="20" t="s">
        <v>108</v>
      </c>
      <c r="I14" s="325"/>
      <c r="J14" s="1296" t="str">
        <f>IF(メイン!C42="","","(1)　 "&amp;メイン!C42)</f>
        <v>(1)　 ■■　■■</v>
      </c>
      <c r="K14" s="1297"/>
      <c r="L14" s="282"/>
      <c r="M14" s="285"/>
      <c r="N14" s="282"/>
      <c r="O14" s="283"/>
      <c r="R14" s="452" t="s">
        <v>113</v>
      </c>
      <c r="S14" s="561">
        <f>1-S13</f>
        <v>0.6</v>
      </c>
    </row>
    <row r="15" spans="2:27" ht="15" customHeight="1">
      <c r="B15" s="123"/>
      <c r="C15" s="205"/>
      <c r="D15" s="300" t="str">
        <f>"（ "&amp;ROUND(メイン!$D$16,0)&amp;"%　／　"&amp;ROUND(メイン!$D$17,0)&amp;"% ）"</f>
        <v>（ 0%　／　0% ）</v>
      </c>
      <c r="E15" s="21"/>
      <c r="F15" s="268"/>
      <c r="G15" s="269"/>
      <c r="H15" s="59"/>
      <c r="I15" s="325"/>
      <c r="J15" s="1296" t="str">
        <f>IF(メイン!D42="","","(2)　 "&amp;メイン!D42)</f>
        <v>(2)　 ■■　■■</v>
      </c>
      <c r="K15" s="1298"/>
      <c r="L15" s="282"/>
      <c r="M15" s="286" t="s">
        <v>109</v>
      </c>
      <c r="N15" s="282"/>
      <c r="O15" s="283"/>
      <c r="S15" s="59"/>
    </row>
    <row r="16" spans="2:27" ht="15" customHeight="1">
      <c r="B16" s="123"/>
      <c r="C16" s="205"/>
      <c r="D16" s="424" t="s">
        <v>111</v>
      </c>
      <c r="E16" s="256" t="str">
        <f>IF(メイン!C19=0,"",メイン!C19)</f>
        <v/>
      </c>
      <c r="F16" s="159"/>
      <c r="G16" s="274"/>
      <c r="H16" s="209"/>
      <c r="I16" s="325"/>
      <c r="J16" s="1296" t="str">
        <f>IF(メイン!E42="","","(3)　 "&amp;メイン!E42)</f>
        <v>(3)　 ■■　■■</v>
      </c>
      <c r="K16" s="1298"/>
      <c r="L16" s="282"/>
      <c r="M16" s="286" t="s">
        <v>112</v>
      </c>
      <c r="N16" s="282"/>
      <c r="O16" s="283"/>
      <c r="S16" s="59"/>
      <c r="V16" s="62"/>
      <c r="Z16" s="62"/>
    </row>
    <row r="17" spans="2:32" ht="15" customHeight="1">
      <c r="B17" s="67"/>
      <c r="C17" s="206"/>
      <c r="D17" s="300" t="str">
        <f>"（ "&amp;ROUND(メイン!$C$20,0)&amp;"%　／　"&amp;ROUND(メイン!$C$21,0)&amp;"% ）"</f>
        <v>（ 0%　／　0% ）</v>
      </c>
      <c r="E17" s="21"/>
      <c r="F17" s="268"/>
      <c r="G17" s="269"/>
      <c r="H17" s="211"/>
      <c r="I17" s="325"/>
      <c r="J17" s="1296" t="str">
        <f>IF(メイン!C44="","","(4)　 "&amp;メイン!C44)</f>
        <v>(4)　 ■■　■■</v>
      </c>
      <c r="K17" s="1298"/>
      <c r="L17" s="282"/>
      <c r="M17" s="282"/>
      <c r="N17" s="282"/>
      <c r="O17" s="283"/>
      <c r="S17" s="59"/>
      <c r="T17" s="62"/>
      <c r="U17" s="140"/>
      <c r="V17" s="62"/>
      <c r="W17" s="62"/>
      <c r="X17" s="62"/>
      <c r="Y17" s="62"/>
      <c r="Z17" s="62"/>
      <c r="AA17" s="62"/>
      <c r="AB17" s="62"/>
    </row>
    <row r="18" spans="2:32" ht="15" customHeight="1">
      <c r="B18" s="20"/>
      <c r="C18" s="207"/>
      <c r="D18" s="424" t="s">
        <v>114</v>
      </c>
      <c r="E18" s="256" t="str">
        <f>IF(メイン!D19=0,"",メイン!D19)</f>
        <v/>
      </c>
      <c r="F18" s="159"/>
      <c r="G18" s="274"/>
      <c r="H18" s="59"/>
      <c r="I18" s="325"/>
      <c r="J18" s="1296" t="str">
        <f>IF(メイン!D44="","","(5)　 "&amp;メイン!D44)</f>
        <v>(5)　 ■■　■■</v>
      </c>
      <c r="K18" s="1298"/>
      <c r="L18" s="282"/>
      <c r="M18" s="282"/>
      <c r="N18" s="282"/>
      <c r="O18" s="283"/>
      <c r="R18" s="62"/>
      <c r="S18" s="62"/>
      <c r="T18" s="62"/>
      <c r="U18" s="62"/>
      <c r="V18" s="62"/>
      <c r="W18" s="62"/>
      <c r="X18" s="62"/>
      <c r="Y18" s="62"/>
      <c r="Z18" s="62"/>
      <c r="AA18" s="62"/>
      <c r="AB18" s="62"/>
    </row>
    <row r="19" spans="2:32" ht="15" customHeight="1">
      <c r="B19" s="200"/>
      <c r="C19" s="208"/>
      <c r="D19" s="300" t="str">
        <f>"（ "&amp;ROUND(メイン!$D$20,0)&amp;"%　／　"&amp;ROUND(メイン!$D$21,0)&amp;"% ）"</f>
        <v>（ 0%　／　0% ）</v>
      </c>
      <c r="E19" s="21"/>
      <c r="F19" s="268"/>
      <c r="G19" s="269"/>
      <c r="H19" s="214"/>
      <c r="I19" s="326"/>
      <c r="J19" s="1303" t="str">
        <f>IF(メイン!E44="","","(6)　 "&amp;メイン!E44)</f>
        <v>(6)　 ■■　■■</v>
      </c>
      <c r="K19" s="1304"/>
      <c r="L19" s="292"/>
      <c r="M19" s="293"/>
      <c r="N19" s="294"/>
      <c r="O19" s="295"/>
      <c r="R19" s="300"/>
      <c r="S19" s="427"/>
      <c r="T19" s="62"/>
      <c r="U19" s="62"/>
      <c r="V19" s="427"/>
      <c r="W19" s="63"/>
      <c r="X19" s="62"/>
      <c r="Y19" s="62"/>
      <c r="Z19" s="62"/>
      <c r="AA19" s="62"/>
      <c r="AB19" s="62"/>
    </row>
    <row r="20" spans="2:32" ht="15" customHeight="1">
      <c r="B20" s="271" t="s">
        <v>115</v>
      </c>
      <c r="C20" s="272"/>
      <c r="D20" s="300" t="str">
        <f>ROUND(メイン!C24,0)&amp;"%  ／ "&amp;ROUND(メイン!C25,0)&amp;"%"</f>
        <v>70%  ／ 445%</v>
      </c>
      <c r="E20" s="428"/>
      <c r="F20" s="129"/>
      <c r="G20" s="129"/>
      <c r="H20" s="214" t="s">
        <v>116</v>
      </c>
      <c r="I20" s="215"/>
      <c r="J20" s="422" t="str">
        <f>メイン!C45</f>
        <v>2023/X/X</v>
      </c>
      <c r="K20" s="266"/>
      <c r="L20" s="292"/>
      <c r="M20" s="293"/>
      <c r="N20" s="294"/>
      <c r="O20" s="295"/>
      <c r="R20" s="300"/>
      <c r="S20" s="427"/>
      <c r="T20" s="62"/>
      <c r="U20" s="62"/>
      <c r="V20" s="427"/>
      <c r="W20" s="63"/>
      <c r="X20" s="62"/>
      <c r="Y20" s="62"/>
      <c r="Z20" s="62"/>
      <c r="AA20" s="62"/>
      <c r="AB20" s="62"/>
    </row>
    <row r="21" spans="2:32" ht="15" customHeight="1" thickBot="1">
      <c r="B21" s="260" t="s">
        <v>117</v>
      </c>
      <c r="C21" s="261"/>
      <c r="D21" s="419" t="e">
        <f>#REF!</f>
        <v>#REF!</v>
      </c>
      <c r="E21" s="417" t="s">
        <v>118</v>
      </c>
      <c r="F21" s="416"/>
      <c r="G21" s="418"/>
      <c r="H21" s="221" t="s">
        <v>119</v>
      </c>
      <c r="I21" s="122"/>
      <c r="J21" s="423" t="str">
        <f>メイン!C46</f>
        <v>□□　□□</v>
      </c>
      <c r="K21" s="267"/>
      <c r="L21" s="296"/>
      <c r="M21" s="297"/>
      <c r="N21" s="298"/>
      <c r="O21" s="299"/>
      <c r="R21" s="300"/>
      <c r="S21" s="427"/>
      <c r="T21" s="62"/>
      <c r="U21" s="62"/>
      <c r="V21" s="427"/>
      <c r="W21" s="63"/>
      <c r="X21" s="62"/>
      <c r="Y21" s="62"/>
      <c r="Z21" s="62"/>
      <c r="AA21" s="62"/>
      <c r="AB21" s="62"/>
    </row>
    <row r="22" spans="2:32" ht="5.45" customHeight="1" thickBot="1">
      <c r="B22" s="563"/>
      <c r="C22" s="564"/>
      <c r="D22" s="563"/>
      <c r="E22" s="565"/>
      <c r="F22" s="565"/>
      <c r="G22" s="565"/>
      <c r="H22" s="565"/>
      <c r="I22" s="566"/>
      <c r="J22" s="567"/>
      <c r="K22" s="568"/>
      <c r="L22" s="565"/>
      <c r="M22" s="565"/>
      <c r="N22" s="565"/>
      <c r="O22" s="565"/>
      <c r="R22" s="300"/>
      <c r="S22" s="427"/>
      <c r="T22" s="62"/>
      <c r="U22" s="62"/>
      <c r="V22" s="427"/>
      <c r="W22" s="63"/>
      <c r="X22" s="62"/>
      <c r="Y22" s="62"/>
      <c r="Z22" s="62"/>
      <c r="AA22" s="62"/>
      <c r="AB22" s="62"/>
    </row>
    <row r="23" spans="2:32" ht="15" customHeight="1" thickBot="1">
      <c r="B23" s="103" t="s">
        <v>120</v>
      </c>
      <c r="C23" s="177"/>
      <c r="D23" s="262"/>
      <c r="E23" s="263"/>
      <c r="F23" s="263"/>
      <c r="G23" s="263"/>
      <c r="H23" s="569" t="s">
        <v>179</v>
      </c>
      <c r="I23" s="176"/>
      <c r="J23" s="178"/>
      <c r="K23" s="178"/>
      <c r="L23" s="1305" t="s">
        <v>180</v>
      </c>
      <c r="M23" s="1306"/>
      <c r="N23" s="1306"/>
      <c r="O23" s="1307"/>
      <c r="R23" s="452" t="s">
        <v>181</v>
      </c>
      <c r="S23" s="556" t="s">
        <v>125</v>
      </c>
      <c r="T23" s="556" t="s">
        <v>80</v>
      </c>
      <c r="U23" s="556" t="s">
        <v>126</v>
      </c>
      <c r="AB23" s="62"/>
    </row>
    <row r="24" spans="2:32" ht="15" customHeight="1">
      <c r="B24" s="123"/>
      <c r="C24" s="59"/>
      <c r="D24" s="59"/>
      <c r="E24" s="59"/>
      <c r="F24" s="59"/>
      <c r="G24" s="59"/>
      <c r="H24" s="570"/>
      <c r="I24" s="571"/>
      <c r="J24" s="565"/>
      <c r="K24" s="572"/>
      <c r="L24" s="123"/>
      <c r="M24" s="59"/>
      <c r="N24" s="59"/>
      <c r="O24" s="124"/>
      <c r="P24" s="59"/>
      <c r="Q24" s="59"/>
      <c r="R24" s="452" t="s">
        <v>130</v>
      </c>
      <c r="S24" s="557"/>
      <c r="T24" s="573">
        <f>S10</f>
        <v>52.469135802469147</v>
      </c>
      <c r="U24" s="557">
        <v>0</v>
      </c>
      <c r="V24" s="62"/>
      <c r="W24" s="556" t="s">
        <v>127</v>
      </c>
      <c r="X24" s="556"/>
      <c r="Y24" s="62"/>
      <c r="Z24" s="556" t="s">
        <v>128</v>
      </c>
      <c r="AA24" s="556"/>
      <c r="AB24" s="62"/>
      <c r="AC24" s="1271" t="s">
        <v>182</v>
      </c>
      <c r="AD24" s="1272"/>
      <c r="AE24" s="1273"/>
      <c r="AF24" s="651">
        <v>0.5</v>
      </c>
    </row>
    <row r="25" spans="2:32" ht="15" customHeight="1">
      <c r="B25" s="574"/>
      <c r="C25" s="575">
        <f>S12</f>
        <v>0.9</v>
      </c>
      <c r="D25" s="59"/>
      <c r="E25" s="59"/>
      <c r="F25" s="59"/>
      <c r="G25" s="59"/>
      <c r="H25" s="576"/>
      <c r="I25" s="319"/>
      <c r="J25" s="577"/>
      <c r="K25" s="578"/>
      <c r="L25" s="579"/>
      <c r="M25" s="59"/>
      <c r="N25" s="59"/>
      <c r="O25" s="124"/>
      <c r="P25" s="59"/>
      <c r="Q25" s="59"/>
      <c r="R25" s="452" t="s">
        <v>131</v>
      </c>
      <c r="S25" s="557"/>
      <c r="T25" s="573">
        <f>S9</f>
        <v>51.807760141093475</v>
      </c>
      <c r="U25" s="557">
        <v>0</v>
      </c>
      <c r="V25" s="62"/>
      <c r="W25" s="557">
        <v>50</v>
      </c>
      <c r="X25" s="557">
        <v>50</v>
      </c>
      <c r="Y25" s="62"/>
      <c r="Z25" s="557">
        <v>0</v>
      </c>
      <c r="AA25" s="557">
        <v>100</v>
      </c>
      <c r="AB25" s="62"/>
      <c r="AC25" s="1271" t="s">
        <v>183</v>
      </c>
      <c r="AD25" s="1272"/>
      <c r="AE25" s="1273"/>
      <c r="AF25" s="650">
        <f>IF(AF24="N/A",0,IF(AF24=1,1,IF(AF24&lt;1.5,1,IF(AF24&lt;2.5,2,IF(AF24&lt;3.5,3,IF(AF24&lt;4.5,4,5)))))/5)</f>
        <v>0.2</v>
      </c>
    </row>
    <row r="26" spans="2:32" ht="10.15" customHeight="1">
      <c r="B26" s="123"/>
      <c r="C26" s="59"/>
      <c r="D26" s="59"/>
      <c r="E26" s="59"/>
      <c r="F26" s="59"/>
      <c r="G26" s="59"/>
      <c r="H26" s="576"/>
      <c r="I26" s="59"/>
      <c r="J26" s="577"/>
      <c r="K26" s="578"/>
      <c r="L26" s="579"/>
      <c r="M26" s="59"/>
      <c r="N26" s="59"/>
      <c r="O26" s="124"/>
      <c r="P26" s="59"/>
      <c r="Q26" s="59"/>
      <c r="R26" s="557">
        <v>0</v>
      </c>
      <c r="S26" s="556">
        <f>T24</f>
        <v>52.469135802469147</v>
      </c>
      <c r="T26" s="580">
        <f>T24</f>
        <v>52.469135802469147</v>
      </c>
      <c r="U26" s="556">
        <v>0.1</v>
      </c>
      <c r="V26" s="62"/>
      <c r="W26" s="557">
        <v>0</v>
      </c>
      <c r="X26" s="557">
        <v>100</v>
      </c>
      <c r="Y26" s="62"/>
      <c r="Z26" s="557">
        <v>50</v>
      </c>
      <c r="AA26" s="557">
        <v>50</v>
      </c>
      <c r="AB26" s="62"/>
      <c r="AC26" s="1274" t="s">
        <v>184</v>
      </c>
      <c r="AD26" s="1275"/>
      <c r="AE26" s="1276"/>
      <c r="AF26" s="650">
        <f>1-AF25</f>
        <v>0.8</v>
      </c>
    </row>
    <row r="27" spans="2:32" ht="15" customHeight="1">
      <c r="B27" s="581"/>
      <c r="C27" s="582"/>
      <c r="D27" s="582"/>
      <c r="E27" s="582"/>
      <c r="F27" s="582"/>
      <c r="G27" s="582"/>
      <c r="H27" s="583"/>
      <c r="I27" s="584"/>
      <c r="J27" s="585"/>
      <c r="K27" s="586"/>
      <c r="L27" s="643"/>
      <c r="M27" s="644"/>
      <c r="N27" s="645"/>
      <c r="O27" s="646"/>
      <c r="P27" s="59"/>
      <c r="Q27" s="59"/>
      <c r="R27" s="557">
        <v>0</v>
      </c>
      <c r="S27" s="556">
        <v>0</v>
      </c>
      <c r="T27" s="556">
        <f>T25</f>
        <v>51.807760141093475</v>
      </c>
      <c r="U27" s="587">
        <f>T25</f>
        <v>51.807760141093475</v>
      </c>
      <c r="V27" s="62"/>
      <c r="W27" s="62"/>
      <c r="X27" s="62"/>
      <c r="Y27" s="62"/>
      <c r="Z27" s="62"/>
      <c r="AA27" s="62"/>
      <c r="AB27" s="62"/>
    </row>
    <row r="28" spans="2:32" ht="15" customHeight="1">
      <c r="B28" s="123"/>
      <c r="C28" s="59"/>
      <c r="D28" s="59"/>
      <c r="E28" s="59"/>
      <c r="F28" s="59"/>
      <c r="G28" s="59"/>
      <c r="H28" s="588" t="str">
        <f>U36</f>
        <v>標準計算</v>
      </c>
      <c r="I28" s="59"/>
      <c r="J28" s="577"/>
      <c r="K28" s="577"/>
      <c r="L28" s="123"/>
      <c r="M28" s="59"/>
      <c r="N28" s="59"/>
      <c r="O28" s="124"/>
      <c r="P28" s="59"/>
      <c r="Q28" s="59"/>
      <c r="S28" s="59"/>
      <c r="V28" s="62"/>
      <c r="W28" s="62"/>
      <c r="X28" s="62"/>
      <c r="Y28" s="62"/>
      <c r="Z28" s="62"/>
      <c r="AA28" s="62"/>
      <c r="AB28" s="62"/>
    </row>
    <row r="29" spans="2:32" ht="15" customHeight="1">
      <c r="B29" s="123"/>
      <c r="C29" s="59"/>
      <c r="D29" s="59"/>
      <c r="E29" s="59"/>
      <c r="F29" s="59"/>
      <c r="G29" s="59"/>
      <c r="H29" s="123"/>
      <c r="I29" s="59"/>
      <c r="J29" s="577"/>
      <c r="K29" s="578"/>
      <c r="L29" s="589"/>
      <c r="M29" s="590"/>
      <c r="N29" s="591"/>
      <c r="O29" s="592"/>
      <c r="P29" s="59"/>
      <c r="Q29" s="59"/>
      <c r="R29" s="593" t="s">
        <v>100</v>
      </c>
      <c r="S29" s="556" t="s">
        <v>132</v>
      </c>
      <c r="T29" s="594">
        <v>0</v>
      </c>
      <c r="U29" s="594">
        <f>100/6</f>
        <v>16.666666666666668</v>
      </c>
      <c r="V29" s="595">
        <f>U29*2</f>
        <v>33.333333333333336</v>
      </c>
      <c r="W29" s="594">
        <f>U29*3</f>
        <v>50</v>
      </c>
      <c r="X29" s="594">
        <f>U29*4</f>
        <v>66.666666666666671</v>
      </c>
      <c r="Y29" s="594">
        <f>U29*5</f>
        <v>83.333333333333343</v>
      </c>
      <c r="Z29" s="594">
        <v>100</v>
      </c>
      <c r="AA29" s="62"/>
      <c r="AB29" s="62"/>
      <c r="AC29" s="648"/>
      <c r="AD29" s="649" t="s">
        <v>185</v>
      </c>
    </row>
    <row r="30" spans="2:32" ht="15" customHeight="1">
      <c r="B30" s="123"/>
      <c r="C30" s="59"/>
      <c r="D30" s="59"/>
      <c r="E30" s="59"/>
      <c r="F30" s="59"/>
      <c r="G30" s="59"/>
      <c r="H30" s="123"/>
      <c r="I30" s="59"/>
      <c r="J30" s="577"/>
      <c r="K30" s="578"/>
      <c r="L30" s="589"/>
      <c r="M30" s="590"/>
      <c r="N30" s="591"/>
      <c r="O30" s="592"/>
      <c r="P30" s="59"/>
      <c r="Q30" s="59"/>
      <c r="R30" s="593"/>
      <c r="S30" s="556" t="s">
        <v>133</v>
      </c>
      <c r="T30" s="594">
        <v>100</v>
      </c>
      <c r="U30" s="594">
        <v>100</v>
      </c>
      <c r="V30" s="594">
        <v>100</v>
      </c>
      <c r="W30" s="594">
        <v>100</v>
      </c>
      <c r="X30" s="594">
        <v>100</v>
      </c>
      <c r="Y30" s="594">
        <v>100</v>
      </c>
      <c r="Z30" s="594">
        <v>100</v>
      </c>
      <c r="AA30" s="62"/>
      <c r="AB30" s="62"/>
      <c r="AC30" s="649" t="s">
        <v>186</v>
      </c>
      <c r="AD30" s="652">
        <v>3</v>
      </c>
    </row>
    <row r="31" spans="2:32" ht="15" customHeight="1">
      <c r="B31" s="123"/>
      <c r="C31" s="59"/>
      <c r="D31" s="59"/>
      <c r="E31" s="59"/>
      <c r="F31" s="59"/>
      <c r="G31" s="59"/>
      <c r="H31" s="123"/>
      <c r="I31" s="59"/>
      <c r="J31" s="577"/>
      <c r="K31" s="578"/>
      <c r="L31" s="589"/>
      <c r="M31" s="590"/>
      <c r="N31" s="591"/>
      <c r="O31" s="592"/>
      <c r="P31" s="59"/>
      <c r="Q31" s="59"/>
      <c r="R31" s="593">
        <v>3</v>
      </c>
      <c r="S31" s="556" t="s">
        <v>134</v>
      </c>
      <c r="T31" s="594">
        <v>50</v>
      </c>
      <c r="U31" s="594">
        <f t="shared" ref="U31:X34" si="0">U$29*$R31</f>
        <v>50</v>
      </c>
      <c r="V31" s="594">
        <f t="shared" si="0"/>
        <v>100</v>
      </c>
      <c r="W31" s="594">
        <v>100</v>
      </c>
      <c r="X31" s="594">
        <v>100</v>
      </c>
      <c r="Y31" s="594">
        <v>100</v>
      </c>
      <c r="Z31" s="594">
        <v>100</v>
      </c>
      <c r="AA31" s="62"/>
      <c r="AB31" s="62"/>
      <c r="AC31" s="649" t="s">
        <v>187</v>
      </c>
      <c r="AD31" s="652">
        <v>3</v>
      </c>
    </row>
    <row r="32" spans="2:32" ht="15" customHeight="1">
      <c r="B32" s="123"/>
      <c r="C32" s="59"/>
      <c r="D32" s="59"/>
      <c r="E32" s="59"/>
      <c r="F32" s="59"/>
      <c r="G32" s="59"/>
      <c r="H32" s="123"/>
      <c r="I32" s="59"/>
      <c r="J32" s="577"/>
      <c r="K32" s="578"/>
      <c r="L32" s="589"/>
      <c r="M32" s="590"/>
      <c r="N32" s="591"/>
      <c r="O32" s="592"/>
      <c r="P32" s="59"/>
      <c r="Q32" s="59"/>
      <c r="R32" s="593">
        <v>1.5</v>
      </c>
      <c r="S32" s="556" t="s">
        <v>136</v>
      </c>
      <c r="T32" s="594">
        <v>0</v>
      </c>
      <c r="U32" s="594">
        <f t="shared" si="0"/>
        <v>25</v>
      </c>
      <c r="V32" s="594">
        <f t="shared" si="0"/>
        <v>50</v>
      </c>
      <c r="W32" s="594">
        <f t="shared" si="0"/>
        <v>75</v>
      </c>
      <c r="X32" s="594">
        <f t="shared" si="0"/>
        <v>100</v>
      </c>
      <c r="Y32" s="594">
        <v>100</v>
      </c>
      <c r="Z32" s="594">
        <v>100</v>
      </c>
      <c r="AA32" s="62"/>
      <c r="AB32" s="62"/>
      <c r="AC32" s="649" t="s">
        <v>188</v>
      </c>
      <c r="AD32" s="652">
        <v>3</v>
      </c>
    </row>
    <row r="33" spans="2:33" ht="15" customHeight="1">
      <c r="B33" s="123"/>
      <c r="C33" s="59"/>
      <c r="D33" s="59"/>
      <c r="E33" s="59"/>
      <c r="F33" s="59"/>
      <c r="G33" s="59"/>
      <c r="H33" s="123"/>
      <c r="I33" s="59"/>
      <c r="J33" s="577"/>
      <c r="K33" s="578"/>
      <c r="L33" s="589"/>
      <c r="M33" s="590"/>
      <c r="N33" s="591"/>
      <c r="O33" s="592"/>
      <c r="P33" s="59"/>
      <c r="Q33" s="59"/>
      <c r="R33" s="593">
        <v>1</v>
      </c>
      <c r="S33" s="556" t="s">
        <v>139</v>
      </c>
      <c r="T33" s="594">
        <v>0</v>
      </c>
      <c r="U33" s="594">
        <f t="shared" si="0"/>
        <v>16.666666666666668</v>
      </c>
      <c r="V33" s="594">
        <f t="shared" si="0"/>
        <v>33.333333333333336</v>
      </c>
      <c r="W33" s="594">
        <f t="shared" si="0"/>
        <v>50</v>
      </c>
      <c r="X33" s="594">
        <f t="shared" si="0"/>
        <v>66.666666666666671</v>
      </c>
      <c r="Y33" s="594">
        <f>Y$29*$R33</f>
        <v>83.333333333333343</v>
      </c>
      <c r="Z33" s="594">
        <f>Z$29*$R33</f>
        <v>100</v>
      </c>
      <c r="AA33" s="62"/>
      <c r="AB33" s="62"/>
      <c r="AC33" s="649" t="s">
        <v>189</v>
      </c>
      <c r="AD33" s="652">
        <v>3</v>
      </c>
    </row>
    <row r="34" spans="2:33" ht="15" customHeight="1">
      <c r="B34" s="123"/>
      <c r="C34" s="59"/>
      <c r="D34" s="59"/>
      <c r="E34" s="59"/>
      <c r="F34" s="59"/>
      <c r="G34" s="59"/>
      <c r="H34" s="123"/>
      <c r="I34" s="59"/>
      <c r="J34" s="577"/>
      <c r="K34" s="578"/>
      <c r="L34" s="589"/>
      <c r="M34" s="590"/>
      <c r="N34" s="591"/>
      <c r="O34" s="592"/>
      <c r="P34" s="59"/>
      <c r="Q34" s="59"/>
      <c r="R34" s="593">
        <v>0.5</v>
      </c>
      <c r="S34" s="556" t="s">
        <v>143</v>
      </c>
      <c r="T34" s="594">
        <v>0</v>
      </c>
      <c r="U34" s="594">
        <f t="shared" si="0"/>
        <v>8.3333333333333339</v>
      </c>
      <c r="V34" s="594">
        <f t="shared" si="0"/>
        <v>16.666666666666668</v>
      </c>
      <c r="W34" s="594">
        <f t="shared" si="0"/>
        <v>25</v>
      </c>
      <c r="X34" s="594">
        <f t="shared" si="0"/>
        <v>33.333333333333336</v>
      </c>
      <c r="Y34" s="594">
        <f>Y$29*$R34</f>
        <v>41.666666666666671</v>
      </c>
      <c r="Z34" s="594">
        <f>Z$29*$R34</f>
        <v>50</v>
      </c>
      <c r="AA34" s="62"/>
      <c r="AB34" s="62"/>
      <c r="AC34" s="649" t="s">
        <v>190</v>
      </c>
      <c r="AD34" s="652">
        <v>3</v>
      </c>
    </row>
    <row r="35" spans="2:33" ht="15" customHeight="1">
      <c r="B35" s="123"/>
      <c r="C35" s="59"/>
      <c r="D35" s="59"/>
      <c r="E35" s="59"/>
      <c r="F35" s="59"/>
      <c r="G35" s="59"/>
      <c r="H35" s="576"/>
      <c r="I35" s="319"/>
      <c r="J35" s="577"/>
      <c r="K35" s="578"/>
      <c r="L35" s="589"/>
      <c r="M35" s="59"/>
      <c r="N35" s="59"/>
      <c r="O35" s="124"/>
      <c r="P35" s="59"/>
      <c r="Q35" s="59"/>
      <c r="R35" s="596"/>
      <c r="S35" s="140"/>
      <c r="T35" s="597"/>
      <c r="U35" s="597"/>
      <c r="V35" s="597"/>
      <c r="W35" s="597"/>
      <c r="X35" s="597"/>
      <c r="Y35" s="597"/>
      <c r="Z35" s="597"/>
      <c r="AA35" s="62"/>
      <c r="AB35" s="62"/>
      <c r="AC35" s="649" t="s">
        <v>191</v>
      </c>
      <c r="AD35" s="652">
        <v>3</v>
      </c>
    </row>
    <row r="36" spans="2:33" ht="15" customHeight="1">
      <c r="B36" s="123"/>
      <c r="C36" s="59"/>
      <c r="D36" s="59"/>
      <c r="E36" s="59"/>
      <c r="F36" s="59"/>
      <c r="G36" s="59"/>
      <c r="H36" s="598"/>
      <c r="I36" s="599"/>
      <c r="J36" s="599"/>
      <c r="K36" s="600"/>
      <c r="L36" s="589"/>
      <c r="M36" s="59"/>
      <c r="N36" s="180"/>
      <c r="O36" s="124"/>
      <c r="P36" s="59"/>
      <c r="Q36" s="59"/>
      <c r="R36" s="452" t="s">
        <v>192</v>
      </c>
      <c r="S36" s="560" t="e">
        <f>IF(T36&lt;=0.3,1,IF(T36&lt;=0.6,0.8,IF(T36&lt;=0.8,0.6,IF(T36&lt;=1,0.4,0.2))))</f>
        <v>#REF!</v>
      </c>
      <c r="T36" s="597" t="e">
        <f>IF(U36=W36,X42,X43)</f>
        <v>#REF!</v>
      </c>
      <c r="U36" s="601" t="s">
        <v>193</v>
      </c>
      <c r="V36" s="602" t="s">
        <v>194</v>
      </c>
      <c r="W36" s="716" t="s">
        <v>193</v>
      </c>
      <c r="X36" s="601" t="s">
        <v>195</v>
      </c>
      <c r="Y36" s="597"/>
      <c r="Z36" s="597"/>
      <c r="AA36" s="62"/>
      <c r="AB36" s="62"/>
      <c r="AC36" s="649" t="s">
        <v>196</v>
      </c>
      <c r="AD36" s="652">
        <v>3</v>
      </c>
    </row>
    <row r="37" spans="2:33" ht="15" customHeight="1">
      <c r="B37" s="123"/>
      <c r="C37" s="59"/>
      <c r="D37" s="59"/>
      <c r="E37" s="59"/>
      <c r="F37" s="59"/>
      <c r="G37" s="59"/>
      <c r="H37" s="1277" t="str">
        <f>IF(U36=W36,X36,X37)</f>
        <v>このグラフは、LR3中の「地球温暖化への配慮」の内容を、一般的な建物（参照値）と比べたライフサイクルCO2 排出量の目安で示したものです</v>
      </c>
      <c r="I37" s="1278"/>
      <c r="J37" s="1278"/>
      <c r="K37" s="1279"/>
      <c r="L37" s="589"/>
      <c r="M37" s="59"/>
      <c r="N37" s="603"/>
      <c r="O37" s="124"/>
      <c r="P37" s="59"/>
      <c r="Q37" s="59"/>
      <c r="R37" s="452" t="s">
        <v>113</v>
      </c>
      <c r="S37" s="561" t="e">
        <f>1-S36</f>
        <v>#REF!</v>
      </c>
      <c r="T37" s="597"/>
      <c r="U37" s="601" t="s">
        <v>197</v>
      </c>
      <c r="V37" s="597" t="str">
        <f>IF(U36=W37,V36,"")</f>
        <v/>
      </c>
      <c r="W37" s="601" t="s">
        <v>198</v>
      </c>
      <c r="X37" s="601" t="s">
        <v>199</v>
      </c>
      <c r="Y37" s="597"/>
      <c r="Z37" s="597"/>
      <c r="AA37" s="62"/>
      <c r="AB37" s="62"/>
      <c r="AC37" s="649" t="s">
        <v>200</v>
      </c>
      <c r="AD37" s="652">
        <v>3</v>
      </c>
    </row>
    <row r="38" spans="2:33" ht="15" customHeight="1">
      <c r="B38" s="123"/>
      <c r="C38" s="420"/>
      <c r="D38" s="59"/>
      <c r="E38" s="59"/>
      <c r="F38" s="59"/>
      <c r="G38" s="59"/>
      <c r="H38" s="1277"/>
      <c r="I38" s="1278"/>
      <c r="J38" s="1278"/>
      <c r="K38" s="1279"/>
      <c r="L38" s="123"/>
      <c r="M38" s="604"/>
      <c r="N38" s="59"/>
      <c r="O38" s="124"/>
      <c r="P38" s="59"/>
      <c r="Q38" s="59"/>
      <c r="S38" s="59"/>
      <c r="AA38" s="62"/>
      <c r="AB38" s="62"/>
      <c r="AC38" s="649" t="s">
        <v>201</v>
      </c>
      <c r="AD38" s="652">
        <v>3</v>
      </c>
    </row>
    <row r="39" spans="2:33" ht="15" customHeight="1" thickBot="1">
      <c r="B39" s="181"/>
      <c r="C39" s="122"/>
      <c r="D39" s="122"/>
      <c r="E39" s="122"/>
      <c r="F39" s="122"/>
      <c r="G39" s="122"/>
      <c r="H39" s="1280"/>
      <c r="I39" s="1281"/>
      <c r="J39" s="1281"/>
      <c r="K39" s="1282"/>
      <c r="L39" s="647" t="s">
        <v>202</v>
      </c>
      <c r="M39" s="605"/>
      <c r="N39" s="122"/>
      <c r="O39" s="125"/>
      <c r="P39" s="59"/>
      <c r="Q39" s="59"/>
      <c r="R39" s="606" t="s">
        <v>203</v>
      </c>
      <c r="S39" s="607" t="s">
        <v>204</v>
      </c>
      <c r="T39" s="607" t="s">
        <v>205</v>
      </c>
      <c r="U39" s="607" t="s">
        <v>206</v>
      </c>
      <c r="V39" s="607" t="s">
        <v>207</v>
      </c>
      <c r="W39" s="607" t="s">
        <v>208</v>
      </c>
      <c r="X39" s="607" t="s">
        <v>209</v>
      </c>
      <c r="Y39" s="555" t="s">
        <v>210</v>
      </c>
      <c r="AA39" s="601"/>
      <c r="AC39" s="649" t="s">
        <v>211</v>
      </c>
      <c r="AD39" s="652">
        <v>3</v>
      </c>
    </row>
    <row r="40" spans="2:33" ht="15" customHeight="1" thickBot="1">
      <c r="B40" s="103" t="s">
        <v>212</v>
      </c>
      <c r="C40" s="104"/>
      <c r="D40" s="105"/>
      <c r="E40" s="104"/>
      <c r="F40" s="104"/>
      <c r="G40" s="104"/>
      <c r="H40" s="106"/>
      <c r="I40" s="107"/>
      <c r="J40" s="104"/>
      <c r="K40" s="104"/>
      <c r="L40" s="104"/>
      <c r="M40" s="108"/>
      <c r="N40" s="108"/>
      <c r="O40" s="109"/>
      <c r="R40" s="555" t="s">
        <v>213</v>
      </c>
      <c r="S40" s="608" t="e">
        <f>#REF!</f>
        <v>#REF!</v>
      </c>
      <c r="T40" s="608" t="e">
        <f>#REF!</f>
        <v>#REF!</v>
      </c>
      <c r="U40" s="608" t="e">
        <f>#REF!</f>
        <v>#REF!</v>
      </c>
      <c r="V40" s="555"/>
      <c r="W40" s="555"/>
      <c r="X40" s="609">
        <v>1</v>
      </c>
      <c r="Y40" s="555" t="e">
        <f>IF(COUNTIF(S40:W40,Z41)&gt;0,Z41,SUM(S40:W40))</f>
        <v>#REF!</v>
      </c>
      <c r="AA40" s="610"/>
      <c r="AC40" s="649" t="s">
        <v>214</v>
      </c>
      <c r="AD40" s="652">
        <v>3</v>
      </c>
    </row>
    <row r="41" spans="2:33" ht="15" customHeight="1">
      <c r="B41" s="611" t="s">
        <v>215</v>
      </c>
      <c r="C41" s="612"/>
      <c r="D41" s="612"/>
      <c r="E41" s="613"/>
      <c r="F41" s="612"/>
      <c r="G41" s="612"/>
      <c r="H41" s="612"/>
      <c r="I41" s="612"/>
      <c r="J41" s="612"/>
      <c r="K41" s="614" t="s">
        <v>216</v>
      </c>
      <c r="L41" s="708">
        <f>スコア!R7</f>
        <v>3</v>
      </c>
      <c r="M41" s="663" t="s">
        <v>217</v>
      </c>
      <c r="N41" s="658"/>
      <c r="O41" s="659"/>
      <c r="R41" s="555" t="s">
        <v>218</v>
      </c>
      <c r="S41" s="608" t="e">
        <f>#REF!</f>
        <v>#REF!</v>
      </c>
      <c r="T41" s="608" t="e">
        <f>#REF!</f>
        <v>#REF!</v>
      </c>
      <c r="U41" s="608" t="e">
        <f>#REF!</f>
        <v>#REF!</v>
      </c>
      <c r="V41" s="555"/>
      <c r="W41" s="555"/>
      <c r="X41" s="609" t="e">
        <f>IF(OR(Y40=Z41,Y41=Z41),Z41,Y41/Y40)</f>
        <v>#REF!</v>
      </c>
      <c r="Y41" s="555" t="e">
        <f>IF(COUNTIF(S41:W41,Z41)&gt;0,Z41,SUM(S41:W41))</f>
        <v>#REF!</v>
      </c>
      <c r="Z41" s="59" t="s">
        <v>219</v>
      </c>
      <c r="AA41" s="610"/>
      <c r="AC41" s="649" t="s">
        <v>220</v>
      </c>
      <c r="AD41" s="652">
        <v>3</v>
      </c>
    </row>
    <row r="42" spans="2:33" ht="15" customHeight="1">
      <c r="B42" s="123"/>
      <c r="C42" s="551" t="str">
        <f>配慮!B7</f>
        <v>Q-1 環境</v>
      </c>
      <c r="D42" s="615"/>
      <c r="E42" s="615"/>
      <c r="F42" s="615"/>
      <c r="G42" s="692" t="str">
        <f>配慮!B8</f>
        <v>Q-2 社会</v>
      </c>
      <c r="I42" s="615"/>
      <c r="J42" s="62"/>
      <c r="K42" s="655" t="str">
        <f>配慮!B9</f>
        <v>Q-3 経済</v>
      </c>
      <c r="M42" s="660" t="str">
        <f>スコア!B152</f>
        <v>M マネジメント性能</v>
      </c>
      <c r="N42" s="62"/>
      <c r="O42" s="562"/>
      <c r="R42" s="555" t="s">
        <v>221</v>
      </c>
      <c r="S42" s="653"/>
      <c r="T42" s="653"/>
      <c r="U42" s="653"/>
      <c r="V42" s="616" t="e">
        <f>Y41</f>
        <v>#REF!</v>
      </c>
      <c r="W42" s="555"/>
      <c r="X42" s="609" t="e">
        <f>IF(OR(Y40=Z42,Y42=Z42),Z42,Y42/Y40)</f>
        <v>#REF!</v>
      </c>
      <c r="Y42" s="555" t="e">
        <f>IF(COUNTIF(S42:W42,Z42)&gt;0,Z42,SUM(S42:W42))</f>
        <v>#REF!</v>
      </c>
      <c r="Z42" s="59" t="s">
        <v>219</v>
      </c>
      <c r="AA42" s="610"/>
    </row>
    <row r="43" spans="2:33" ht="15" customHeight="1">
      <c r="B43" s="123"/>
      <c r="C43" s="74"/>
      <c r="D43" s="75"/>
      <c r="E43" s="657">
        <f>S46</f>
        <v>3</v>
      </c>
      <c r="F43" s="59"/>
      <c r="H43" s="59"/>
      <c r="I43" s="617"/>
      <c r="J43" s="615">
        <f>V46</f>
        <v>3</v>
      </c>
      <c r="L43" s="657">
        <f>Y46</f>
        <v>3.1</v>
      </c>
      <c r="M43" s="661"/>
      <c r="N43" s="617"/>
      <c r="O43" s="618">
        <f>AD46</f>
        <v>12</v>
      </c>
      <c r="R43" s="555" t="s">
        <v>222</v>
      </c>
      <c r="S43" s="653"/>
      <c r="T43" s="653"/>
      <c r="U43" s="653"/>
      <c r="V43" s="654"/>
      <c r="W43" s="619" t="e">
        <f>Y41</f>
        <v>#REF!</v>
      </c>
      <c r="X43" s="609" t="e">
        <f>IF(OR(Y40=Z43,Y43=Z43),Z43,Y43/Y40)</f>
        <v>#REF!</v>
      </c>
      <c r="Y43" s="555" t="e">
        <f>IF(COUNTIF(S43:W43,Z43)&gt;0,Z43,SUM(S43:W43))</f>
        <v>#REF!</v>
      </c>
      <c r="Z43" s="59" t="s">
        <v>219</v>
      </c>
      <c r="AA43" s="610"/>
      <c r="AE43"/>
    </row>
    <row r="44" spans="2:33" ht="15" customHeight="1">
      <c r="B44" s="123"/>
      <c r="C44" s="59"/>
      <c r="D44" s="59"/>
      <c r="E44" s="59"/>
      <c r="F44" s="59"/>
      <c r="L44" s="62"/>
      <c r="M44" s="662"/>
      <c r="N44" s="62"/>
      <c r="O44" s="562"/>
      <c r="S44" s="59"/>
      <c r="AA44" s="62"/>
      <c r="AB44" s="62"/>
      <c r="AE44"/>
      <c r="AF44" s="620"/>
      <c r="AG44" s="620"/>
    </row>
    <row r="45" spans="2:33" ht="15" customHeight="1">
      <c r="B45" s="123"/>
      <c r="C45" s="59"/>
      <c r="D45" s="59"/>
      <c r="E45" s="59"/>
      <c r="F45" s="59"/>
      <c r="L45" s="62"/>
      <c r="M45" s="662"/>
      <c r="N45" s="62"/>
      <c r="O45" s="562"/>
      <c r="R45" s="452"/>
      <c r="S45" s="452" t="s">
        <v>144</v>
      </c>
      <c r="T45" s="452" t="s">
        <v>223</v>
      </c>
      <c r="U45" s="452"/>
      <c r="V45" s="452" t="s">
        <v>144</v>
      </c>
      <c r="W45" s="452" t="s">
        <v>223</v>
      </c>
      <c r="X45" s="452"/>
      <c r="Y45" s="452" t="s">
        <v>144</v>
      </c>
      <c r="Z45" s="452" t="s">
        <v>223</v>
      </c>
      <c r="AA45" s="62"/>
      <c r="AB45" s="62"/>
      <c r="AC45" s="452"/>
      <c r="AD45" s="452" t="s">
        <v>224</v>
      </c>
      <c r="AE45"/>
    </row>
    <row r="46" spans="2:33" ht="15" customHeight="1">
      <c r="B46" s="123"/>
      <c r="C46" s="59"/>
      <c r="D46" s="59"/>
      <c r="E46" s="59"/>
      <c r="F46" s="59"/>
      <c r="L46" s="62"/>
      <c r="M46" s="662"/>
      <c r="N46" s="62"/>
      <c r="O46" s="562"/>
      <c r="R46" s="621" t="str">
        <f>C42</f>
        <v>Q-1 環境</v>
      </c>
      <c r="S46" s="702">
        <f>スコア!R8</f>
        <v>3</v>
      </c>
      <c r="T46" s="452">
        <f>スコア!V8</f>
        <v>3.074074074074074</v>
      </c>
      <c r="U46" s="656" t="str">
        <f>G42</f>
        <v>Q-2 社会</v>
      </c>
      <c r="V46" s="623">
        <f>スコア!R41</f>
        <v>3</v>
      </c>
      <c r="W46" s="701">
        <f>スコア!V41</f>
        <v>3</v>
      </c>
      <c r="X46" s="621" t="str">
        <f>K42</f>
        <v>Q-3 経済</v>
      </c>
      <c r="Y46" s="623">
        <f>スコア!R74</f>
        <v>3.1</v>
      </c>
      <c r="Z46" s="701">
        <f>スコア!V74</f>
        <v>3.1428571428571428</v>
      </c>
      <c r="AA46" s="62"/>
      <c r="AB46" s="62"/>
      <c r="AC46" s="556" t="str">
        <f>'結果 (2)'!M42</f>
        <v>M マネジメント性能</v>
      </c>
      <c r="AD46" s="704">
        <f>スコア!J152</f>
        <v>12</v>
      </c>
      <c r="AE46"/>
    </row>
    <row r="47" spans="2:33" ht="15" customHeight="1">
      <c r="B47" s="123"/>
      <c r="C47" s="59"/>
      <c r="D47" s="59"/>
      <c r="E47" s="59"/>
      <c r="F47" s="59"/>
      <c r="L47" s="62"/>
      <c r="M47" s="662"/>
      <c r="N47" s="62"/>
      <c r="O47" s="562"/>
      <c r="S47" s="59"/>
      <c r="AA47" s="62"/>
      <c r="AB47" s="62"/>
      <c r="AE47"/>
    </row>
    <row r="48" spans="2:33" ht="15" customHeight="1">
      <c r="B48" s="123"/>
      <c r="C48" s="59"/>
      <c r="D48" s="59"/>
      <c r="E48" s="59"/>
      <c r="F48" s="59"/>
      <c r="L48" s="62"/>
      <c r="M48" s="662"/>
      <c r="N48" s="62"/>
      <c r="O48" s="562"/>
      <c r="R48" s="452"/>
      <c r="S48" s="452" t="s">
        <v>144</v>
      </c>
      <c r="T48" s="452" t="s">
        <v>225</v>
      </c>
      <c r="U48" s="452"/>
      <c r="V48" s="452" t="s">
        <v>144</v>
      </c>
      <c r="W48" s="452" t="s">
        <v>225</v>
      </c>
      <c r="X48" s="452"/>
      <c r="Y48" s="624" t="s">
        <v>144</v>
      </c>
      <c r="Z48" s="452" t="s">
        <v>225</v>
      </c>
      <c r="AA48" s="62"/>
      <c r="AB48" s="62"/>
      <c r="AC48" s="452"/>
      <c r="AD48" s="452" t="s">
        <v>224</v>
      </c>
      <c r="AE48"/>
    </row>
    <row r="49" spans="1:31" ht="15" customHeight="1">
      <c r="B49" s="123"/>
      <c r="C49" s="59"/>
      <c r="D49" s="59"/>
      <c r="E49" s="59"/>
      <c r="F49" s="59"/>
      <c r="G49" s="625"/>
      <c r="H49" s="625"/>
      <c r="L49" s="62"/>
      <c r="M49" s="662"/>
      <c r="N49" s="62"/>
      <c r="O49" s="562"/>
      <c r="R49" s="626" t="s">
        <v>226</v>
      </c>
      <c r="S49" s="622">
        <f>スコア!R9</f>
        <v>3</v>
      </c>
      <c r="T49" s="452" t="str">
        <f>IF(S49=0,"N.A.","")</f>
        <v/>
      </c>
      <c r="U49" s="556" t="s">
        <v>227</v>
      </c>
      <c r="V49" s="623">
        <f>スコア!R42</f>
        <v>3</v>
      </c>
      <c r="W49" s="452" t="str">
        <f>IF(V49=0,"N.A.","")</f>
        <v/>
      </c>
      <c r="X49" s="626" t="s">
        <v>228</v>
      </c>
      <c r="Y49" s="623">
        <f>スコア!R75</f>
        <v>3</v>
      </c>
      <c r="Z49" s="452" t="str">
        <f>IF(Y49=0,"N.A.","")</f>
        <v/>
      </c>
      <c r="AA49" s="62"/>
      <c r="AB49" s="62"/>
      <c r="AC49" s="638" t="str">
        <f>スコア!C153</f>
        <v>エリアマネジメント</v>
      </c>
      <c r="AD49" s="705">
        <f>スコア!J153</f>
        <v>3</v>
      </c>
      <c r="AE49"/>
    </row>
    <row r="50" spans="1:31" ht="15" customHeight="1">
      <c r="B50" s="123"/>
      <c r="C50" s="59"/>
      <c r="D50" s="59"/>
      <c r="E50" s="59"/>
      <c r="F50" s="59"/>
      <c r="G50" s="625"/>
      <c r="H50" s="625"/>
      <c r="L50" s="62"/>
      <c r="M50" s="662"/>
      <c r="N50" s="62"/>
      <c r="O50" s="562"/>
      <c r="R50" s="626" t="s">
        <v>229</v>
      </c>
      <c r="S50" s="622">
        <f>スコア!R25</f>
        <v>3.2</v>
      </c>
      <c r="T50" s="452" t="str">
        <f>IF(S50=0,"N.A.","")</f>
        <v/>
      </c>
      <c r="U50" s="556" t="s">
        <v>230</v>
      </c>
      <c r="V50" s="623">
        <f>スコア!R50</f>
        <v>3</v>
      </c>
      <c r="W50" s="452" t="str">
        <f>IF(V50=0,"N.A.","")</f>
        <v/>
      </c>
      <c r="X50" s="690" t="s">
        <v>231</v>
      </c>
      <c r="Y50" s="623">
        <f>スコア!R85</f>
        <v>3.5</v>
      </c>
      <c r="Z50" s="452" t="str">
        <f>IF(Y50=0,"N.A.","")</f>
        <v/>
      </c>
      <c r="AA50" s="62"/>
      <c r="AB50" s="62"/>
      <c r="AC50" s="638" t="str">
        <f>スコア!L153</f>
        <v>エネルギーマネジメント</v>
      </c>
      <c r="AD50" s="705">
        <f>スコア!R153</f>
        <v>3</v>
      </c>
      <c r="AE50"/>
    </row>
    <row r="51" spans="1:31" ht="15" customHeight="1">
      <c r="B51" s="123"/>
      <c r="C51" s="59"/>
      <c r="D51" s="59"/>
      <c r="E51" s="59"/>
      <c r="F51" s="59"/>
      <c r="G51" s="80"/>
      <c r="H51" s="558"/>
      <c r="I51" s="627"/>
      <c r="J51" s="627"/>
      <c r="K51" s="628"/>
      <c r="L51" s="629"/>
      <c r="M51" s="662"/>
      <c r="N51" s="62"/>
      <c r="O51" s="562"/>
      <c r="R51" s="690" t="s">
        <v>232</v>
      </c>
      <c r="S51" s="622">
        <f>スコア!R39</f>
        <v>3</v>
      </c>
      <c r="T51" s="452" t="str">
        <f>IF(S51=0,"N.A.","")</f>
        <v/>
      </c>
      <c r="U51" s="556" t="s">
        <v>233</v>
      </c>
      <c r="V51" s="623">
        <f>スコア!R55</f>
        <v>3</v>
      </c>
      <c r="W51" s="452" t="str">
        <f>IF(V51=0,"N.A.","")</f>
        <v/>
      </c>
      <c r="X51" s="626" t="s">
        <v>234</v>
      </c>
      <c r="Y51" s="623">
        <f>スコア!R90</f>
        <v>3</v>
      </c>
      <c r="Z51" s="452" t="str">
        <f>IF(Y51=0,"N.A.","")</f>
        <v/>
      </c>
      <c r="AA51" s="62"/>
      <c r="AB51" s="62"/>
      <c r="AC51" s="638" t="str">
        <f>スコア!C158</f>
        <v>交通マネジメント</v>
      </c>
      <c r="AD51" s="705">
        <f>スコア!J158</f>
        <v>3</v>
      </c>
      <c r="AE51"/>
    </row>
    <row r="52" spans="1:31" ht="15" customHeight="1">
      <c r="A52" s="630"/>
      <c r="B52" s="631" t="s">
        <v>235</v>
      </c>
      <c r="C52" s="632"/>
      <c r="D52" s="633"/>
      <c r="E52" s="632"/>
      <c r="F52" s="632"/>
      <c r="G52" s="632"/>
      <c r="H52" s="612"/>
      <c r="I52" s="612"/>
      <c r="J52" s="612"/>
      <c r="K52" s="614" t="s">
        <v>236</v>
      </c>
      <c r="L52" s="709">
        <f>スコア!R99</f>
        <v>2.9</v>
      </c>
      <c r="M52" s="73"/>
      <c r="N52" s="62"/>
      <c r="O52" s="562"/>
      <c r="R52" s="690" t="s">
        <v>237</v>
      </c>
      <c r="S52" s="622">
        <f>スコア!R40</f>
        <v>3</v>
      </c>
      <c r="T52" s="452" t="str">
        <f>IF(S52=0,"N.A.","")</f>
        <v/>
      </c>
      <c r="U52" s="556" t="s">
        <v>238</v>
      </c>
      <c r="V52" s="623">
        <f>スコア!R60</f>
        <v>3</v>
      </c>
      <c r="W52" s="452" t="str">
        <f t="shared" ref="W52:W54" si="1">IF(V52=0,"N.A.","")</f>
        <v/>
      </c>
      <c r="X52" s="690" t="s">
        <v>239</v>
      </c>
      <c r="Y52" s="623">
        <f>スコア!R98</f>
        <v>3</v>
      </c>
      <c r="Z52" s="452" t="str">
        <f>IF(Y52=0,"N.A.","")</f>
        <v/>
      </c>
      <c r="AA52" s="62"/>
      <c r="AB52" s="62"/>
      <c r="AC52" s="638" t="str">
        <f>スコア!L158</f>
        <v>発展的マネジメント</v>
      </c>
      <c r="AD52" s="705">
        <f>スコア!R168</f>
        <v>3</v>
      </c>
      <c r="AE52"/>
    </row>
    <row r="53" spans="1:31" ht="15" customHeight="1">
      <c r="B53" s="70"/>
      <c r="C53" s="71" t="str">
        <f>配慮!B10</f>
        <v>LR-1 エネルギー</v>
      </c>
      <c r="D53" s="71"/>
      <c r="E53" s="634"/>
      <c r="F53" s="71"/>
      <c r="G53" s="71" t="str">
        <f>配慮!B11</f>
        <v>LR-2 資源</v>
      </c>
      <c r="I53" s="71"/>
      <c r="J53" s="71"/>
      <c r="K53" s="707" t="str">
        <f>配慮!B12</f>
        <v>LR-3 周辺環境</v>
      </c>
      <c r="L53" s="655"/>
      <c r="M53" s="660" t="str">
        <f>スコア!B167</f>
        <v>S スマート性能</v>
      </c>
      <c r="N53" s="62"/>
      <c r="O53" s="562"/>
      <c r="R53"/>
      <c r="S53"/>
      <c r="T53"/>
      <c r="U53" s="556" t="s">
        <v>240</v>
      </c>
      <c r="V53" s="623">
        <f>スコア!R68</f>
        <v>3</v>
      </c>
      <c r="W53" s="452" t="str">
        <f t="shared" si="1"/>
        <v/>
      </c>
      <c r="X53" s="62"/>
      <c r="Y53" s="62"/>
      <c r="Z53" s="62"/>
      <c r="AA53" s="62"/>
      <c r="AB53" s="62"/>
      <c r="AE53"/>
    </row>
    <row r="54" spans="1:31" ht="15" customHeight="1">
      <c r="B54" s="73"/>
      <c r="C54" s="74"/>
      <c r="D54" s="75"/>
      <c r="E54" s="617"/>
      <c r="F54" s="615">
        <f>S57</f>
        <v>3</v>
      </c>
      <c r="H54" s="59"/>
      <c r="J54" s="615">
        <f>V57</f>
        <v>3</v>
      </c>
      <c r="L54" s="657">
        <f>Y57</f>
        <v>2.6</v>
      </c>
      <c r="M54" s="662"/>
      <c r="N54" s="62"/>
      <c r="O54" s="618">
        <f>AD57</f>
        <v>9</v>
      </c>
      <c r="R54"/>
      <c r="S54"/>
      <c r="T54"/>
      <c r="U54" s="691" t="s">
        <v>241</v>
      </c>
      <c r="V54" s="623">
        <f>スコア!R72</f>
        <v>3</v>
      </c>
      <c r="W54" s="452" t="str">
        <f t="shared" si="1"/>
        <v/>
      </c>
      <c r="X54" s="62"/>
      <c r="Y54" s="62"/>
      <c r="Z54" s="62"/>
      <c r="AA54" s="62"/>
      <c r="AB54" s="62"/>
      <c r="AE54"/>
    </row>
    <row r="55" spans="1:31" ht="15" customHeight="1">
      <c r="B55" s="73"/>
      <c r="C55" s="78"/>
      <c r="D55" s="78"/>
      <c r="E55" s="79"/>
      <c r="F55" s="80"/>
      <c r="G55" s="80"/>
      <c r="H55" s="80"/>
      <c r="M55" s="662"/>
      <c r="N55" s="62"/>
      <c r="O55" s="562"/>
      <c r="S55" s="59"/>
      <c r="AA55" s="62"/>
      <c r="AB55" s="62"/>
      <c r="AE55"/>
    </row>
    <row r="56" spans="1:31" ht="15" customHeight="1">
      <c r="B56" s="73"/>
      <c r="C56" s="63"/>
      <c r="D56" s="82"/>
      <c r="I56" s="84"/>
      <c r="M56" s="662"/>
      <c r="N56" s="62"/>
      <c r="O56" s="562"/>
      <c r="R56" s="452"/>
      <c r="S56" s="452" t="s">
        <v>144</v>
      </c>
      <c r="T56" s="452" t="s">
        <v>223</v>
      </c>
      <c r="U56" s="452"/>
      <c r="V56" s="452" t="s">
        <v>144</v>
      </c>
      <c r="W56" s="452" t="s">
        <v>223</v>
      </c>
      <c r="X56" s="452"/>
      <c r="Y56" s="452" t="s">
        <v>144</v>
      </c>
      <c r="Z56" s="452" t="s">
        <v>223</v>
      </c>
      <c r="AA56" s="62"/>
      <c r="AB56" s="62"/>
      <c r="AC56" s="452"/>
      <c r="AD56" s="452" t="s">
        <v>224</v>
      </c>
      <c r="AE56"/>
    </row>
    <row r="57" spans="1:31" ht="15" customHeight="1">
      <c r="B57" s="73"/>
      <c r="I57" s="84"/>
      <c r="M57" s="73"/>
      <c r="O57" s="562"/>
      <c r="R57" s="556" t="str">
        <f>C53</f>
        <v>LR-1 エネルギー</v>
      </c>
      <c r="S57" s="623">
        <f>スコア!R100</f>
        <v>3</v>
      </c>
      <c r="T57" s="701">
        <f>スコア!V100</f>
        <v>3</v>
      </c>
      <c r="U57" s="556" t="str">
        <f>G53</f>
        <v>LR-2 資源</v>
      </c>
      <c r="V57" s="635">
        <f>スコア!R107</f>
        <v>3</v>
      </c>
      <c r="W57" s="701">
        <f>スコア!V107</f>
        <v>3.0555555555555554</v>
      </c>
      <c r="X57" s="556">
        <f>L53</f>
        <v>0</v>
      </c>
      <c r="Y57" s="623">
        <f>スコア!R127</f>
        <v>2.6</v>
      </c>
      <c r="Z57" s="701">
        <f>スコア!V127</f>
        <v>2.6481481481481479</v>
      </c>
      <c r="AA57" s="62"/>
      <c r="AB57" s="62"/>
      <c r="AC57" s="556" t="str">
        <f>'結果 (2)'!M53</f>
        <v>S スマート性能</v>
      </c>
      <c r="AD57" s="704">
        <f>スコア!J167</f>
        <v>9</v>
      </c>
      <c r="AE57"/>
    </row>
    <row r="58" spans="1:31" ht="15" customHeight="1">
      <c r="B58" s="87"/>
      <c r="I58" s="84"/>
      <c r="M58" s="73"/>
      <c r="O58" s="64"/>
      <c r="S58" s="59"/>
      <c r="Y58" s="636"/>
      <c r="AA58" s="62"/>
      <c r="AB58" s="62"/>
      <c r="AE58"/>
    </row>
    <row r="59" spans="1:31" ht="15" customHeight="1">
      <c r="B59" s="87"/>
      <c r="I59" s="84"/>
      <c r="M59" s="73"/>
      <c r="O59" s="64"/>
      <c r="R59" s="452"/>
      <c r="S59" s="452" t="s">
        <v>144</v>
      </c>
      <c r="T59" s="452" t="s">
        <v>225</v>
      </c>
      <c r="U59" s="452"/>
      <c r="V59" s="452" t="s">
        <v>144</v>
      </c>
      <c r="W59" s="452" t="s">
        <v>225</v>
      </c>
      <c r="X59" s="452"/>
      <c r="Y59" s="624" t="s">
        <v>144</v>
      </c>
      <c r="Z59" s="452" t="s">
        <v>225</v>
      </c>
      <c r="AA59" s="62"/>
      <c r="AB59" s="62"/>
      <c r="AC59" s="452"/>
      <c r="AD59" s="452" t="s">
        <v>224</v>
      </c>
      <c r="AE59"/>
    </row>
    <row r="60" spans="1:31" ht="15" customHeight="1">
      <c r="B60" s="87"/>
      <c r="I60" s="84"/>
      <c r="M60" s="73"/>
      <c r="O60" s="64"/>
      <c r="R60" s="691" t="s">
        <v>242</v>
      </c>
      <c r="S60" s="637">
        <f>スコア!R101</f>
        <v>3</v>
      </c>
      <c r="T60" s="452" t="str">
        <f>IF(S60=0,"N.A.","")</f>
        <v/>
      </c>
      <c r="U60" s="638" t="s">
        <v>243</v>
      </c>
      <c r="V60" s="623">
        <f>スコア!R108</f>
        <v>3</v>
      </c>
      <c r="W60" s="452" t="str">
        <f>IF(V60=0,"N.A.","")</f>
        <v/>
      </c>
      <c r="X60" s="691" t="s">
        <v>244</v>
      </c>
      <c r="Y60" s="623">
        <f>スコア!R128</f>
        <v>2</v>
      </c>
      <c r="Z60" s="452" t="str">
        <f>IF(Y60=0,"N.A.","")</f>
        <v/>
      </c>
      <c r="AA60" s="62"/>
      <c r="AB60" s="62"/>
      <c r="AC60" s="638" t="str">
        <f>スコア!C168</f>
        <v>環境のスマート化</v>
      </c>
      <c r="AD60" s="705">
        <f>スコア!J168</f>
        <v>3</v>
      </c>
      <c r="AE60"/>
    </row>
    <row r="61" spans="1:31" ht="15" customHeight="1">
      <c r="B61" s="87"/>
      <c r="I61" s="84"/>
      <c r="M61" s="73"/>
      <c r="O61" s="64"/>
      <c r="R61" s="691" t="s">
        <v>245</v>
      </c>
      <c r="S61" s="637">
        <f>スコア!R102</f>
        <v>3</v>
      </c>
      <c r="T61" s="452" t="str">
        <f>IF(S61=0,"N.A.","")</f>
        <v/>
      </c>
      <c r="U61" s="638" t="s">
        <v>246</v>
      </c>
      <c r="V61" s="623">
        <f>スコア!R111</f>
        <v>3.1</v>
      </c>
      <c r="W61" s="452" t="str">
        <f>IF(V61=0,"N.A.","")</f>
        <v/>
      </c>
      <c r="X61" s="691" t="s">
        <v>247</v>
      </c>
      <c r="Y61" s="623">
        <f>スコア!R129</f>
        <v>3</v>
      </c>
      <c r="Z61" s="452" t="str">
        <f>IF(Y61=0,"N.A.","")</f>
        <v/>
      </c>
      <c r="AA61" s="62"/>
      <c r="AB61" s="62"/>
      <c r="AC61" s="638" t="str">
        <f>スコア!C170</f>
        <v>社会のスマート化</v>
      </c>
      <c r="AD61" s="705">
        <f>スコア!J170</f>
        <v>3</v>
      </c>
      <c r="AE61"/>
    </row>
    <row r="62" spans="1:31" ht="15" customHeight="1" thickBot="1">
      <c r="B62" s="88"/>
      <c r="C62" s="89"/>
      <c r="D62" s="90"/>
      <c r="E62" s="89"/>
      <c r="F62" s="91"/>
      <c r="G62" s="91"/>
      <c r="H62" s="91"/>
      <c r="I62" s="92"/>
      <c r="J62" s="93"/>
      <c r="K62" s="93"/>
      <c r="L62" s="93"/>
      <c r="M62" s="647"/>
      <c r="N62" s="94"/>
      <c r="O62" s="95"/>
      <c r="R62" s="691" t="s">
        <v>248</v>
      </c>
      <c r="S62" s="637">
        <f>スコア!R103</f>
        <v>3</v>
      </c>
      <c r="T62" s="452" t="str">
        <f>IF(S62=0,"N.A.","")</f>
        <v/>
      </c>
      <c r="U62" s="444" t="s">
        <v>249</v>
      </c>
      <c r="V62" s="623">
        <f>スコア!R119</f>
        <v>3</v>
      </c>
      <c r="W62" s="452" t="str">
        <f>IF(V62=0,"N.A.","")</f>
        <v/>
      </c>
      <c r="X62" s="691" t="s">
        <v>250</v>
      </c>
      <c r="Y62" s="623">
        <f>スコア!R136</f>
        <v>2.9</v>
      </c>
      <c r="Z62" s="452" t="str">
        <f>IF(Y62=0,"N.A.","")</f>
        <v/>
      </c>
      <c r="AA62" s="62"/>
      <c r="AB62" s="62"/>
      <c r="AC62" s="638" t="str">
        <f>スコア!L168</f>
        <v>経済のスマート化</v>
      </c>
      <c r="AD62" s="705">
        <f>スコア!R168</f>
        <v>3</v>
      </c>
      <c r="AE62"/>
    </row>
    <row r="63" spans="1:31" ht="3.6" customHeight="1" thickBot="1">
      <c r="B63" s="639"/>
      <c r="C63" s="84"/>
      <c r="D63" s="640"/>
      <c r="R63" s="691" t="s">
        <v>251</v>
      </c>
      <c r="S63" s="637">
        <f>スコア!R104</f>
        <v>3</v>
      </c>
      <c r="T63" s="452" t="str">
        <f>IF(S63=0,"N.A.","")</f>
        <v/>
      </c>
      <c r="U63" s="62"/>
      <c r="V63" s="641"/>
      <c r="W63" s="641"/>
      <c r="X63" s="641"/>
      <c r="Y63" s="641"/>
      <c r="Z63" s="641"/>
      <c r="AA63" s="62"/>
      <c r="AB63" s="62"/>
      <c r="AE63"/>
    </row>
    <row r="64" spans="1:31" customFormat="1" ht="15" customHeight="1">
      <c r="B64" s="97" t="s">
        <v>164</v>
      </c>
      <c r="C64" s="98"/>
      <c r="D64" s="99"/>
      <c r="E64" s="98"/>
      <c r="F64" s="98"/>
      <c r="G64" s="98"/>
      <c r="H64" s="100"/>
      <c r="I64" s="101"/>
      <c r="J64" s="98"/>
      <c r="K64" s="98"/>
      <c r="L64" s="98"/>
      <c r="M64" s="102"/>
      <c r="N64" s="102"/>
      <c r="O64" s="182"/>
    </row>
    <row r="65" spans="2:15" customFormat="1" ht="15" customHeight="1">
      <c r="B65" s="183" t="str">
        <f>配慮!B6</f>
        <v>総合</v>
      </c>
      <c r="C65" s="184"/>
      <c r="D65" s="185"/>
      <c r="E65" s="184"/>
      <c r="F65" s="184"/>
      <c r="G65" s="184"/>
      <c r="H65" s="184"/>
      <c r="I65" s="184"/>
      <c r="J65" s="184"/>
      <c r="K65" s="186"/>
      <c r="L65" s="187" t="str">
        <f>配慮!B13</f>
        <v>その他</v>
      </c>
      <c r="M65" s="188"/>
      <c r="N65" s="188"/>
      <c r="O65" s="189"/>
    </row>
    <row r="66" spans="2:15" customFormat="1" ht="28.15" customHeight="1">
      <c r="B66" s="1286" t="str">
        <f>IF(配慮!C6="","",配慮!C6)</f>
        <v/>
      </c>
      <c r="C66" s="1287"/>
      <c r="D66" s="1287"/>
      <c r="E66" s="1287"/>
      <c r="F66" s="1287"/>
      <c r="G66" s="1287"/>
      <c r="H66" s="1287"/>
      <c r="I66" s="1287"/>
      <c r="J66" s="1287"/>
      <c r="K66" s="1288"/>
      <c r="L66" s="1262" t="str">
        <f>IF(配慮!C13="","",配慮!C13)</f>
        <v/>
      </c>
      <c r="M66" s="1262"/>
      <c r="N66" s="1262"/>
      <c r="O66" s="1265"/>
    </row>
    <row r="67" spans="2:15" customFormat="1" ht="15" customHeight="1">
      <c r="B67" s="190" t="str">
        <f>配慮!B7</f>
        <v>Q-1 環境</v>
      </c>
      <c r="C67" s="188"/>
      <c r="D67" s="188"/>
      <c r="E67" s="188"/>
      <c r="F67" s="188"/>
      <c r="G67" s="191"/>
      <c r="H67" s="275" t="str">
        <f>配慮!B8</f>
        <v>Q-2 社会</v>
      </c>
      <c r="I67" s="192"/>
      <c r="J67" s="192"/>
      <c r="K67" s="193"/>
      <c r="L67" s="276" t="str">
        <f>配慮!B9</f>
        <v>Q-3 経済</v>
      </c>
      <c r="M67" s="194"/>
      <c r="N67" s="195"/>
      <c r="O67" s="196"/>
    </row>
    <row r="68" spans="2:15" customFormat="1" ht="29.45" customHeight="1">
      <c r="B68" s="1261" t="str">
        <f>IF(配慮!C7="","",配慮!C7)</f>
        <v/>
      </c>
      <c r="C68" s="1262"/>
      <c r="D68" s="1262"/>
      <c r="E68" s="1262"/>
      <c r="F68" s="1262"/>
      <c r="G68" s="1263"/>
      <c r="H68" s="1264" t="str">
        <f>IF(配慮!C8="","",配慮!C8)</f>
        <v/>
      </c>
      <c r="I68" s="1262"/>
      <c r="J68" s="1262"/>
      <c r="K68" s="1263"/>
      <c r="L68" s="1264" t="str">
        <f>IF(配慮!C9="","",配慮!C9)</f>
        <v/>
      </c>
      <c r="M68" s="1262"/>
      <c r="N68" s="1262"/>
      <c r="O68" s="1265"/>
    </row>
    <row r="69" spans="2:15" customFormat="1" ht="15" customHeight="1">
      <c r="B69" s="190" t="str">
        <f>配慮!B10</f>
        <v>LR-1 エネルギー</v>
      </c>
      <c r="C69" s="197"/>
      <c r="D69" s="185"/>
      <c r="E69" s="185"/>
      <c r="F69" s="185"/>
      <c r="G69" s="198"/>
      <c r="H69" s="277" t="str">
        <f>配慮!B11</f>
        <v>LR-2 資源</v>
      </c>
      <c r="I69" s="188"/>
      <c r="J69" s="188"/>
      <c r="K69" s="191"/>
      <c r="L69" s="278" t="str">
        <f>配慮!B12</f>
        <v>LR-3 周辺環境</v>
      </c>
      <c r="M69" s="197"/>
      <c r="N69" s="185"/>
      <c r="O69" s="199"/>
    </row>
    <row r="70" spans="2:15" customFormat="1" ht="28.9" customHeight="1" thickBot="1">
      <c r="B70" s="1266" t="str">
        <f>IF(配慮!C10="","",配慮!C10)</f>
        <v/>
      </c>
      <c r="C70" s="1267"/>
      <c r="D70" s="1267"/>
      <c r="E70" s="1267"/>
      <c r="F70" s="1267"/>
      <c r="G70" s="1268"/>
      <c r="H70" s="1269" t="str">
        <f>IF(配慮!C11="","",配慮!C11)</f>
        <v/>
      </c>
      <c r="I70" s="1267"/>
      <c r="J70" s="1267"/>
      <c r="K70" s="1268"/>
      <c r="L70" s="1269" t="str">
        <f>IF(配慮!C12="","",配慮!C12)</f>
        <v/>
      </c>
      <c r="M70" s="1267"/>
      <c r="N70" s="1267"/>
      <c r="O70" s="1270"/>
    </row>
    <row r="71" spans="2:15" customFormat="1" ht="7.15" customHeight="1" thickBot="1"/>
    <row r="72" spans="2:15" customFormat="1" ht="15" customHeight="1">
      <c r="B72" s="97" t="s">
        <v>171</v>
      </c>
      <c r="C72" s="98"/>
      <c r="D72" s="99"/>
      <c r="E72" s="98"/>
      <c r="F72" s="98"/>
      <c r="G72" s="98"/>
      <c r="H72" s="100"/>
      <c r="I72" s="101"/>
      <c r="J72" s="98"/>
      <c r="K72" s="98"/>
      <c r="L72" s="98"/>
      <c r="M72" s="102"/>
      <c r="N72" s="102"/>
      <c r="O72" s="182"/>
    </row>
    <row r="73" spans="2:15" customFormat="1" ht="15" customHeight="1">
      <c r="B73" s="1283" t="s">
        <v>172</v>
      </c>
      <c r="C73" s="1284"/>
      <c r="D73" s="1284"/>
      <c r="E73" s="1284"/>
      <c r="F73" s="1284"/>
      <c r="G73" s="1284"/>
      <c r="H73" s="1284"/>
      <c r="I73" s="1284"/>
      <c r="J73" s="1284"/>
      <c r="K73" s="1284"/>
      <c r="L73" s="1284"/>
      <c r="M73" s="1284"/>
      <c r="N73" s="1284"/>
      <c r="O73" s="1285"/>
    </row>
    <row r="74" spans="2:15" customFormat="1" ht="13.9" customHeight="1">
      <c r="B74" s="1255" t="str">
        <f>IF(メイン!C37="","",メイン!C37)</f>
        <v>○○○</v>
      </c>
      <c r="C74" s="1256"/>
      <c r="D74" s="1256"/>
      <c r="E74" s="1256"/>
      <c r="F74" s="1256"/>
      <c r="G74" s="1256"/>
      <c r="H74" s="1256"/>
      <c r="I74" s="1256"/>
      <c r="J74" s="1256"/>
      <c r="K74" s="1256"/>
      <c r="L74" s="1256"/>
      <c r="M74" s="1256"/>
      <c r="N74" s="1256"/>
      <c r="O74" s="1257"/>
    </row>
    <row r="75" spans="2:15" customFormat="1" ht="13.9" customHeight="1" thickBot="1">
      <c r="B75" s="1258" t="str">
        <f>IF(メイン!C38="","",メイン!C38)</f>
        <v>○○○</v>
      </c>
      <c r="C75" s="1259"/>
      <c r="D75" s="1259"/>
      <c r="E75" s="1259"/>
      <c r="F75" s="1259"/>
      <c r="G75" s="1259"/>
      <c r="H75" s="1259"/>
      <c r="I75" s="1259"/>
      <c r="J75" s="1259"/>
      <c r="K75" s="1259"/>
      <c r="L75" s="1259"/>
      <c r="M75" s="1259"/>
      <c r="N75" s="1259"/>
      <c r="O75" s="1260"/>
    </row>
    <row r="76" spans="2:15" customFormat="1" ht="6" customHeight="1"/>
    <row r="77" spans="2:15" customFormat="1" ht="13.9" customHeight="1">
      <c r="B77" s="306" t="s">
        <v>252</v>
      </c>
    </row>
    <row r="78" spans="2:15" customFormat="1" ht="13.9" customHeight="1">
      <c r="B78" s="306" t="s">
        <v>253</v>
      </c>
    </row>
    <row r="79" spans="2:15" customFormat="1" ht="13.9" customHeight="1"/>
    <row r="80" spans="2:15" customFormat="1" ht="13.9" customHeight="1"/>
    <row r="81" spans="5:12" customFormat="1" ht="13.9" customHeight="1"/>
    <row r="82" spans="5:12" customFormat="1" ht="13.9" customHeight="1"/>
    <row r="83" spans="5:12" customFormat="1" ht="13.9" customHeight="1"/>
    <row r="84" spans="5:12" customFormat="1" ht="13.9" customHeight="1"/>
    <row r="85" spans="5:12" customFormat="1" ht="13.9" customHeight="1"/>
    <row r="86" spans="5:12" customFormat="1" ht="13.9" customHeight="1"/>
    <row r="87" spans="5:12" customFormat="1" ht="13.9" customHeight="1"/>
    <row r="88" spans="5:12" customFormat="1" ht="13.9" customHeight="1"/>
    <row r="89" spans="5:12" customFormat="1" ht="13.9" customHeight="1"/>
    <row r="90" spans="5:12" customFormat="1" ht="13.9" customHeight="1"/>
    <row r="91" spans="5:12" customFormat="1" ht="13.9" customHeight="1"/>
    <row r="92" spans="5:12" customFormat="1" ht="13.9" customHeight="1"/>
    <row r="93" spans="5:12" customFormat="1" ht="13.9" customHeight="1"/>
    <row r="94" spans="5:12" customFormat="1" ht="13.9" customHeight="1"/>
    <row r="95" spans="5:12" ht="13.9" customHeight="1">
      <c r="G95" s="132"/>
      <c r="L95" s="132"/>
    </row>
    <row r="96" spans="5:12" ht="13.9" customHeight="1">
      <c r="E96" s="63"/>
      <c r="F96" s="132"/>
      <c r="G96" s="132"/>
      <c r="H96" s="132"/>
      <c r="I96" s="66"/>
      <c r="L96" s="132"/>
    </row>
    <row r="97" spans="2:28" s="62" customFormat="1" ht="13.9" customHeight="1">
      <c r="B97" s="85"/>
      <c r="C97" s="121"/>
      <c r="D97" s="82"/>
      <c r="E97" s="63"/>
      <c r="F97" s="132"/>
      <c r="G97" s="132"/>
      <c r="H97" s="132"/>
      <c r="I97" s="66"/>
      <c r="J97" s="66"/>
      <c r="K97" s="132"/>
      <c r="L97" s="132"/>
      <c r="M97" s="63"/>
      <c r="N97" s="63"/>
      <c r="O97" s="63"/>
      <c r="R97" s="59"/>
      <c r="S97" s="642"/>
      <c r="T97" s="59"/>
      <c r="U97" s="59"/>
      <c r="V97" s="59"/>
      <c r="W97" s="59"/>
      <c r="X97" s="59"/>
      <c r="Y97" s="59"/>
      <c r="Z97" s="59"/>
      <c r="AA97" s="59"/>
      <c r="AB97" s="59"/>
    </row>
    <row r="98" spans="2:28" s="62" customFormat="1" ht="13.9" customHeight="1">
      <c r="B98" s="133"/>
      <c r="C98" s="134"/>
      <c r="D98" s="135"/>
      <c r="E98" s="63"/>
      <c r="F98" s="132"/>
      <c r="G98" s="130"/>
      <c r="H98" s="130"/>
      <c r="I98" s="131"/>
      <c r="J98" s="131"/>
      <c r="K98" s="66"/>
      <c r="L98" s="66"/>
      <c r="M98" s="63"/>
      <c r="N98" s="63"/>
      <c r="O98" s="63"/>
      <c r="R98" s="59"/>
      <c r="S98" s="642"/>
      <c r="T98" s="59"/>
      <c r="U98" s="59"/>
      <c r="V98" s="59"/>
      <c r="W98" s="59"/>
      <c r="X98" s="59"/>
      <c r="Y98" s="59"/>
      <c r="Z98" s="59"/>
      <c r="AA98" s="59"/>
      <c r="AB98" s="59"/>
    </row>
    <row r="99" spans="2:28" s="62" customFormat="1" ht="13.9" customHeight="1">
      <c r="B99" s="133"/>
      <c r="C99" s="133"/>
      <c r="D99" s="136"/>
      <c r="E99" s="83"/>
      <c r="F99" s="65"/>
      <c r="G99" s="130"/>
      <c r="H99" s="130"/>
      <c r="I99" s="131"/>
      <c r="J99" s="131"/>
      <c r="K99" s="66"/>
      <c r="L99" s="66"/>
      <c r="M99" s="63"/>
      <c r="N99" s="63"/>
      <c r="O99" s="63"/>
      <c r="R99" s="59"/>
      <c r="S99" s="642"/>
      <c r="T99" s="59"/>
      <c r="U99" s="59"/>
      <c r="V99" s="59"/>
      <c r="W99" s="59"/>
      <c r="X99" s="59"/>
      <c r="Y99" s="59"/>
      <c r="Z99" s="59"/>
      <c r="AA99" s="59"/>
      <c r="AB99" s="59"/>
    </row>
    <row r="100" spans="2:28" s="62" customFormat="1" ht="13.9" customHeight="1">
      <c r="B100" s="85"/>
      <c r="C100" s="85"/>
      <c r="D100" s="86"/>
      <c r="E100" s="83"/>
      <c r="F100" s="65"/>
      <c r="G100" s="65"/>
      <c r="H100" s="65"/>
      <c r="I100" s="81"/>
      <c r="J100" s="81"/>
      <c r="K100" s="65"/>
      <c r="L100" s="65"/>
      <c r="M100" s="63"/>
      <c r="N100" s="63"/>
      <c r="O100" s="63"/>
      <c r="R100" s="59"/>
      <c r="S100" s="642"/>
      <c r="T100" s="59"/>
      <c r="U100" s="59"/>
      <c r="V100" s="59"/>
      <c r="W100" s="59"/>
      <c r="X100" s="59"/>
      <c r="Y100" s="59"/>
      <c r="Z100" s="59"/>
      <c r="AA100" s="59"/>
      <c r="AB100" s="59"/>
    </row>
    <row r="101" spans="2:28" s="62" customFormat="1" ht="13.9" customHeight="1">
      <c r="B101" s="85"/>
      <c r="C101" s="85"/>
      <c r="D101" s="86"/>
      <c r="E101" s="83"/>
      <c r="F101" s="65"/>
      <c r="G101" s="65"/>
      <c r="H101" s="65"/>
      <c r="I101" s="81"/>
      <c r="J101" s="81"/>
      <c r="K101" s="65"/>
      <c r="L101" s="65"/>
      <c r="M101" s="63"/>
      <c r="N101" s="63"/>
      <c r="O101" s="63"/>
      <c r="R101" s="59"/>
      <c r="S101" s="642"/>
      <c r="T101" s="59"/>
      <c r="U101" s="59"/>
      <c r="V101" s="59"/>
      <c r="W101" s="59"/>
      <c r="X101" s="59"/>
      <c r="Y101" s="59"/>
      <c r="Z101" s="59"/>
      <c r="AA101" s="59"/>
      <c r="AB101" s="59"/>
    </row>
    <row r="102" spans="2:28" s="62" customFormat="1" ht="13.9" customHeight="1">
      <c r="B102" s="85"/>
      <c r="C102" s="85"/>
      <c r="D102" s="86"/>
      <c r="E102" s="83"/>
      <c r="F102" s="65"/>
      <c r="G102" s="65"/>
      <c r="H102" s="65"/>
      <c r="I102" s="81"/>
      <c r="J102" s="81"/>
      <c r="K102" s="65"/>
      <c r="L102" s="65"/>
      <c r="M102" s="63"/>
      <c r="N102" s="63"/>
      <c r="O102" s="63"/>
      <c r="R102" s="59"/>
      <c r="S102" s="642"/>
      <c r="T102" s="59"/>
      <c r="U102" s="59"/>
      <c r="V102" s="59"/>
      <c r="W102" s="59"/>
      <c r="X102" s="59"/>
      <c r="Y102" s="59"/>
      <c r="Z102" s="59"/>
      <c r="AA102" s="59"/>
      <c r="AB102" s="59"/>
    </row>
    <row r="103" spans="2:28" s="62" customFormat="1" ht="13.9" customHeight="1">
      <c r="B103" s="85"/>
      <c r="C103" s="85"/>
      <c r="D103" s="86"/>
      <c r="E103" s="83"/>
      <c r="F103" s="65"/>
      <c r="G103" s="65"/>
      <c r="H103" s="65"/>
      <c r="I103" s="81"/>
      <c r="J103" s="81"/>
      <c r="K103" s="65"/>
      <c r="L103" s="65"/>
      <c r="M103" s="63"/>
      <c r="N103" s="63"/>
      <c r="O103" s="63"/>
      <c r="R103" s="59"/>
      <c r="S103" s="642"/>
      <c r="T103" s="59"/>
      <c r="U103" s="59"/>
      <c r="V103" s="59"/>
      <c r="W103" s="59"/>
      <c r="X103" s="59"/>
      <c r="Y103" s="59"/>
      <c r="Z103" s="59"/>
      <c r="AA103" s="59"/>
      <c r="AB103" s="59"/>
    </row>
    <row r="104" spans="2:28" s="62" customFormat="1" ht="13.9" customHeight="1">
      <c r="B104" s="85"/>
      <c r="C104" s="85"/>
      <c r="D104" s="86"/>
      <c r="E104" s="83"/>
      <c r="F104" s="65"/>
      <c r="G104" s="65"/>
      <c r="H104" s="65"/>
      <c r="I104" s="81"/>
      <c r="J104" s="81"/>
      <c r="K104" s="65"/>
      <c r="L104" s="65"/>
      <c r="M104" s="63"/>
      <c r="N104" s="63"/>
      <c r="O104" s="63"/>
      <c r="R104" s="59"/>
      <c r="S104" s="642"/>
      <c r="T104" s="59"/>
      <c r="U104" s="59"/>
      <c r="V104" s="59"/>
      <c r="W104" s="59"/>
      <c r="X104" s="59"/>
      <c r="Y104" s="59"/>
      <c r="Z104" s="59"/>
      <c r="AA104" s="59"/>
      <c r="AB104" s="59"/>
    </row>
    <row r="105" spans="2:28" s="62" customFormat="1" ht="13.9" customHeight="1">
      <c r="B105" s="85"/>
      <c r="C105" s="85"/>
      <c r="D105" s="86"/>
      <c r="E105" s="83"/>
      <c r="F105" s="65"/>
      <c r="G105" s="65"/>
      <c r="H105" s="65"/>
      <c r="I105" s="81"/>
      <c r="J105" s="81"/>
      <c r="K105" s="65"/>
      <c r="L105" s="65"/>
      <c r="M105" s="63"/>
      <c r="N105" s="63"/>
      <c r="O105" s="63"/>
      <c r="R105" s="59"/>
      <c r="S105" s="642"/>
      <c r="T105" s="59"/>
      <c r="U105" s="59"/>
      <c r="V105" s="59"/>
      <c r="W105" s="59"/>
      <c r="X105" s="59"/>
      <c r="Y105" s="59"/>
      <c r="Z105" s="59"/>
      <c r="AA105" s="59"/>
      <c r="AB105" s="59"/>
    </row>
    <row r="106" spans="2:28" s="62" customFormat="1" ht="13.9" customHeight="1">
      <c r="B106" s="85"/>
      <c r="C106" s="85"/>
      <c r="D106" s="86"/>
      <c r="E106" s="83"/>
      <c r="F106" s="65"/>
      <c r="G106" s="65"/>
      <c r="H106" s="65"/>
      <c r="I106" s="81"/>
      <c r="J106" s="81"/>
      <c r="K106" s="65"/>
      <c r="L106" s="65"/>
      <c r="M106" s="63"/>
      <c r="N106" s="63"/>
      <c r="O106" s="63"/>
      <c r="R106" s="59"/>
      <c r="S106" s="642"/>
      <c r="T106" s="59"/>
      <c r="U106" s="59"/>
      <c r="V106" s="59"/>
      <c r="W106" s="59"/>
      <c r="X106" s="59"/>
      <c r="Y106" s="59"/>
      <c r="Z106" s="59"/>
      <c r="AA106" s="59"/>
      <c r="AB106" s="59"/>
    </row>
    <row r="107" spans="2:28" s="62" customFormat="1" ht="13.9" customHeight="1">
      <c r="B107" s="85"/>
      <c r="C107" s="85"/>
      <c r="D107" s="86"/>
      <c r="E107" s="83"/>
      <c r="F107" s="65"/>
      <c r="G107" s="65"/>
      <c r="H107" s="65"/>
      <c r="I107" s="81"/>
      <c r="J107" s="81"/>
      <c r="K107" s="65"/>
      <c r="L107" s="65"/>
      <c r="M107" s="63"/>
      <c r="N107" s="63"/>
      <c r="O107" s="63"/>
      <c r="R107" s="59"/>
      <c r="S107" s="642"/>
      <c r="T107" s="59"/>
      <c r="U107" s="59"/>
      <c r="V107" s="59"/>
      <c r="W107" s="59"/>
      <c r="X107" s="59"/>
      <c r="Y107" s="59"/>
      <c r="Z107" s="59"/>
      <c r="AA107" s="59"/>
      <c r="AB107" s="59"/>
    </row>
    <row r="108" spans="2:28" s="62" customFormat="1" ht="13.9" customHeight="1">
      <c r="B108" s="85"/>
      <c r="C108" s="85"/>
      <c r="D108" s="86"/>
      <c r="E108" s="83"/>
      <c r="F108" s="65"/>
      <c r="G108" s="65"/>
      <c r="H108" s="65"/>
      <c r="I108" s="81"/>
      <c r="J108" s="81"/>
      <c r="K108" s="65"/>
      <c r="L108" s="65"/>
      <c r="M108" s="63"/>
      <c r="N108" s="63"/>
      <c r="O108" s="63"/>
      <c r="R108" s="59"/>
      <c r="S108" s="642"/>
      <c r="T108" s="59"/>
      <c r="U108" s="59"/>
      <c r="V108" s="59"/>
      <c r="W108" s="59"/>
      <c r="X108" s="59"/>
      <c r="Y108" s="59"/>
      <c r="Z108" s="59"/>
      <c r="AA108" s="59"/>
      <c r="AB108" s="59"/>
    </row>
    <row r="109" spans="2:28" s="62" customFormat="1" ht="13.9" customHeight="1">
      <c r="B109" s="85"/>
      <c r="C109" s="85"/>
      <c r="D109" s="86"/>
      <c r="E109" s="83"/>
      <c r="F109" s="65"/>
      <c r="G109" s="65"/>
      <c r="H109" s="65"/>
      <c r="I109" s="81"/>
      <c r="J109" s="81"/>
      <c r="K109" s="65"/>
      <c r="L109" s="65"/>
      <c r="M109" s="63"/>
      <c r="N109" s="63"/>
      <c r="O109" s="63"/>
      <c r="R109" s="59"/>
      <c r="S109" s="642"/>
      <c r="T109" s="59"/>
      <c r="U109" s="59"/>
      <c r="V109" s="59"/>
      <c r="W109" s="59"/>
      <c r="X109" s="59"/>
      <c r="Y109" s="59"/>
      <c r="Z109" s="59"/>
      <c r="AA109" s="59"/>
      <c r="AB109" s="59"/>
    </row>
    <row r="110" spans="2:28" s="62" customFormat="1" ht="13.9" customHeight="1">
      <c r="B110" s="85"/>
      <c r="C110" s="85"/>
      <c r="D110" s="86"/>
      <c r="E110" s="83"/>
      <c r="F110" s="65"/>
      <c r="G110" s="65"/>
      <c r="H110" s="65"/>
      <c r="I110" s="81"/>
      <c r="J110" s="81"/>
      <c r="K110" s="65"/>
      <c r="L110" s="65"/>
      <c r="M110" s="63"/>
      <c r="N110" s="63"/>
      <c r="O110" s="63"/>
      <c r="R110" s="59"/>
      <c r="S110" s="642"/>
      <c r="T110" s="59"/>
      <c r="U110" s="59"/>
      <c r="V110" s="59"/>
      <c r="W110" s="59"/>
      <c r="X110" s="59"/>
      <c r="Y110" s="59"/>
      <c r="Z110" s="59"/>
      <c r="AA110" s="59"/>
      <c r="AB110" s="59"/>
    </row>
    <row r="111" spans="2:28" s="62" customFormat="1" ht="13.9" customHeight="1">
      <c r="B111" s="85"/>
      <c r="C111" s="85"/>
      <c r="D111" s="86"/>
      <c r="E111" s="83"/>
      <c r="F111" s="65"/>
      <c r="G111" s="65"/>
      <c r="H111" s="65"/>
      <c r="I111" s="81"/>
      <c r="J111" s="81"/>
      <c r="K111" s="65"/>
      <c r="L111" s="65"/>
      <c r="M111" s="63"/>
      <c r="N111" s="63"/>
      <c r="O111" s="63"/>
      <c r="R111" s="59"/>
      <c r="S111" s="642"/>
      <c r="T111" s="59"/>
      <c r="U111" s="59"/>
      <c r="V111" s="59"/>
      <c r="W111" s="59"/>
      <c r="X111" s="59"/>
      <c r="Y111" s="59"/>
      <c r="Z111" s="59"/>
      <c r="AA111" s="59"/>
      <c r="AB111" s="59"/>
    </row>
    <row r="112" spans="2:28" s="62" customFormat="1" ht="13.9" customHeight="1">
      <c r="B112" s="85"/>
      <c r="C112" s="85"/>
      <c r="D112" s="86"/>
      <c r="E112" s="83"/>
      <c r="F112" s="65"/>
      <c r="G112" s="65"/>
      <c r="H112" s="65"/>
      <c r="I112" s="81"/>
      <c r="J112" s="81"/>
      <c r="K112" s="65"/>
      <c r="L112" s="65"/>
      <c r="M112" s="63"/>
      <c r="N112" s="63"/>
      <c r="O112" s="63"/>
      <c r="R112" s="59"/>
      <c r="S112" s="642"/>
      <c r="T112" s="59"/>
      <c r="U112" s="59"/>
      <c r="V112" s="59"/>
      <c r="W112" s="59"/>
      <c r="X112" s="59"/>
      <c r="Y112" s="59"/>
      <c r="Z112" s="59"/>
      <c r="AA112" s="59"/>
      <c r="AB112" s="59"/>
    </row>
    <row r="113" spans="2:28" s="62" customFormat="1" ht="13.9" customHeight="1">
      <c r="B113" s="85"/>
      <c r="C113" s="85"/>
      <c r="D113" s="86"/>
      <c r="E113" s="83"/>
      <c r="F113" s="65"/>
      <c r="G113" s="65"/>
      <c r="H113" s="65"/>
      <c r="I113" s="81"/>
      <c r="J113" s="81"/>
      <c r="K113" s="65"/>
      <c r="L113" s="65"/>
      <c r="M113" s="63"/>
      <c r="N113" s="63"/>
      <c r="O113" s="63"/>
      <c r="R113" s="59"/>
      <c r="S113" s="642"/>
      <c r="T113" s="59"/>
      <c r="U113" s="59"/>
      <c r="V113" s="59"/>
      <c r="W113" s="59"/>
      <c r="X113" s="59"/>
      <c r="Y113" s="59"/>
      <c r="Z113" s="59"/>
      <c r="AA113" s="59"/>
      <c r="AB113" s="59"/>
    </row>
    <row r="114" spans="2:28" s="62" customFormat="1" ht="13.9" customHeight="1">
      <c r="B114" s="85"/>
      <c r="C114" s="85"/>
      <c r="D114" s="86"/>
      <c r="E114" s="83"/>
      <c r="F114" s="65"/>
      <c r="G114" s="65"/>
      <c r="H114" s="65"/>
      <c r="I114" s="81"/>
      <c r="J114" s="81"/>
      <c r="K114" s="65"/>
      <c r="L114" s="65"/>
      <c r="M114" s="63"/>
      <c r="N114" s="63"/>
      <c r="O114" s="63"/>
      <c r="R114" s="59"/>
      <c r="S114" s="642"/>
      <c r="T114" s="59"/>
      <c r="U114" s="59"/>
      <c r="V114" s="59"/>
      <c r="W114" s="59"/>
      <c r="X114" s="59"/>
      <c r="Y114" s="59"/>
      <c r="Z114" s="59"/>
      <c r="AA114" s="59"/>
      <c r="AB114" s="59"/>
    </row>
    <row r="115" spans="2:28" s="62" customFormat="1" ht="13.9" customHeight="1">
      <c r="B115" s="85"/>
      <c r="C115" s="85"/>
      <c r="D115" s="86"/>
      <c r="E115" s="83"/>
      <c r="F115" s="65"/>
      <c r="G115" s="65"/>
      <c r="H115" s="65"/>
      <c r="I115" s="81"/>
      <c r="J115" s="81"/>
      <c r="K115" s="65"/>
      <c r="L115" s="65"/>
      <c r="M115" s="63"/>
      <c r="N115" s="63"/>
      <c r="O115" s="63"/>
      <c r="R115" s="59"/>
      <c r="S115" s="642"/>
      <c r="T115" s="59"/>
      <c r="U115" s="59"/>
      <c r="V115" s="59"/>
      <c r="W115" s="59"/>
      <c r="X115" s="59"/>
      <c r="Y115" s="59"/>
      <c r="Z115" s="59"/>
      <c r="AA115" s="59"/>
      <c r="AB115" s="59"/>
    </row>
    <row r="116" spans="2:28" s="62" customFormat="1" ht="13.9" customHeight="1">
      <c r="B116" s="85"/>
      <c r="C116" s="85"/>
      <c r="D116" s="86"/>
      <c r="E116" s="83"/>
      <c r="F116" s="65"/>
      <c r="G116" s="65"/>
      <c r="H116" s="65"/>
      <c r="I116" s="81"/>
      <c r="J116" s="81"/>
      <c r="K116" s="65"/>
      <c r="L116" s="65"/>
      <c r="M116" s="63"/>
      <c r="N116" s="63"/>
      <c r="O116" s="63"/>
      <c r="R116" s="59"/>
      <c r="S116" s="642"/>
      <c r="T116" s="59"/>
      <c r="U116" s="59"/>
      <c r="V116" s="59"/>
      <c r="W116" s="59"/>
      <c r="X116" s="59"/>
      <c r="Y116" s="59"/>
      <c r="Z116" s="59"/>
      <c r="AA116" s="59"/>
      <c r="AB116" s="59"/>
    </row>
    <row r="117" spans="2:28" s="62" customFormat="1" ht="13.9" customHeight="1">
      <c r="B117" s="85"/>
      <c r="C117" s="85"/>
      <c r="D117" s="86"/>
      <c r="E117" s="83"/>
      <c r="F117" s="65"/>
      <c r="G117" s="65"/>
      <c r="H117" s="65"/>
      <c r="I117" s="81"/>
      <c r="J117" s="81"/>
      <c r="K117" s="65"/>
      <c r="L117" s="65"/>
      <c r="M117" s="63"/>
      <c r="N117" s="63"/>
      <c r="O117" s="63"/>
      <c r="R117" s="59"/>
      <c r="S117" s="642"/>
      <c r="T117" s="59"/>
      <c r="U117" s="59"/>
      <c r="V117" s="59"/>
      <c r="W117" s="59"/>
      <c r="X117" s="59"/>
      <c r="Y117" s="59"/>
      <c r="Z117" s="59"/>
      <c r="AA117" s="59"/>
      <c r="AB117" s="59"/>
    </row>
    <row r="118" spans="2:28" s="62" customFormat="1" ht="13.9" customHeight="1">
      <c r="B118" s="85"/>
      <c r="C118" s="85"/>
      <c r="D118" s="86"/>
      <c r="E118" s="83"/>
      <c r="F118" s="65"/>
      <c r="G118" s="65"/>
      <c r="H118" s="65"/>
      <c r="I118" s="81"/>
      <c r="J118" s="81"/>
      <c r="K118" s="65"/>
      <c r="L118" s="65"/>
      <c r="M118" s="63"/>
      <c r="N118" s="63"/>
      <c r="O118" s="63"/>
      <c r="R118" s="59"/>
      <c r="S118" s="642"/>
      <c r="T118" s="59"/>
      <c r="U118" s="59"/>
      <c r="V118" s="59"/>
      <c r="W118" s="59"/>
      <c r="X118" s="59"/>
      <c r="Y118" s="59"/>
      <c r="Z118" s="59"/>
      <c r="AA118" s="59"/>
      <c r="AB118" s="59"/>
    </row>
    <row r="119" spans="2:28" s="62" customFormat="1" ht="13.9" customHeight="1">
      <c r="B119" s="85"/>
      <c r="C119" s="85"/>
      <c r="D119" s="86"/>
      <c r="E119" s="83"/>
      <c r="F119" s="65"/>
      <c r="G119" s="65"/>
      <c r="H119" s="65"/>
      <c r="I119" s="81"/>
      <c r="J119" s="81"/>
      <c r="K119" s="65"/>
      <c r="L119" s="65"/>
      <c r="M119" s="63"/>
      <c r="N119" s="63"/>
      <c r="O119" s="63"/>
      <c r="R119" s="59"/>
      <c r="S119" s="642"/>
      <c r="T119" s="59"/>
      <c r="U119" s="59"/>
      <c r="V119" s="59"/>
      <c r="W119" s="59"/>
      <c r="X119" s="59"/>
      <c r="Y119" s="59"/>
      <c r="Z119" s="59"/>
      <c r="AA119" s="59"/>
      <c r="AB119" s="59"/>
    </row>
    <row r="120" spans="2:28" s="62" customFormat="1" ht="13.9" customHeight="1">
      <c r="B120" s="85"/>
      <c r="C120" s="85"/>
      <c r="D120" s="86"/>
      <c r="E120" s="83"/>
      <c r="F120" s="65"/>
      <c r="G120" s="65"/>
      <c r="H120" s="65"/>
      <c r="I120" s="81"/>
      <c r="J120" s="81"/>
      <c r="K120" s="65"/>
      <c r="L120" s="65"/>
      <c r="M120" s="63"/>
      <c r="N120" s="63"/>
      <c r="O120" s="63"/>
      <c r="R120" s="59"/>
      <c r="S120" s="642"/>
      <c r="T120" s="59"/>
      <c r="U120" s="59"/>
      <c r="V120" s="59"/>
      <c r="W120" s="59"/>
      <c r="X120" s="59"/>
      <c r="Y120" s="59"/>
      <c r="Z120" s="59"/>
      <c r="AA120" s="59"/>
      <c r="AB120" s="59"/>
    </row>
    <row r="121" spans="2:28" s="62" customFormat="1" ht="13.9" customHeight="1">
      <c r="B121" s="85"/>
      <c r="C121" s="85"/>
      <c r="D121" s="86"/>
      <c r="E121" s="83"/>
      <c r="F121" s="65"/>
      <c r="G121" s="65"/>
      <c r="H121" s="65"/>
      <c r="I121" s="81"/>
      <c r="J121" s="81"/>
      <c r="K121" s="65"/>
      <c r="L121" s="65"/>
      <c r="M121" s="63"/>
      <c r="N121" s="63"/>
      <c r="O121" s="63"/>
      <c r="R121" s="59"/>
      <c r="S121" s="642"/>
      <c r="T121" s="59"/>
      <c r="U121" s="59"/>
      <c r="V121" s="59"/>
      <c r="W121" s="59"/>
      <c r="X121" s="59"/>
      <c r="Y121" s="59"/>
      <c r="Z121" s="59"/>
      <c r="AA121" s="59"/>
      <c r="AB121" s="59"/>
    </row>
    <row r="122" spans="2:28" s="62" customFormat="1" ht="13.9" customHeight="1">
      <c r="B122" s="85"/>
      <c r="C122" s="85"/>
      <c r="D122" s="86"/>
      <c r="E122" s="83"/>
      <c r="F122" s="65"/>
      <c r="G122" s="65"/>
      <c r="H122" s="65"/>
      <c r="I122" s="81"/>
      <c r="J122" s="81"/>
      <c r="K122" s="65"/>
      <c r="L122" s="65"/>
      <c r="M122" s="63"/>
      <c r="N122" s="63"/>
      <c r="O122" s="63"/>
      <c r="R122" s="59"/>
      <c r="S122" s="642"/>
      <c r="T122" s="59"/>
      <c r="U122" s="59"/>
      <c r="V122" s="59"/>
      <c r="W122" s="59"/>
      <c r="X122" s="59"/>
      <c r="Y122" s="59"/>
      <c r="Z122" s="59"/>
      <c r="AA122" s="59"/>
      <c r="AB122" s="59"/>
    </row>
    <row r="123" spans="2:28" s="62" customFormat="1" ht="13.9" customHeight="1">
      <c r="B123" s="85"/>
      <c r="C123" s="85"/>
      <c r="D123" s="86"/>
      <c r="E123" s="83"/>
      <c r="F123" s="65"/>
      <c r="G123" s="65"/>
      <c r="H123" s="65"/>
      <c r="I123" s="81"/>
      <c r="J123" s="81"/>
      <c r="K123" s="65"/>
      <c r="L123" s="65"/>
      <c r="M123" s="63"/>
      <c r="N123" s="63"/>
      <c r="O123" s="63"/>
      <c r="R123" s="59"/>
      <c r="S123" s="642"/>
      <c r="T123" s="59"/>
      <c r="U123" s="59"/>
      <c r="V123" s="59"/>
      <c r="W123" s="59"/>
      <c r="X123" s="59"/>
      <c r="Y123" s="59"/>
      <c r="Z123" s="59"/>
      <c r="AA123" s="59"/>
      <c r="AB123" s="59"/>
    </row>
    <row r="124" spans="2:28" s="62" customFormat="1" ht="13.9" customHeight="1">
      <c r="B124" s="85"/>
      <c r="C124" s="85"/>
      <c r="D124" s="86"/>
      <c r="E124" s="83"/>
      <c r="F124" s="65"/>
      <c r="G124" s="65"/>
      <c r="H124" s="65"/>
      <c r="I124" s="81"/>
      <c r="J124" s="81"/>
      <c r="K124" s="65"/>
      <c r="L124" s="65"/>
      <c r="M124" s="63"/>
      <c r="N124" s="63"/>
      <c r="O124" s="63"/>
      <c r="R124" s="59"/>
      <c r="S124" s="642"/>
      <c r="T124" s="59"/>
      <c r="U124" s="59"/>
      <c r="V124" s="59"/>
      <c r="W124" s="59"/>
      <c r="X124" s="59"/>
      <c r="Y124" s="59"/>
      <c r="Z124" s="59"/>
      <c r="AA124" s="59"/>
      <c r="AB124" s="59"/>
    </row>
    <row r="125" spans="2:28" s="62" customFormat="1" ht="13.9" customHeight="1">
      <c r="B125" s="85"/>
      <c r="C125" s="85"/>
      <c r="D125" s="86"/>
      <c r="E125" s="83"/>
      <c r="F125" s="65"/>
      <c r="G125" s="65"/>
      <c r="H125" s="65"/>
      <c r="I125" s="81"/>
      <c r="J125" s="81"/>
      <c r="K125" s="65"/>
      <c r="L125" s="65"/>
      <c r="M125" s="63"/>
      <c r="N125" s="63"/>
      <c r="O125" s="63"/>
      <c r="R125" s="59"/>
      <c r="S125" s="642"/>
      <c r="T125" s="59"/>
      <c r="U125" s="59"/>
      <c r="V125" s="59"/>
      <c r="W125" s="59"/>
      <c r="X125" s="59"/>
      <c r="Y125" s="59"/>
      <c r="Z125" s="59"/>
      <c r="AA125" s="59"/>
      <c r="AB125" s="59"/>
    </row>
    <row r="126" spans="2:28" s="62" customFormat="1" ht="13.9" customHeight="1">
      <c r="B126" s="85"/>
      <c r="C126" s="85"/>
      <c r="D126" s="86"/>
      <c r="E126" s="83"/>
      <c r="F126" s="65"/>
      <c r="G126" s="65"/>
      <c r="H126" s="65"/>
      <c r="I126" s="81"/>
      <c r="J126" s="81"/>
      <c r="K126" s="65"/>
      <c r="L126" s="65"/>
      <c r="M126" s="63"/>
      <c r="N126" s="63"/>
      <c r="O126" s="63"/>
      <c r="R126" s="59"/>
      <c r="S126" s="642"/>
      <c r="T126" s="59"/>
      <c r="U126" s="59"/>
      <c r="V126" s="59"/>
      <c r="W126" s="59"/>
      <c r="X126" s="59"/>
      <c r="Y126" s="59"/>
      <c r="Z126" s="59"/>
      <c r="AA126" s="59"/>
      <c r="AB126" s="59"/>
    </row>
    <row r="127" spans="2:28" s="62" customFormat="1" ht="13.9" customHeight="1">
      <c r="B127" s="85"/>
      <c r="C127" s="85"/>
      <c r="D127" s="86"/>
      <c r="E127" s="83"/>
      <c r="F127" s="65"/>
      <c r="G127" s="65"/>
      <c r="H127" s="65"/>
      <c r="I127" s="81"/>
      <c r="J127" s="81"/>
      <c r="K127" s="65"/>
      <c r="L127" s="65"/>
      <c r="M127" s="63"/>
      <c r="N127" s="63"/>
      <c r="O127" s="63"/>
      <c r="R127" s="59"/>
      <c r="S127" s="642"/>
      <c r="T127" s="59"/>
      <c r="U127" s="59"/>
      <c r="V127" s="59"/>
      <c r="W127" s="59"/>
      <c r="X127" s="59"/>
      <c r="Y127" s="59"/>
      <c r="Z127" s="59"/>
      <c r="AA127" s="59"/>
      <c r="AB127" s="59"/>
    </row>
    <row r="128" spans="2:28" s="62" customFormat="1" ht="13.9" customHeight="1">
      <c r="B128" s="85"/>
      <c r="C128" s="85"/>
      <c r="D128" s="86"/>
      <c r="E128" s="83"/>
      <c r="F128" s="65"/>
      <c r="G128" s="65"/>
      <c r="H128" s="65"/>
      <c r="I128" s="81"/>
      <c r="J128" s="81"/>
      <c r="K128" s="65"/>
      <c r="L128" s="65"/>
      <c r="M128" s="63"/>
      <c r="N128" s="63"/>
      <c r="O128" s="63"/>
      <c r="R128" s="59"/>
      <c r="S128" s="642"/>
      <c r="T128" s="59"/>
      <c r="U128" s="59"/>
      <c r="V128" s="59"/>
      <c r="W128" s="59"/>
      <c r="X128" s="59"/>
      <c r="Y128" s="59"/>
      <c r="Z128" s="59"/>
      <c r="AA128" s="59"/>
      <c r="AB128" s="59"/>
    </row>
    <row r="129" spans="2:28" s="62" customFormat="1" ht="13.9" customHeight="1">
      <c r="B129" s="85"/>
      <c r="C129" s="85"/>
      <c r="D129" s="86"/>
      <c r="E129" s="83"/>
      <c r="F129" s="65"/>
      <c r="G129" s="65"/>
      <c r="H129" s="65"/>
      <c r="I129" s="81"/>
      <c r="J129" s="81"/>
      <c r="K129" s="65"/>
      <c r="L129" s="65"/>
      <c r="M129" s="63"/>
      <c r="N129" s="63"/>
      <c r="O129" s="63"/>
      <c r="R129" s="59"/>
      <c r="S129" s="642"/>
      <c r="T129" s="59"/>
      <c r="U129" s="59"/>
      <c r="V129" s="59"/>
      <c r="W129" s="59"/>
      <c r="X129" s="59"/>
      <c r="Y129" s="59"/>
      <c r="Z129" s="59"/>
      <c r="AA129" s="59"/>
      <c r="AB129" s="59"/>
    </row>
    <row r="130" spans="2:28" s="62" customFormat="1" ht="13.9" customHeight="1">
      <c r="B130" s="85"/>
      <c r="C130" s="85"/>
      <c r="D130" s="86"/>
      <c r="E130" s="83"/>
      <c r="F130" s="65"/>
      <c r="G130" s="65"/>
      <c r="H130" s="65"/>
      <c r="I130" s="81"/>
      <c r="J130" s="81"/>
      <c r="K130" s="65"/>
      <c r="L130" s="65"/>
      <c r="M130" s="63"/>
      <c r="N130" s="63"/>
      <c r="O130" s="63"/>
      <c r="R130" s="59"/>
      <c r="S130" s="642"/>
      <c r="T130" s="59"/>
      <c r="U130" s="59"/>
      <c r="V130" s="59"/>
      <c r="W130" s="59"/>
      <c r="X130" s="59"/>
      <c r="Y130" s="59"/>
      <c r="Z130" s="59"/>
      <c r="AA130" s="59"/>
      <c r="AB130" s="59"/>
    </row>
    <row r="131" spans="2:28" s="62" customFormat="1" ht="13.9" customHeight="1">
      <c r="B131" s="85"/>
      <c r="C131" s="85"/>
      <c r="D131" s="86"/>
      <c r="E131" s="83"/>
      <c r="F131" s="65"/>
      <c r="G131" s="65"/>
      <c r="H131" s="65"/>
      <c r="I131" s="81"/>
      <c r="J131" s="81"/>
      <c r="K131" s="65"/>
      <c r="L131" s="65"/>
      <c r="M131" s="63"/>
      <c r="N131" s="63"/>
      <c r="O131" s="63"/>
      <c r="R131" s="59"/>
      <c r="S131" s="642"/>
      <c r="T131" s="59"/>
      <c r="U131" s="59"/>
      <c r="V131" s="59"/>
      <c r="W131" s="59"/>
      <c r="X131" s="59"/>
      <c r="Y131" s="59"/>
      <c r="Z131" s="59"/>
      <c r="AA131" s="59"/>
      <c r="AB131" s="59"/>
    </row>
    <row r="132" spans="2:28" s="62" customFormat="1" ht="13.9" customHeight="1">
      <c r="B132" s="85"/>
      <c r="C132" s="85"/>
      <c r="D132" s="86"/>
      <c r="E132" s="83"/>
      <c r="F132" s="65"/>
      <c r="G132" s="65"/>
      <c r="H132" s="65"/>
      <c r="I132" s="81"/>
      <c r="J132" s="81"/>
      <c r="K132" s="65"/>
      <c r="L132" s="65"/>
      <c r="M132" s="63"/>
      <c r="N132" s="63"/>
      <c r="O132" s="63"/>
      <c r="R132" s="59"/>
      <c r="S132" s="642"/>
      <c r="T132" s="59"/>
      <c r="U132" s="59"/>
      <c r="V132" s="59"/>
      <c r="W132" s="59"/>
      <c r="X132" s="59"/>
      <c r="Y132" s="59"/>
      <c r="Z132" s="59"/>
      <c r="AA132" s="59"/>
      <c r="AB132" s="59"/>
    </row>
    <row r="133" spans="2:28" s="62" customFormat="1" ht="13.9" customHeight="1">
      <c r="B133" s="85"/>
      <c r="C133" s="85"/>
      <c r="D133" s="86"/>
      <c r="E133" s="83"/>
      <c r="F133" s="65"/>
      <c r="G133" s="65"/>
      <c r="H133" s="65"/>
      <c r="I133" s="81"/>
      <c r="J133" s="81"/>
      <c r="K133" s="65"/>
      <c r="L133" s="65"/>
      <c r="M133" s="63"/>
      <c r="N133" s="63"/>
      <c r="O133" s="63"/>
      <c r="R133" s="59"/>
      <c r="S133" s="642"/>
      <c r="T133" s="59"/>
      <c r="U133" s="59"/>
      <c r="V133" s="59"/>
      <c r="W133" s="59"/>
      <c r="X133" s="59"/>
      <c r="Y133" s="59"/>
      <c r="Z133" s="59"/>
      <c r="AA133" s="59"/>
      <c r="AB133" s="59"/>
    </row>
    <row r="134" spans="2:28" s="62" customFormat="1" ht="13.9" customHeight="1">
      <c r="B134" s="85"/>
      <c r="C134" s="85"/>
      <c r="D134" s="86"/>
      <c r="E134" s="83"/>
      <c r="F134" s="65"/>
      <c r="G134" s="65"/>
      <c r="H134" s="65"/>
      <c r="I134" s="81"/>
      <c r="J134" s="81"/>
      <c r="K134" s="65"/>
      <c r="L134" s="65"/>
      <c r="M134" s="63"/>
      <c r="N134" s="63"/>
      <c r="O134" s="63"/>
      <c r="R134" s="59"/>
      <c r="S134" s="642"/>
      <c r="T134" s="59"/>
      <c r="U134" s="59"/>
      <c r="V134" s="59"/>
      <c r="W134" s="59"/>
      <c r="X134" s="59"/>
      <c r="Y134" s="59"/>
      <c r="Z134" s="59"/>
      <c r="AA134" s="59"/>
      <c r="AB134" s="59"/>
    </row>
    <row r="135" spans="2:28" s="62" customFormat="1" ht="13.9" customHeight="1">
      <c r="B135" s="85"/>
      <c r="C135" s="85"/>
      <c r="D135" s="86"/>
      <c r="E135" s="83"/>
      <c r="F135" s="65"/>
      <c r="G135" s="65"/>
      <c r="H135" s="65"/>
      <c r="I135" s="81"/>
      <c r="J135" s="81"/>
      <c r="K135" s="65"/>
      <c r="L135" s="65"/>
      <c r="M135" s="63"/>
      <c r="N135" s="63"/>
      <c r="O135" s="63"/>
      <c r="R135" s="59"/>
      <c r="S135" s="642"/>
      <c r="T135" s="59"/>
      <c r="U135" s="59"/>
      <c r="V135" s="59"/>
      <c r="W135" s="59"/>
      <c r="X135" s="59"/>
      <c r="Y135" s="59"/>
      <c r="Z135" s="59"/>
      <c r="AA135" s="59"/>
      <c r="AB135" s="59"/>
    </row>
    <row r="136" spans="2:28" s="62" customFormat="1" ht="13.9" customHeight="1">
      <c r="B136" s="85"/>
      <c r="C136" s="85"/>
      <c r="D136" s="86"/>
      <c r="E136" s="83"/>
      <c r="F136" s="65"/>
      <c r="G136" s="65"/>
      <c r="H136" s="65"/>
      <c r="I136" s="81"/>
      <c r="J136" s="81"/>
      <c r="K136" s="65"/>
      <c r="L136" s="65"/>
      <c r="M136" s="63"/>
      <c r="N136" s="63"/>
      <c r="O136" s="63"/>
      <c r="R136" s="59"/>
      <c r="S136" s="642"/>
      <c r="T136" s="59"/>
      <c r="U136" s="59"/>
      <c r="V136" s="59"/>
      <c r="W136" s="59"/>
      <c r="X136" s="59"/>
      <c r="Y136" s="59"/>
      <c r="Z136" s="59"/>
      <c r="AA136" s="59"/>
      <c r="AB136" s="59"/>
    </row>
    <row r="137" spans="2:28" s="62" customFormat="1" ht="13.9" customHeight="1">
      <c r="B137" s="85"/>
      <c r="C137" s="85"/>
      <c r="D137" s="86"/>
      <c r="E137" s="83"/>
      <c r="F137" s="65"/>
      <c r="G137" s="65"/>
      <c r="H137" s="65"/>
      <c r="I137" s="81"/>
      <c r="J137" s="81"/>
      <c r="K137" s="65"/>
      <c r="L137" s="65"/>
      <c r="M137" s="63"/>
      <c r="N137" s="63"/>
      <c r="O137" s="63"/>
      <c r="R137" s="59"/>
      <c r="S137" s="642"/>
      <c r="T137" s="59"/>
      <c r="U137" s="59"/>
      <c r="V137" s="59"/>
      <c r="W137" s="59"/>
      <c r="X137" s="59"/>
      <c r="Y137" s="59"/>
      <c r="Z137" s="59"/>
      <c r="AA137" s="59"/>
      <c r="AB137" s="59"/>
    </row>
    <row r="138" spans="2:28" s="62" customFormat="1" ht="13.9" customHeight="1">
      <c r="B138" s="85"/>
      <c r="C138" s="85"/>
      <c r="D138" s="86"/>
      <c r="E138" s="83"/>
      <c r="F138" s="65"/>
      <c r="G138" s="65"/>
      <c r="H138" s="65"/>
      <c r="I138" s="81"/>
      <c r="J138" s="81"/>
      <c r="K138" s="65"/>
      <c r="L138" s="65"/>
      <c r="M138" s="63"/>
      <c r="N138" s="63"/>
      <c r="O138" s="63"/>
      <c r="R138" s="59"/>
      <c r="S138" s="642"/>
      <c r="T138" s="59"/>
      <c r="U138" s="59"/>
      <c r="V138" s="59"/>
      <c r="W138" s="59"/>
      <c r="X138" s="59"/>
      <c r="Y138" s="59"/>
      <c r="Z138" s="59"/>
      <c r="AA138" s="59"/>
      <c r="AB138" s="59"/>
    </row>
    <row r="139" spans="2:28" s="62" customFormat="1" ht="13.9" customHeight="1">
      <c r="B139" s="85"/>
      <c r="C139" s="85"/>
      <c r="D139" s="86"/>
      <c r="E139" s="83"/>
      <c r="F139" s="65"/>
      <c r="G139" s="65"/>
      <c r="H139" s="65"/>
      <c r="I139" s="81"/>
      <c r="J139" s="81"/>
      <c r="K139" s="65"/>
      <c r="L139" s="65"/>
      <c r="M139" s="63"/>
      <c r="N139" s="63"/>
      <c r="O139" s="63"/>
      <c r="R139" s="59"/>
      <c r="S139" s="642"/>
      <c r="T139" s="59"/>
      <c r="U139" s="59"/>
      <c r="V139" s="59"/>
      <c r="W139" s="59"/>
      <c r="X139" s="59"/>
      <c r="Y139" s="59"/>
      <c r="Z139" s="59"/>
      <c r="AA139" s="59"/>
      <c r="AB139" s="59"/>
    </row>
    <row r="140" spans="2:28" s="62" customFormat="1" ht="13.9" customHeight="1">
      <c r="B140" s="85"/>
      <c r="C140" s="85"/>
      <c r="D140" s="86"/>
      <c r="E140" s="83"/>
      <c r="F140" s="65"/>
      <c r="G140" s="65"/>
      <c r="H140" s="65"/>
      <c r="I140" s="81"/>
      <c r="J140" s="81"/>
      <c r="K140" s="65"/>
      <c r="L140" s="65"/>
      <c r="M140" s="63"/>
      <c r="N140" s="63"/>
      <c r="O140" s="63"/>
      <c r="R140" s="59"/>
      <c r="S140" s="642"/>
      <c r="T140" s="59"/>
      <c r="U140" s="59"/>
      <c r="V140" s="59"/>
      <c r="W140" s="59"/>
      <c r="X140" s="59"/>
      <c r="Y140" s="59"/>
      <c r="Z140" s="59"/>
      <c r="AA140" s="59"/>
      <c r="AB140" s="59"/>
    </row>
    <row r="141" spans="2:28" s="62" customFormat="1" ht="13.9" customHeight="1">
      <c r="B141" s="85"/>
      <c r="C141" s="85"/>
      <c r="D141" s="86"/>
      <c r="E141" s="83"/>
      <c r="F141" s="65"/>
      <c r="G141" s="65"/>
      <c r="H141" s="65"/>
      <c r="I141" s="81"/>
      <c r="J141" s="81"/>
      <c r="K141" s="65"/>
      <c r="L141" s="65"/>
      <c r="M141" s="63"/>
      <c r="N141" s="63"/>
      <c r="O141" s="63"/>
      <c r="R141" s="59"/>
      <c r="S141" s="642"/>
      <c r="T141" s="59"/>
      <c r="U141" s="59"/>
      <c r="V141" s="59"/>
      <c r="W141" s="59"/>
      <c r="X141" s="59"/>
      <c r="Y141" s="59"/>
      <c r="Z141" s="59"/>
      <c r="AA141" s="59"/>
      <c r="AB141" s="59"/>
    </row>
    <row r="142" spans="2:28" s="62" customFormat="1" ht="13.9" customHeight="1">
      <c r="B142" s="85"/>
      <c r="C142" s="85"/>
      <c r="D142" s="86"/>
      <c r="E142" s="83"/>
      <c r="F142" s="65"/>
      <c r="G142" s="65"/>
      <c r="H142" s="65"/>
      <c r="I142" s="81"/>
      <c r="J142" s="81"/>
      <c r="K142" s="65"/>
      <c r="L142" s="65"/>
      <c r="M142" s="63"/>
      <c r="N142" s="63"/>
      <c r="O142" s="63"/>
      <c r="R142" s="59"/>
      <c r="S142" s="642"/>
      <c r="T142" s="59"/>
      <c r="U142" s="59"/>
      <c r="V142" s="59"/>
      <c r="W142" s="59"/>
      <c r="X142" s="59"/>
      <c r="Y142" s="59"/>
      <c r="Z142" s="59"/>
      <c r="AA142" s="59"/>
      <c r="AB142" s="59"/>
    </row>
    <row r="143" spans="2:28" s="62" customFormat="1" ht="13.9" customHeight="1">
      <c r="B143" s="85"/>
      <c r="C143" s="85"/>
      <c r="D143" s="86"/>
      <c r="E143" s="83"/>
      <c r="F143" s="65"/>
      <c r="G143" s="65"/>
      <c r="H143" s="65"/>
      <c r="I143" s="81"/>
      <c r="J143" s="81"/>
      <c r="K143" s="65"/>
      <c r="L143" s="65"/>
      <c r="M143" s="63"/>
      <c r="N143" s="63"/>
      <c r="O143" s="63"/>
      <c r="R143" s="59"/>
      <c r="S143" s="642"/>
      <c r="T143" s="59"/>
      <c r="U143" s="59"/>
      <c r="V143" s="59"/>
      <c r="W143" s="59"/>
      <c r="X143" s="59"/>
      <c r="Y143" s="59"/>
      <c r="Z143" s="59"/>
      <c r="AA143" s="59"/>
      <c r="AB143" s="59"/>
    </row>
    <row r="144" spans="2:28" s="62" customFormat="1" ht="13.9" customHeight="1">
      <c r="B144" s="85"/>
      <c r="C144" s="85"/>
      <c r="D144" s="86"/>
      <c r="E144" s="83"/>
      <c r="F144" s="65"/>
      <c r="G144" s="65"/>
      <c r="H144" s="65"/>
      <c r="I144" s="81"/>
      <c r="J144" s="81"/>
      <c r="K144" s="65"/>
      <c r="L144" s="65"/>
      <c r="M144" s="63"/>
      <c r="N144" s="63"/>
      <c r="O144" s="63"/>
      <c r="R144" s="59"/>
      <c r="S144" s="642"/>
      <c r="T144" s="59"/>
      <c r="U144" s="59"/>
      <c r="V144" s="59"/>
      <c r="W144" s="59"/>
      <c r="X144" s="59"/>
      <c r="Y144" s="59"/>
      <c r="Z144" s="59"/>
      <c r="AA144" s="59"/>
      <c r="AB144" s="59"/>
    </row>
    <row r="145" spans="2:28" s="62" customFormat="1" ht="13.9" customHeight="1">
      <c r="B145" s="85"/>
      <c r="C145" s="85"/>
      <c r="D145" s="86"/>
      <c r="E145" s="83"/>
      <c r="F145" s="65"/>
      <c r="G145" s="65"/>
      <c r="H145" s="65"/>
      <c r="I145" s="81"/>
      <c r="J145" s="81"/>
      <c r="K145" s="65"/>
      <c r="L145" s="65"/>
      <c r="M145" s="63"/>
      <c r="N145" s="63"/>
      <c r="O145" s="63"/>
      <c r="R145" s="59"/>
      <c r="S145" s="642"/>
      <c r="T145" s="59"/>
      <c r="U145" s="59"/>
      <c r="V145" s="59"/>
      <c r="W145" s="59"/>
      <c r="X145" s="59"/>
      <c r="Y145" s="59"/>
      <c r="Z145" s="59"/>
      <c r="AA145" s="59"/>
      <c r="AB145" s="59"/>
    </row>
    <row r="146" spans="2:28" s="62" customFormat="1" ht="13.9" customHeight="1">
      <c r="B146" s="85"/>
      <c r="C146" s="85"/>
      <c r="D146" s="86"/>
      <c r="E146" s="83"/>
      <c r="F146" s="65"/>
      <c r="G146" s="65"/>
      <c r="H146" s="65"/>
      <c r="I146" s="81"/>
      <c r="J146" s="81"/>
      <c r="K146" s="65"/>
      <c r="L146" s="65"/>
      <c r="M146" s="63"/>
      <c r="N146" s="63"/>
      <c r="O146" s="63"/>
      <c r="R146" s="59"/>
      <c r="S146" s="642"/>
      <c r="T146" s="59"/>
      <c r="U146" s="59"/>
      <c r="V146" s="59"/>
      <c r="W146" s="59"/>
      <c r="X146" s="59"/>
      <c r="Y146" s="59"/>
      <c r="Z146" s="59"/>
      <c r="AA146" s="59"/>
      <c r="AB146" s="59"/>
    </row>
    <row r="147" spans="2:28" s="62" customFormat="1" ht="13.9" customHeight="1">
      <c r="B147" s="85"/>
      <c r="C147" s="85"/>
      <c r="D147" s="86"/>
      <c r="E147" s="83"/>
      <c r="F147" s="65"/>
      <c r="G147" s="65"/>
      <c r="H147" s="65"/>
      <c r="I147" s="81"/>
      <c r="J147" s="81"/>
      <c r="K147" s="65"/>
      <c r="L147" s="65"/>
      <c r="M147" s="63"/>
      <c r="N147" s="63"/>
      <c r="O147" s="63"/>
      <c r="R147" s="59"/>
      <c r="S147" s="642"/>
      <c r="T147" s="59"/>
      <c r="U147" s="59"/>
      <c r="V147" s="59"/>
      <c r="W147" s="59"/>
      <c r="X147" s="59"/>
      <c r="Y147" s="59"/>
      <c r="Z147" s="59"/>
      <c r="AA147" s="59"/>
      <c r="AB147" s="59"/>
    </row>
    <row r="148" spans="2:28" s="62" customFormat="1" ht="13.9" customHeight="1">
      <c r="B148" s="85"/>
      <c r="C148" s="85"/>
      <c r="D148" s="86"/>
      <c r="E148" s="83"/>
      <c r="F148" s="65"/>
      <c r="G148" s="65"/>
      <c r="H148" s="65"/>
      <c r="I148" s="81"/>
      <c r="J148" s="81"/>
      <c r="K148" s="65"/>
      <c r="L148" s="65"/>
      <c r="M148" s="63"/>
      <c r="N148" s="63"/>
      <c r="O148" s="63"/>
      <c r="R148" s="59"/>
      <c r="S148" s="642"/>
      <c r="T148" s="59"/>
      <c r="U148" s="59"/>
      <c r="V148" s="59"/>
      <c r="W148" s="59"/>
      <c r="X148" s="59"/>
      <c r="Y148" s="59"/>
      <c r="Z148" s="59"/>
      <c r="AA148" s="59"/>
      <c r="AB148" s="59"/>
    </row>
    <row r="149" spans="2:28" s="62" customFormat="1" ht="13.9" customHeight="1">
      <c r="B149" s="85"/>
      <c r="C149" s="85"/>
      <c r="D149" s="86"/>
      <c r="E149" s="83"/>
      <c r="F149" s="65"/>
      <c r="G149" s="65"/>
      <c r="H149" s="65"/>
      <c r="I149" s="81"/>
      <c r="J149" s="81"/>
      <c r="K149" s="65"/>
      <c r="L149" s="65"/>
      <c r="M149" s="63"/>
      <c r="N149" s="63"/>
      <c r="O149" s="63"/>
      <c r="R149" s="59"/>
      <c r="S149" s="642"/>
      <c r="T149" s="59"/>
      <c r="U149" s="59"/>
      <c r="V149" s="59"/>
      <c r="W149" s="59"/>
      <c r="X149" s="59"/>
      <c r="Y149" s="59"/>
      <c r="Z149" s="59"/>
      <c r="AA149" s="59"/>
      <c r="AB149" s="59"/>
    </row>
    <row r="150" spans="2:28" s="62" customFormat="1" ht="13.9" customHeight="1">
      <c r="B150" s="85"/>
      <c r="C150" s="85"/>
      <c r="D150" s="86"/>
      <c r="E150" s="83"/>
      <c r="F150" s="65"/>
      <c r="G150" s="65"/>
      <c r="H150" s="65"/>
      <c r="I150" s="81"/>
      <c r="J150" s="81"/>
      <c r="K150" s="65"/>
      <c r="L150" s="65"/>
      <c r="M150" s="63"/>
      <c r="N150" s="63"/>
      <c r="O150" s="63"/>
      <c r="R150" s="59"/>
      <c r="S150" s="642"/>
      <c r="T150" s="59"/>
      <c r="U150" s="59"/>
      <c r="V150" s="59"/>
      <c r="W150" s="59"/>
      <c r="X150" s="59"/>
      <c r="Y150" s="59"/>
      <c r="Z150" s="59"/>
      <c r="AA150" s="59"/>
      <c r="AB150" s="59"/>
    </row>
    <row r="151" spans="2:28" s="62" customFormat="1" ht="13.9" customHeight="1">
      <c r="B151" s="85"/>
      <c r="C151" s="85"/>
      <c r="D151" s="86"/>
      <c r="E151" s="83"/>
      <c r="F151" s="65"/>
      <c r="G151" s="65"/>
      <c r="H151" s="65"/>
      <c r="I151" s="81"/>
      <c r="J151" s="81"/>
      <c r="K151" s="65"/>
      <c r="L151" s="65"/>
      <c r="M151" s="63"/>
      <c r="N151" s="63"/>
      <c r="O151" s="63"/>
      <c r="R151" s="59"/>
      <c r="S151" s="642"/>
      <c r="T151" s="59"/>
      <c r="U151" s="59"/>
      <c r="V151" s="59"/>
      <c r="W151" s="59"/>
      <c r="X151" s="59"/>
      <c r="Y151" s="59"/>
      <c r="Z151" s="59"/>
      <c r="AA151" s="59"/>
      <c r="AB151" s="59"/>
    </row>
    <row r="152" spans="2:28" s="62" customFormat="1" ht="13.9" customHeight="1">
      <c r="B152" s="85"/>
      <c r="C152" s="85"/>
      <c r="D152" s="86"/>
      <c r="E152" s="83"/>
      <c r="F152" s="65"/>
      <c r="G152" s="65"/>
      <c r="H152" s="65"/>
      <c r="I152" s="81"/>
      <c r="J152" s="81"/>
      <c r="K152" s="65"/>
      <c r="L152" s="65"/>
      <c r="M152" s="63"/>
      <c r="N152" s="63"/>
      <c r="O152" s="63"/>
      <c r="R152" s="59"/>
      <c r="S152" s="642"/>
      <c r="T152" s="59"/>
      <c r="U152" s="59"/>
      <c r="V152" s="59"/>
      <c r="W152" s="59"/>
      <c r="X152" s="59"/>
      <c r="Y152" s="59"/>
      <c r="Z152" s="59"/>
      <c r="AA152" s="59"/>
      <c r="AB152" s="59"/>
    </row>
    <row r="153" spans="2:28" s="62" customFormat="1" ht="13.9" customHeight="1">
      <c r="B153" s="85"/>
      <c r="C153" s="85"/>
      <c r="D153" s="86"/>
      <c r="E153" s="83"/>
      <c r="F153" s="65"/>
      <c r="G153" s="65"/>
      <c r="H153" s="65"/>
      <c r="I153" s="81"/>
      <c r="J153" s="81"/>
      <c r="K153" s="65"/>
      <c r="L153" s="65"/>
      <c r="M153" s="63"/>
      <c r="N153" s="63"/>
      <c r="O153" s="63"/>
      <c r="R153" s="59"/>
      <c r="S153" s="642"/>
      <c r="T153" s="59"/>
      <c r="U153" s="59"/>
      <c r="V153" s="59"/>
      <c r="W153" s="59"/>
      <c r="X153" s="59"/>
      <c r="Y153" s="59"/>
      <c r="Z153" s="59"/>
      <c r="AA153" s="59"/>
      <c r="AB153" s="59"/>
    </row>
    <row r="154" spans="2:28" s="62" customFormat="1" ht="13.9" customHeight="1">
      <c r="B154" s="85"/>
      <c r="C154" s="85"/>
      <c r="D154" s="86"/>
      <c r="E154" s="83"/>
      <c r="F154" s="65"/>
      <c r="G154" s="65"/>
      <c r="H154" s="65"/>
      <c r="I154" s="81"/>
      <c r="J154" s="81"/>
      <c r="K154" s="65"/>
      <c r="L154" s="65"/>
      <c r="M154" s="63"/>
      <c r="N154" s="63"/>
      <c r="O154" s="63"/>
      <c r="R154" s="59"/>
      <c r="S154" s="642"/>
      <c r="T154" s="59"/>
      <c r="U154" s="59"/>
      <c r="V154" s="59"/>
      <c r="W154" s="59"/>
      <c r="X154" s="59"/>
      <c r="Y154" s="59"/>
      <c r="Z154" s="59"/>
      <c r="AA154" s="59"/>
      <c r="AB154" s="59"/>
    </row>
    <row r="155" spans="2:28" s="62" customFormat="1" ht="13.9" customHeight="1">
      <c r="B155" s="85"/>
      <c r="C155" s="85"/>
      <c r="D155" s="86"/>
      <c r="E155" s="83"/>
      <c r="F155" s="65"/>
      <c r="G155" s="65"/>
      <c r="H155" s="65"/>
      <c r="I155" s="81"/>
      <c r="J155" s="81"/>
      <c r="K155" s="65"/>
      <c r="L155" s="65"/>
      <c r="M155" s="63"/>
      <c r="N155" s="63"/>
      <c r="O155" s="63"/>
      <c r="R155" s="59"/>
      <c r="S155" s="642"/>
      <c r="T155" s="59"/>
      <c r="U155" s="59"/>
      <c r="V155" s="59"/>
      <c r="W155" s="59"/>
      <c r="X155" s="59"/>
      <c r="Y155" s="59"/>
      <c r="Z155" s="59"/>
      <c r="AA155" s="59"/>
      <c r="AB155" s="59"/>
    </row>
    <row r="156" spans="2:28" s="62" customFormat="1" ht="13.9" customHeight="1">
      <c r="B156" s="85"/>
      <c r="C156" s="85"/>
      <c r="D156" s="86"/>
      <c r="E156" s="83"/>
      <c r="F156" s="65"/>
      <c r="G156" s="65"/>
      <c r="H156" s="65"/>
      <c r="I156" s="81"/>
      <c r="J156" s="81"/>
      <c r="K156" s="65"/>
      <c r="L156" s="65"/>
      <c r="M156" s="63"/>
      <c r="N156" s="63"/>
      <c r="O156" s="63"/>
      <c r="R156" s="59"/>
      <c r="S156" s="642"/>
      <c r="T156" s="59"/>
      <c r="U156" s="59"/>
      <c r="V156" s="59"/>
      <c r="W156" s="59"/>
      <c r="X156" s="59"/>
      <c r="Y156" s="59"/>
      <c r="Z156" s="59"/>
      <c r="AA156" s="59"/>
      <c r="AB156" s="59"/>
    </row>
    <row r="157" spans="2:28" s="62" customFormat="1" ht="13.9" customHeight="1">
      <c r="B157" s="85"/>
      <c r="C157" s="85"/>
      <c r="D157" s="86"/>
      <c r="E157" s="83"/>
      <c r="F157" s="65"/>
      <c r="G157" s="65"/>
      <c r="H157" s="65"/>
      <c r="I157" s="81"/>
      <c r="J157" s="81"/>
      <c r="K157" s="65"/>
      <c r="L157" s="65"/>
      <c r="M157" s="63"/>
      <c r="N157" s="63"/>
      <c r="O157" s="63"/>
      <c r="R157" s="59"/>
      <c r="S157" s="642"/>
      <c r="T157" s="59"/>
      <c r="U157" s="59"/>
      <c r="V157" s="59"/>
      <c r="W157" s="59"/>
      <c r="X157" s="59"/>
      <c r="Y157" s="59"/>
      <c r="Z157" s="59"/>
      <c r="AA157" s="59"/>
      <c r="AB157" s="59"/>
    </row>
    <row r="158" spans="2:28" s="62" customFormat="1" ht="13.9" customHeight="1">
      <c r="B158" s="85"/>
      <c r="C158" s="85"/>
      <c r="D158" s="86"/>
      <c r="E158" s="83"/>
      <c r="F158" s="65"/>
      <c r="G158" s="65"/>
      <c r="H158" s="65"/>
      <c r="I158" s="81"/>
      <c r="J158" s="81"/>
      <c r="K158" s="65"/>
      <c r="L158" s="65"/>
      <c r="M158" s="63"/>
      <c r="N158" s="63"/>
      <c r="O158" s="63"/>
      <c r="R158" s="59"/>
      <c r="S158" s="642"/>
      <c r="T158" s="59"/>
      <c r="U158" s="59"/>
      <c r="V158" s="59"/>
      <c r="W158" s="59"/>
      <c r="X158" s="59"/>
      <c r="Y158" s="59"/>
      <c r="Z158" s="59"/>
      <c r="AA158" s="59"/>
      <c r="AB158" s="59"/>
    </row>
    <row r="159" spans="2:28" s="62" customFormat="1" ht="13.9" customHeight="1">
      <c r="B159" s="85"/>
      <c r="C159" s="85"/>
      <c r="D159" s="86"/>
      <c r="E159" s="83"/>
      <c r="F159" s="65"/>
      <c r="G159" s="65"/>
      <c r="H159" s="65"/>
      <c r="I159" s="81"/>
      <c r="J159" s="81"/>
      <c r="K159" s="65"/>
      <c r="L159" s="65"/>
      <c r="M159" s="63"/>
      <c r="N159" s="63"/>
      <c r="O159" s="63"/>
      <c r="R159" s="59"/>
      <c r="S159" s="642"/>
      <c r="T159" s="59"/>
      <c r="U159" s="59"/>
      <c r="V159" s="59"/>
      <c r="W159" s="59"/>
      <c r="X159" s="59"/>
      <c r="Y159" s="59"/>
      <c r="Z159" s="59"/>
      <c r="AA159" s="59"/>
      <c r="AB159" s="59"/>
    </row>
    <row r="160" spans="2:28" s="62" customFormat="1" ht="13.9" customHeight="1">
      <c r="B160" s="85"/>
      <c r="C160" s="85"/>
      <c r="D160" s="86"/>
      <c r="E160" s="83"/>
      <c r="F160" s="65"/>
      <c r="G160" s="65"/>
      <c r="H160" s="65"/>
      <c r="I160" s="81"/>
      <c r="J160" s="81"/>
      <c r="K160" s="65"/>
      <c r="L160" s="65"/>
      <c r="M160" s="63"/>
      <c r="N160" s="63"/>
      <c r="O160" s="63"/>
      <c r="R160" s="59"/>
      <c r="S160" s="642"/>
      <c r="T160" s="59"/>
      <c r="U160" s="59"/>
      <c r="V160" s="59"/>
      <c r="W160" s="59"/>
      <c r="X160" s="59"/>
      <c r="Y160" s="59"/>
      <c r="Z160" s="59"/>
      <c r="AA160" s="59"/>
      <c r="AB160" s="59"/>
    </row>
    <row r="161" spans="2:28" s="62" customFormat="1" ht="13.9" customHeight="1">
      <c r="B161" s="85"/>
      <c r="C161" s="85"/>
      <c r="D161" s="86"/>
      <c r="E161" s="83"/>
      <c r="F161" s="65"/>
      <c r="G161" s="65"/>
      <c r="H161" s="65"/>
      <c r="I161" s="81"/>
      <c r="J161" s="81"/>
      <c r="K161" s="65"/>
      <c r="L161" s="65"/>
      <c r="M161" s="63"/>
      <c r="N161" s="63"/>
      <c r="O161" s="63"/>
      <c r="R161" s="59"/>
      <c r="S161" s="642"/>
      <c r="T161" s="59"/>
      <c r="U161" s="59"/>
      <c r="V161" s="59"/>
      <c r="W161" s="59"/>
      <c r="X161" s="59"/>
      <c r="Y161" s="59"/>
      <c r="Z161" s="59"/>
      <c r="AA161" s="59"/>
      <c r="AB161" s="59"/>
    </row>
    <row r="162" spans="2:28" s="62" customFormat="1" ht="13.9" customHeight="1">
      <c r="B162" s="85"/>
      <c r="C162" s="85"/>
      <c r="D162" s="86"/>
      <c r="E162" s="83"/>
      <c r="F162" s="65"/>
      <c r="G162" s="65"/>
      <c r="H162" s="65"/>
      <c r="I162" s="81"/>
      <c r="J162" s="81"/>
      <c r="K162" s="65"/>
      <c r="L162" s="65"/>
      <c r="M162" s="63"/>
      <c r="N162" s="63"/>
      <c r="O162" s="63"/>
      <c r="R162" s="59"/>
      <c r="S162" s="642"/>
      <c r="T162" s="59"/>
      <c r="U162" s="59"/>
      <c r="V162" s="59"/>
      <c r="W162" s="59"/>
      <c r="X162" s="59"/>
      <c r="Y162" s="59"/>
      <c r="Z162" s="59"/>
      <c r="AA162" s="59"/>
      <c r="AB162" s="59"/>
    </row>
    <row r="163" spans="2:28" s="62" customFormat="1" ht="13.9" customHeight="1">
      <c r="B163" s="85"/>
      <c r="C163" s="85"/>
      <c r="D163" s="86"/>
      <c r="E163" s="83"/>
      <c r="F163" s="65"/>
      <c r="G163" s="65"/>
      <c r="H163" s="65"/>
      <c r="I163" s="81"/>
      <c r="J163" s="81"/>
      <c r="K163" s="65"/>
      <c r="L163" s="65"/>
      <c r="M163" s="63"/>
      <c r="N163" s="63"/>
      <c r="O163" s="63"/>
      <c r="R163" s="59"/>
      <c r="S163" s="642"/>
      <c r="T163" s="59"/>
      <c r="U163" s="59"/>
      <c r="V163" s="59"/>
      <c r="W163" s="59"/>
      <c r="X163" s="59"/>
      <c r="Y163" s="59"/>
      <c r="Z163" s="59"/>
      <c r="AA163" s="59"/>
      <c r="AB163" s="59"/>
    </row>
    <row r="164" spans="2:28" s="62" customFormat="1" ht="13.9" customHeight="1">
      <c r="B164" s="85"/>
      <c r="C164" s="85"/>
      <c r="D164" s="86"/>
      <c r="E164" s="83"/>
      <c r="F164" s="65"/>
      <c r="G164" s="65"/>
      <c r="H164" s="65"/>
      <c r="I164" s="81"/>
      <c r="J164" s="81"/>
      <c r="K164" s="65"/>
      <c r="L164" s="65"/>
      <c r="M164" s="63"/>
      <c r="N164" s="63"/>
      <c r="O164" s="63"/>
      <c r="R164" s="59"/>
      <c r="S164" s="642"/>
      <c r="T164" s="59"/>
      <c r="U164" s="59"/>
      <c r="V164" s="59"/>
      <c r="W164" s="59"/>
      <c r="X164" s="59"/>
      <c r="Y164" s="59"/>
      <c r="Z164" s="59"/>
      <c r="AA164" s="59"/>
      <c r="AB164" s="59"/>
    </row>
    <row r="165" spans="2:28" s="62" customFormat="1" ht="13.9" customHeight="1">
      <c r="B165" s="85"/>
      <c r="C165" s="85"/>
      <c r="D165" s="86"/>
      <c r="E165" s="83"/>
      <c r="F165" s="65"/>
      <c r="G165" s="65"/>
      <c r="H165" s="65"/>
      <c r="I165" s="81"/>
      <c r="J165" s="81"/>
      <c r="K165" s="65"/>
      <c r="L165" s="65"/>
      <c r="M165" s="63"/>
      <c r="N165" s="63"/>
      <c r="O165" s="63"/>
      <c r="R165" s="59"/>
      <c r="S165" s="642"/>
      <c r="T165" s="59"/>
      <c r="U165" s="59"/>
      <c r="V165" s="59"/>
      <c r="W165" s="59"/>
      <c r="X165" s="59"/>
      <c r="Y165" s="59"/>
      <c r="Z165" s="59"/>
      <c r="AA165" s="59"/>
      <c r="AB165" s="59"/>
    </row>
    <row r="166" spans="2:28" s="62" customFormat="1" ht="13.9" customHeight="1">
      <c r="B166" s="85"/>
      <c r="C166" s="85"/>
      <c r="D166" s="86"/>
      <c r="E166" s="83"/>
      <c r="F166" s="65"/>
      <c r="G166" s="65"/>
      <c r="H166" s="65"/>
      <c r="I166" s="81"/>
      <c r="J166" s="81"/>
      <c r="K166" s="65"/>
      <c r="L166" s="65"/>
      <c r="M166" s="63"/>
      <c r="N166" s="63"/>
      <c r="O166" s="63"/>
      <c r="R166" s="59"/>
      <c r="S166" s="642"/>
      <c r="T166" s="59"/>
      <c r="U166" s="59"/>
      <c r="V166" s="59"/>
      <c r="W166" s="59"/>
      <c r="X166" s="59"/>
      <c r="Y166" s="59"/>
      <c r="Z166" s="59"/>
      <c r="AA166" s="59"/>
      <c r="AB166" s="59"/>
    </row>
    <row r="167" spans="2:28" s="62" customFormat="1" ht="13.9" customHeight="1">
      <c r="B167" s="85"/>
      <c r="C167" s="85"/>
      <c r="D167" s="86"/>
      <c r="E167" s="83"/>
      <c r="F167" s="65"/>
      <c r="G167" s="65"/>
      <c r="H167" s="65"/>
      <c r="I167" s="81"/>
      <c r="J167" s="81"/>
      <c r="K167" s="65"/>
      <c r="L167" s="65"/>
      <c r="M167" s="63"/>
      <c r="N167" s="63"/>
      <c r="O167" s="63"/>
      <c r="R167" s="59"/>
      <c r="S167" s="642"/>
      <c r="T167" s="59"/>
      <c r="U167" s="59"/>
      <c r="V167" s="59"/>
      <c r="W167" s="59"/>
      <c r="X167" s="59"/>
      <c r="Y167" s="59"/>
      <c r="Z167" s="59"/>
      <c r="AA167" s="59"/>
      <c r="AB167" s="59"/>
    </row>
    <row r="168" spans="2:28" s="62" customFormat="1" ht="13.9" customHeight="1">
      <c r="B168" s="85"/>
      <c r="C168" s="85"/>
      <c r="D168" s="86"/>
      <c r="E168" s="83"/>
      <c r="F168" s="65"/>
      <c r="G168" s="65"/>
      <c r="H168" s="65"/>
      <c r="I168" s="81"/>
      <c r="J168" s="81"/>
      <c r="K168" s="65"/>
      <c r="L168" s="65"/>
      <c r="M168" s="63"/>
      <c r="N168" s="63"/>
      <c r="O168" s="63"/>
      <c r="R168" s="59"/>
      <c r="S168" s="642"/>
      <c r="T168" s="59"/>
      <c r="U168" s="59"/>
      <c r="V168" s="59"/>
      <c r="W168" s="59"/>
      <c r="X168" s="59"/>
      <c r="Y168" s="59"/>
      <c r="Z168" s="59"/>
      <c r="AA168" s="59"/>
      <c r="AB168" s="59"/>
    </row>
    <row r="169" spans="2:28" s="62" customFormat="1" ht="13.9" customHeight="1">
      <c r="B169" s="85"/>
      <c r="C169" s="85"/>
      <c r="D169" s="86"/>
      <c r="E169" s="83"/>
      <c r="F169" s="65"/>
      <c r="G169" s="65"/>
      <c r="H169" s="65"/>
      <c r="I169" s="81"/>
      <c r="J169" s="81"/>
      <c r="K169" s="65"/>
      <c r="L169" s="65"/>
      <c r="M169" s="63"/>
      <c r="N169" s="63"/>
      <c r="O169" s="63"/>
      <c r="R169" s="59"/>
      <c r="S169" s="642"/>
      <c r="T169" s="59"/>
      <c r="U169" s="59"/>
      <c r="V169" s="59"/>
      <c r="W169" s="59"/>
      <c r="X169" s="59"/>
      <c r="Y169" s="59"/>
      <c r="Z169" s="59"/>
      <c r="AA169" s="59"/>
      <c r="AB169" s="59"/>
    </row>
    <row r="170" spans="2:28" s="62" customFormat="1" ht="13.9" customHeight="1">
      <c r="B170" s="85"/>
      <c r="C170" s="85"/>
      <c r="D170" s="86"/>
      <c r="E170" s="83"/>
      <c r="F170" s="65"/>
      <c r="G170" s="65"/>
      <c r="H170" s="65"/>
      <c r="I170" s="81"/>
      <c r="J170" s="81"/>
      <c r="K170" s="65"/>
      <c r="L170" s="65"/>
      <c r="M170" s="63"/>
      <c r="N170" s="63"/>
      <c r="O170" s="63"/>
      <c r="R170" s="59"/>
      <c r="S170" s="642"/>
      <c r="T170" s="59"/>
      <c r="U170" s="59"/>
      <c r="V170" s="59"/>
      <c r="W170" s="59"/>
      <c r="X170" s="59"/>
      <c r="Y170" s="59"/>
      <c r="Z170" s="59"/>
      <c r="AA170" s="59"/>
      <c r="AB170" s="59"/>
    </row>
    <row r="171" spans="2:28" s="62" customFormat="1" ht="13.9" customHeight="1">
      <c r="B171" s="85"/>
      <c r="C171" s="85"/>
      <c r="D171" s="86"/>
      <c r="E171" s="83"/>
      <c r="F171" s="65"/>
      <c r="G171" s="65"/>
      <c r="H171" s="65"/>
      <c r="I171" s="81"/>
      <c r="J171" s="81"/>
      <c r="K171" s="65"/>
      <c r="L171" s="65"/>
      <c r="M171" s="63"/>
      <c r="N171" s="63"/>
      <c r="O171" s="63"/>
      <c r="R171" s="59"/>
      <c r="S171" s="642"/>
      <c r="T171" s="59"/>
      <c r="U171" s="59"/>
      <c r="V171" s="59"/>
      <c r="W171" s="59"/>
      <c r="X171" s="59"/>
      <c r="Y171" s="59"/>
      <c r="Z171" s="59"/>
      <c r="AA171" s="59"/>
      <c r="AB171" s="59"/>
    </row>
    <row r="172" spans="2:28" s="62" customFormat="1" ht="13.9" customHeight="1">
      <c r="B172" s="85"/>
      <c r="C172" s="85"/>
      <c r="D172" s="86"/>
      <c r="E172" s="83"/>
      <c r="F172" s="65"/>
      <c r="G172" s="65"/>
      <c r="H172" s="65"/>
      <c r="I172" s="81"/>
      <c r="J172" s="81"/>
      <c r="K172" s="65"/>
      <c r="L172" s="65"/>
      <c r="M172" s="63"/>
      <c r="N172" s="63"/>
      <c r="O172" s="63"/>
      <c r="R172" s="59"/>
      <c r="S172" s="642"/>
      <c r="T172" s="59"/>
      <c r="U172" s="59"/>
      <c r="V172" s="59"/>
      <c r="W172" s="59"/>
      <c r="X172" s="59"/>
      <c r="Y172" s="59"/>
      <c r="Z172" s="59"/>
      <c r="AA172" s="59"/>
      <c r="AB172" s="59"/>
    </row>
    <row r="173" spans="2:28" s="62" customFormat="1" ht="13.9" customHeight="1">
      <c r="B173" s="85"/>
      <c r="C173" s="85"/>
      <c r="D173" s="86"/>
      <c r="E173" s="83"/>
      <c r="F173" s="65"/>
      <c r="G173" s="65"/>
      <c r="H173" s="65"/>
      <c r="I173" s="81"/>
      <c r="J173" s="81"/>
      <c r="K173" s="65"/>
      <c r="L173" s="65"/>
      <c r="M173" s="63"/>
      <c r="N173" s="63"/>
      <c r="O173" s="63"/>
      <c r="R173" s="59"/>
      <c r="S173" s="642"/>
      <c r="T173" s="59"/>
      <c r="U173" s="59"/>
      <c r="V173" s="59"/>
      <c r="W173" s="59"/>
      <c r="X173" s="59"/>
      <c r="Y173" s="59"/>
      <c r="Z173" s="59"/>
      <c r="AA173" s="59"/>
      <c r="AB173" s="59"/>
    </row>
    <row r="174" spans="2:28" s="62" customFormat="1" ht="13.9" customHeight="1">
      <c r="B174" s="85"/>
      <c r="C174" s="85"/>
      <c r="D174" s="86"/>
      <c r="E174" s="83"/>
      <c r="F174" s="65"/>
      <c r="G174" s="65"/>
      <c r="H174" s="65"/>
      <c r="I174" s="81"/>
      <c r="J174" s="81"/>
      <c r="K174" s="65"/>
      <c r="L174" s="65"/>
      <c r="M174" s="63"/>
      <c r="N174" s="63"/>
      <c r="O174" s="63"/>
      <c r="R174" s="59"/>
      <c r="S174" s="642"/>
      <c r="T174" s="59"/>
      <c r="U174" s="59"/>
      <c r="V174" s="59"/>
      <c r="W174" s="59"/>
      <c r="X174" s="59"/>
      <c r="Y174" s="59"/>
      <c r="Z174" s="59"/>
      <c r="AA174" s="59"/>
      <c r="AB174" s="59"/>
    </row>
    <row r="175" spans="2:28" s="62" customFormat="1" ht="13.9" customHeight="1">
      <c r="B175" s="85"/>
      <c r="C175" s="85"/>
      <c r="D175" s="86"/>
      <c r="E175" s="83"/>
      <c r="F175" s="65"/>
      <c r="G175" s="65"/>
      <c r="H175" s="65"/>
      <c r="I175" s="81"/>
      <c r="J175" s="81"/>
      <c r="K175" s="65"/>
      <c r="L175" s="65"/>
      <c r="M175" s="63"/>
      <c r="N175" s="63"/>
      <c r="O175" s="63"/>
      <c r="R175" s="59"/>
      <c r="S175" s="642"/>
      <c r="T175" s="59"/>
      <c r="U175" s="59"/>
      <c r="V175" s="59"/>
      <c r="W175" s="59"/>
      <c r="X175" s="59"/>
      <c r="Y175" s="59"/>
      <c r="Z175" s="59"/>
      <c r="AA175" s="59"/>
      <c r="AB175" s="59"/>
    </row>
    <row r="176" spans="2:28" s="62" customFormat="1" ht="13.9" customHeight="1">
      <c r="B176" s="85"/>
      <c r="C176" s="85"/>
      <c r="D176" s="86"/>
      <c r="E176" s="83"/>
      <c r="F176" s="65"/>
      <c r="G176" s="65"/>
      <c r="H176" s="65"/>
      <c r="I176" s="81"/>
      <c r="J176" s="81"/>
      <c r="K176" s="65"/>
      <c r="L176" s="65"/>
      <c r="M176" s="63"/>
      <c r="N176" s="63"/>
      <c r="O176" s="63"/>
      <c r="R176" s="59"/>
      <c r="S176" s="642"/>
      <c r="T176" s="59"/>
      <c r="U176" s="59"/>
      <c r="V176" s="59"/>
      <c r="W176" s="59"/>
      <c r="X176" s="59"/>
      <c r="Y176" s="59"/>
      <c r="Z176" s="59"/>
      <c r="AA176" s="59"/>
      <c r="AB176" s="59"/>
    </row>
    <row r="177" spans="2:28" s="62" customFormat="1" ht="13.9" customHeight="1">
      <c r="B177" s="85"/>
      <c r="C177" s="85"/>
      <c r="D177" s="86"/>
      <c r="E177" s="83"/>
      <c r="F177" s="65"/>
      <c r="G177" s="65"/>
      <c r="H177" s="65"/>
      <c r="I177" s="81"/>
      <c r="J177" s="81"/>
      <c r="K177" s="65"/>
      <c r="L177" s="65"/>
      <c r="M177" s="63"/>
      <c r="N177" s="63"/>
      <c r="O177" s="63"/>
      <c r="R177" s="59"/>
      <c r="S177" s="642"/>
      <c r="T177" s="59"/>
      <c r="U177" s="59"/>
      <c r="V177" s="59"/>
      <c r="W177" s="59"/>
      <c r="X177" s="59"/>
      <c r="Y177" s="59"/>
      <c r="Z177" s="59"/>
      <c r="AA177" s="59"/>
      <c r="AB177" s="59"/>
    </row>
    <row r="178" spans="2:28" s="62" customFormat="1" ht="13.9" customHeight="1">
      <c r="B178" s="85"/>
      <c r="C178" s="85"/>
      <c r="D178" s="86"/>
      <c r="E178" s="83"/>
      <c r="F178" s="65"/>
      <c r="G178" s="65"/>
      <c r="H178" s="65"/>
      <c r="I178" s="81"/>
      <c r="J178" s="81"/>
      <c r="K178" s="65"/>
      <c r="L178" s="65"/>
      <c r="M178" s="63"/>
      <c r="N178" s="63"/>
      <c r="O178" s="63"/>
      <c r="R178" s="59"/>
      <c r="S178" s="642"/>
      <c r="T178" s="59"/>
      <c r="U178" s="59"/>
      <c r="V178" s="59"/>
      <c r="W178" s="59"/>
      <c r="X178" s="59"/>
      <c r="Y178" s="59"/>
      <c r="Z178" s="59"/>
      <c r="AA178" s="59"/>
      <c r="AB178" s="59"/>
    </row>
    <row r="179" spans="2:28" s="62" customFormat="1" ht="13.9" customHeight="1">
      <c r="B179" s="85"/>
      <c r="C179" s="85"/>
      <c r="D179" s="86"/>
      <c r="E179" s="83"/>
      <c r="F179" s="65"/>
      <c r="G179" s="65"/>
      <c r="H179" s="65"/>
      <c r="I179" s="81"/>
      <c r="J179" s="81"/>
      <c r="K179" s="65"/>
      <c r="L179" s="65"/>
      <c r="M179" s="63"/>
      <c r="N179" s="63"/>
      <c r="O179" s="63"/>
      <c r="R179" s="59"/>
      <c r="S179" s="642"/>
      <c r="T179" s="59"/>
      <c r="U179" s="59"/>
      <c r="V179" s="59"/>
      <c r="W179" s="59"/>
      <c r="X179" s="59"/>
      <c r="Y179" s="59"/>
      <c r="Z179" s="59"/>
      <c r="AA179" s="59"/>
      <c r="AB179" s="59"/>
    </row>
    <row r="180" spans="2:28" s="62" customFormat="1" ht="13.9" customHeight="1">
      <c r="B180" s="85"/>
      <c r="C180" s="85"/>
      <c r="D180" s="86"/>
      <c r="E180" s="83"/>
      <c r="F180" s="65"/>
      <c r="G180" s="65"/>
      <c r="H180" s="65"/>
      <c r="I180" s="81"/>
      <c r="J180" s="81"/>
      <c r="K180" s="65"/>
      <c r="L180" s="65"/>
      <c r="M180" s="63"/>
      <c r="N180" s="63"/>
      <c r="O180" s="63"/>
      <c r="R180" s="59"/>
      <c r="S180" s="642"/>
      <c r="T180" s="59"/>
      <c r="U180" s="59"/>
      <c r="V180" s="59"/>
      <c r="W180" s="59"/>
      <c r="X180" s="59"/>
      <c r="Y180" s="59"/>
      <c r="Z180" s="59"/>
      <c r="AA180" s="59"/>
      <c r="AB180" s="59"/>
    </row>
    <row r="181" spans="2:28" s="62" customFormat="1" ht="13.9" customHeight="1">
      <c r="B181" s="85"/>
      <c r="C181" s="85"/>
      <c r="D181" s="86"/>
      <c r="E181" s="83"/>
      <c r="F181" s="65"/>
      <c r="G181" s="65"/>
      <c r="H181" s="65"/>
      <c r="I181" s="81"/>
      <c r="J181" s="81"/>
      <c r="K181" s="65"/>
      <c r="L181" s="65"/>
      <c r="M181" s="63"/>
      <c r="N181" s="63"/>
      <c r="O181" s="63"/>
      <c r="R181" s="59"/>
      <c r="S181" s="642"/>
      <c r="T181" s="59"/>
      <c r="U181" s="59"/>
      <c r="V181" s="59"/>
      <c r="W181" s="59"/>
      <c r="X181" s="59"/>
      <c r="Y181" s="59"/>
      <c r="Z181" s="59"/>
      <c r="AA181" s="59"/>
      <c r="AB181" s="59"/>
    </row>
    <row r="182" spans="2:28" s="62" customFormat="1" ht="13.9" customHeight="1">
      <c r="B182" s="85"/>
      <c r="C182" s="85"/>
      <c r="D182" s="86"/>
      <c r="E182" s="83"/>
      <c r="F182" s="65"/>
      <c r="G182" s="65"/>
      <c r="H182" s="65"/>
      <c r="I182" s="81"/>
      <c r="J182" s="81"/>
      <c r="K182" s="65"/>
      <c r="L182" s="65"/>
      <c r="M182" s="63"/>
      <c r="N182" s="63"/>
      <c r="O182" s="63"/>
      <c r="R182" s="59"/>
      <c r="S182" s="642"/>
      <c r="T182" s="59"/>
      <c r="U182" s="59"/>
      <c r="V182" s="59"/>
      <c r="W182" s="59"/>
      <c r="X182" s="59"/>
      <c r="Y182" s="59"/>
      <c r="Z182" s="59"/>
      <c r="AA182" s="59"/>
      <c r="AB182" s="59"/>
    </row>
    <row r="183" spans="2:28" s="62" customFormat="1" ht="13.9" customHeight="1">
      <c r="B183" s="85"/>
      <c r="C183" s="85"/>
      <c r="D183" s="86"/>
      <c r="E183" s="83"/>
      <c r="F183" s="65"/>
      <c r="G183" s="65"/>
      <c r="H183" s="65"/>
      <c r="I183" s="81"/>
      <c r="J183" s="81"/>
      <c r="K183" s="65"/>
      <c r="L183" s="65"/>
      <c r="M183" s="63"/>
      <c r="N183" s="63"/>
      <c r="O183" s="63"/>
      <c r="R183" s="59"/>
      <c r="S183" s="642"/>
      <c r="T183" s="59"/>
      <c r="U183" s="59"/>
      <c r="V183" s="59"/>
      <c r="W183" s="59"/>
      <c r="X183" s="59"/>
      <c r="Y183" s="59"/>
      <c r="Z183" s="59"/>
      <c r="AA183" s="59"/>
      <c r="AB183" s="59"/>
    </row>
    <row r="184" spans="2:28" s="62" customFormat="1" ht="13.9" customHeight="1">
      <c r="B184" s="85"/>
      <c r="C184" s="85"/>
      <c r="D184" s="86"/>
      <c r="E184" s="83"/>
      <c r="F184" s="65"/>
      <c r="G184" s="65"/>
      <c r="H184" s="65"/>
      <c r="I184" s="81"/>
      <c r="J184" s="81"/>
      <c r="K184" s="65"/>
      <c r="L184" s="65"/>
      <c r="M184" s="63"/>
      <c r="N184" s="63"/>
      <c r="O184" s="63"/>
      <c r="R184" s="59"/>
      <c r="S184" s="642"/>
      <c r="T184" s="59"/>
      <c r="U184" s="59"/>
      <c r="V184" s="59"/>
      <c r="W184" s="59"/>
      <c r="X184" s="59"/>
      <c r="Y184" s="59"/>
      <c r="Z184" s="59"/>
      <c r="AA184" s="59"/>
      <c r="AB184" s="59"/>
    </row>
    <row r="185" spans="2:28" s="62" customFormat="1" ht="13.9" customHeight="1">
      <c r="B185" s="85"/>
      <c r="C185" s="85"/>
      <c r="D185" s="86"/>
      <c r="E185" s="83"/>
      <c r="F185" s="65"/>
      <c r="G185" s="65"/>
      <c r="H185" s="65"/>
      <c r="I185" s="81"/>
      <c r="J185" s="81"/>
      <c r="K185" s="65"/>
      <c r="L185" s="65"/>
      <c r="M185" s="63"/>
      <c r="N185" s="63"/>
      <c r="O185" s="63"/>
      <c r="R185" s="59"/>
      <c r="S185" s="642"/>
      <c r="T185" s="59"/>
      <c r="U185" s="59"/>
      <c r="V185" s="59"/>
      <c r="W185" s="59"/>
      <c r="X185" s="59"/>
      <c r="Y185" s="59"/>
      <c r="Z185" s="59"/>
      <c r="AA185" s="59"/>
      <c r="AB185" s="59"/>
    </row>
    <row r="186" spans="2:28" s="62" customFormat="1" ht="13.9" customHeight="1">
      <c r="B186" s="85"/>
      <c r="C186" s="85"/>
      <c r="D186" s="86"/>
      <c r="E186" s="83"/>
      <c r="F186" s="65"/>
      <c r="G186" s="65"/>
      <c r="H186" s="65"/>
      <c r="I186" s="81"/>
      <c r="J186" s="81"/>
      <c r="K186" s="65"/>
      <c r="L186" s="65"/>
      <c r="M186" s="63"/>
      <c r="N186" s="63"/>
      <c r="O186" s="63"/>
      <c r="R186" s="59"/>
      <c r="S186" s="642"/>
      <c r="T186" s="59"/>
      <c r="U186" s="59"/>
      <c r="V186" s="59"/>
      <c r="W186" s="59"/>
      <c r="X186" s="59"/>
      <c r="Y186" s="59"/>
      <c r="Z186" s="59"/>
      <c r="AA186" s="59"/>
      <c r="AB186" s="59"/>
    </row>
    <row r="187" spans="2:28" s="62" customFormat="1" ht="13.9" customHeight="1">
      <c r="B187" s="85"/>
      <c r="C187" s="85"/>
      <c r="D187" s="86"/>
      <c r="E187" s="83"/>
      <c r="F187" s="65"/>
      <c r="G187" s="65"/>
      <c r="H187" s="65"/>
      <c r="I187" s="81"/>
      <c r="J187" s="81"/>
      <c r="K187" s="65"/>
      <c r="L187" s="65"/>
      <c r="M187" s="63"/>
      <c r="N187" s="63"/>
      <c r="O187" s="63"/>
      <c r="R187" s="59"/>
      <c r="S187" s="642"/>
      <c r="T187" s="59"/>
      <c r="U187" s="59"/>
      <c r="V187" s="59"/>
      <c r="W187" s="59"/>
      <c r="X187" s="59"/>
      <c r="Y187" s="59"/>
      <c r="Z187" s="59"/>
      <c r="AA187" s="59"/>
      <c r="AB187" s="59"/>
    </row>
    <row r="188" spans="2:28" s="62" customFormat="1" ht="13.9" customHeight="1">
      <c r="B188" s="85"/>
      <c r="C188" s="85"/>
      <c r="D188" s="86"/>
      <c r="E188" s="83"/>
      <c r="F188" s="65"/>
      <c r="G188" s="65"/>
      <c r="H188" s="65"/>
      <c r="I188" s="81"/>
      <c r="J188" s="81"/>
      <c r="K188" s="65"/>
      <c r="L188" s="65"/>
      <c r="M188" s="63"/>
      <c r="N188" s="63"/>
      <c r="O188" s="63"/>
      <c r="R188" s="59"/>
      <c r="S188" s="642"/>
      <c r="T188" s="59"/>
      <c r="U188" s="59"/>
      <c r="V188" s="59"/>
      <c r="W188" s="59"/>
      <c r="X188" s="59"/>
      <c r="Y188" s="59"/>
      <c r="Z188" s="59"/>
      <c r="AA188" s="59"/>
      <c r="AB188" s="59"/>
    </row>
    <row r="189" spans="2:28" s="62" customFormat="1" ht="13.9" customHeight="1">
      <c r="B189" s="85"/>
      <c r="C189" s="85"/>
      <c r="D189" s="86"/>
      <c r="E189" s="83"/>
      <c r="F189" s="65"/>
      <c r="G189" s="65"/>
      <c r="H189" s="65"/>
      <c r="I189" s="81"/>
      <c r="J189" s="81"/>
      <c r="K189" s="65"/>
      <c r="L189" s="65"/>
      <c r="M189" s="63"/>
      <c r="N189" s="63"/>
      <c r="O189" s="63"/>
      <c r="R189" s="59"/>
      <c r="S189" s="642"/>
      <c r="T189" s="59"/>
      <c r="U189" s="59"/>
      <c r="V189" s="59"/>
      <c r="W189" s="59"/>
      <c r="X189" s="59"/>
      <c r="Y189" s="59"/>
      <c r="Z189" s="59"/>
      <c r="AA189" s="59"/>
      <c r="AB189" s="59"/>
    </row>
    <row r="190" spans="2:28" s="62" customFormat="1" ht="13.9" customHeight="1">
      <c r="B190" s="85"/>
      <c r="C190" s="85"/>
      <c r="D190" s="86"/>
      <c r="E190" s="83"/>
      <c r="F190" s="65"/>
      <c r="G190" s="65"/>
      <c r="H190" s="65"/>
      <c r="I190" s="81"/>
      <c r="J190" s="81"/>
      <c r="K190" s="65"/>
      <c r="L190" s="65"/>
      <c r="M190" s="63"/>
      <c r="N190" s="63"/>
      <c r="O190" s="63"/>
      <c r="R190" s="59"/>
      <c r="S190" s="642"/>
      <c r="T190" s="59"/>
      <c r="U190" s="59"/>
      <c r="V190" s="59"/>
      <c r="W190" s="59"/>
      <c r="X190" s="59"/>
      <c r="Y190" s="59"/>
      <c r="Z190" s="59"/>
      <c r="AA190" s="59"/>
      <c r="AB190" s="59"/>
    </row>
    <row r="191" spans="2:28" s="62" customFormat="1" ht="13.9" customHeight="1">
      <c r="B191" s="85"/>
      <c r="C191" s="85"/>
      <c r="D191" s="86"/>
      <c r="E191" s="83"/>
      <c r="F191" s="65"/>
      <c r="G191" s="65"/>
      <c r="H191" s="65"/>
      <c r="I191" s="81"/>
      <c r="J191" s="81"/>
      <c r="K191" s="65"/>
      <c r="L191" s="65"/>
      <c r="M191" s="63"/>
      <c r="N191" s="63"/>
      <c r="O191" s="63"/>
      <c r="R191" s="59"/>
      <c r="S191" s="642"/>
      <c r="T191" s="59"/>
      <c r="U191" s="59"/>
      <c r="V191" s="59"/>
      <c r="W191" s="59"/>
      <c r="X191" s="59"/>
      <c r="Y191" s="59"/>
      <c r="Z191" s="59"/>
      <c r="AA191" s="59"/>
      <c r="AB191" s="59"/>
    </row>
    <row r="192" spans="2:28" s="62" customFormat="1" ht="13.9" customHeight="1">
      <c r="B192" s="85"/>
      <c r="C192" s="85"/>
      <c r="D192" s="86"/>
      <c r="E192" s="83"/>
      <c r="F192" s="65"/>
      <c r="G192" s="65"/>
      <c r="H192" s="65"/>
      <c r="I192" s="81"/>
      <c r="J192" s="81"/>
      <c r="K192" s="65"/>
      <c r="L192" s="65"/>
      <c r="M192" s="63"/>
      <c r="N192" s="63"/>
      <c r="O192" s="63"/>
      <c r="R192" s="59"/>
      <c r="S192" s="642"/>
      <c r="T192" s="59"/>
      <c r="U192" s="59"/>
      <c r="V192" s="59"/>
      <c r="W192" s="59"/>
      <c r="X192" s="59"/>
      <c r="Y192" s="59"/>
      <c r="Z192" s="59"/>
      <c r="AA192" s="59"/>
      <c r="AB192" s="59"/>
    </row>
    <row r="193" spans="2:28" s="62" customFormat="1" ht="13.9" customHeight="1">
      <c r="B193" s="85"/>
      <c r="C193" s="85"/>
      <c r="D193" s="86"/>
      <c r="E193" s="83"/>
      <c r="F193" s="65"/>
      <c r="G193" s="65"/>
      <c r="H193" s="65"/>
      <c r="I193" s="81"/>
      <c r="J193" s="81"/>
      <c r="K193" s="65"/>
      <c r="L193" s="65"/>
      <c r="M193" s="63"/>
      <c r="N193" s="63"/>
      <c r="O193" s="63"/>
      <c r="R193" s="59"/>
      <c r="S193" s="642"/>
      <c r="T193" s="59"/>
      <c r="U193" s="59"/>
      <c r="V193" s="59"/>
      <c r="W193" s="59"/>
      <c r="X193" s="59"/>
      <c r="Y193" s="59"/>
      <c r="Z193" s="59"/>
      <c r="AA193" s="59"/>
      <c r="AB193" s="59"/>
    </row>
    <row r="194" spans="2:28" s="62" customFormat="1" ht="13.9" customHeight="1">
      <c r="B194" s="85"/>
      <c r="C194" s="85"/>
      <c r="D194" s="86"/>
      <c r="E194" s="83"/>
      <c r="F194" s="65"/>
      <c r="G194" s="65"/>
      <c r="H194" s="65"/>
      <c r="I194" s="81"/>
      <c r="J194" s="81"/>
      <c r="K194" s="65"/>
      <c r="L194" s="65"/>
      <c r="M194" s="63"/>
      <c r="N194" s="63"/>
      <c r="O194" s="63"/>
      <c r="R194" s="59"/>
      <c r="S194" s="642"/>
      <c r="T194" s="59"/>
      <c r="U194" s="59"/>
      <c r="V194" s="59"/>
      <c r="W194" s="59"/>
      <c r="X194" s="59"/>
      <c r="Y194" s="59"/>
      <c r="Z194" s="59"/>
      <c r="AA194" s="59"/>
      <c r="AB194" s="59"/>
    </row>
    <row r="195" spans="2:28" s="62" customFormat="1" ht="13.9" customHeight="1">
      <c r="B195" s="85"/>
      <c r="C195" s="85"/>
      <c r="D195" s="86"/>
      <c r="E195" s="83"/>
      <c r="F195" s="65"/>
      <c r="G195" s="65"/>
      <c r="H195" s="65"/>
      <c r="I195" s="81"/>
      <c r="J195" s="81"/>
      <c r="K195" s="65"/>
      <c r="L195" s="65"/>
      <c r="M195" s="63"/>
      <c r="N195" s="63"/>
      <c r="O195" s="63"/>
      <c r="R195" s="59"/>
      <c r="S195" s="642"/>
      <c r="T195" s="59"/>
      <c r="U195" s="59"/>
      <c r="V195" s="59"/>
      <c r="W195" s="59"/>
      <c r="X195" s="59"/>
      <c r="Y195" s="59"/>
      <c r="Z195" s="59"/>
      <c r="AA195" s="59"/>
      <c r="AB195" s="59"/>
    </row>
    <row r="196" spans="2:28" s="62" customFormat="1" ht="13.9" customHeight="1">
      <c r="B196" s="85"/>
      <c r="C196" s="85"/>
      <c r="D196" s="86"/>
      <c r="E196" s="83"/>
      <c r="F196" s="65"/>
      <c r="G196" s="65"/>
      <c r="H196" s="65"/>
      <c r="I196" s="81"/>
      <c r="J196" s="81"/>
      <c r="K196" s="65"/>
      <c r="L196" s="65"/>
      <c r="M196" s="63"/>
      <c r="N196" s="63"/>
      <c r="O196" s="63"/>
      <c r="R196" s="59"/>
      <c r="S196" s="642"/>
      <c r="T196" s="59"/>
      <c r="U196" s="59"/>
      <c r="V196" s="59"/>
      <c r="W196" s="59"/>
      <c r="X196" s="59"/>
      <c r="Y196" s="59"/>
      <c r="Z196" s="59"/>
      <c r="AA196" s="59"/>
      <c r="AB196" s="59"/>
    </row>
    <row r="197" spans="2:28" s="62" customFormat="1" ht="13.9" customHeight="1">
      <c r="B197" s="85"/>
      <c r="C197" s="85"/>
      <c r="D197" s="86"/>
      <c r="E197" s="83"/>
      <c r="F197" s="65"/>
      <c r="G197" s="65"/>
      <c r="H197" s="65"/>
      <c r="I197" s="81"/>
      <c r="J197" s="81"/>
      <c r="K197" s="65"/>
      <c r="L197" s="65"/>
      <c r="M197" s="63"/>
      <c r="N197" s="63"/>
      <c r="O197" s="63"/>
      <c r="R197" s="59"/>
      <c r="S197" s="642"/>
      <c r="T197" s="59"/>
      <c r="U197" s="59"/>
      <c r="V197" s="59"/>
      <c r="W197" s="59"/>
      <c r="X197" s="59"/>
      <c r="Y197" s="59"/>
      <c r="Z197" s="59"/>
      <c r="AA197" s="59"/>
      <c r="AB197" s="59"/>
    </row>
    <row r="198" spans="2:28" s="62" customFormat="1" ht="13.9" customHeight="1">
      <c r="B198" s="85"/>
      <c r="C198" s="85"/>
      <c r="D198" s="86"/>
      <c r="E198" s="83"/>
      <c r="F198" s="65"/>
      <c r="G198" s="65"/>
      <c r="H198" s="65"/>
      <c r="I198" s="81"/>
      <c r="J198" s="81"/>
      <c r="K198" s="65"/>
      <c r="L198" s="65"/>
      <c r="M198" s="63"/>
      <c r="N198" s="63"/>
      <c r="O198" s="63"/>
      <c r="R198" s="59"/>
      <c r="S198" s="642"/>
      <c r="T198" s="59"/>
      <c r="U198" s="59"/>
      <c r="V198" s="59"/>
      <c r="W198" s="59"/>
      <c r="X198" s="59"/>
      <c r="Y198" s="59"/>
      <c r="Z198" s="59"/>
      <c r="AA198" s="59"/>
      <c r="AB198" s="59"/>
    </row>
    <row r="199" spans="2:28" s="62" customFormat="1" ht="13.9" customHeight="1">
      <c r="B199" s="85"/>
      <c r="C199" s="85"/>
      <c r="D199" s="86"/>
      <c r="E199" s="83"/>
      <c r="F199" s="65"/>
      <c r="G199" s="65"/>
      <c r="H199" s="65"/>
      <c r="I199" s="81"/>
      <c r="J199" s="81"/>
      <c r="K199" s="65"/>
      <c r="L199" s="65"/>
      <c r="M199" s="63"/>
      <c r="N199" s="63"/>
      <c r="O199" s="63"/>
      <c r="R199" s="59"/>
      <c r="S199" s="642"/>
      <c r="T199" s="59"/>
      <c r="U199" s="59"/>
      <c r="V199" s="59"/>
      <c r="W199" s="59"/>
      <c r="X199" s="59"/>
      <c r="Y199" s="59"/>
      <c r="Z199" s="59"/>
      <c r="AA199" s="59"/>
      <c r="AB199" s="59"/>
    </row>
    <row r="200" spans="2:28" s="62" customFormat="1" ht="13.9" customHeight="1">
      <c r="B200" s="85"/>
      <c r="C200" s="85"/>
      <c r="D200" s="86"/>
      <c r="E200" s="83"/>
      <c r="F200" s="65"/>
      <c r="G200" s="65"/>
      <c r="H200" s="65"/>
      <c r="I200" s="81"/>
      <c r="J200" s="81"/>
      <c r="K200" s="65"/>
      <c r="L200" s="65"/>
      <c r="M200" s="63"/>
      <c r="N200" s="63"/>
      <c r="O200" s="63"/>
      <c r="R200" s="59"/>
      <c r="S200" s="642"/>
      <c r="T200" s="59"/>
      <c r="U200" s="59"/>
      <c r="V200" s="59"/>
      <c r="W200" s="59"/>
      <c r="X200" s="59"/>
      <c r="Y200" s="59"/>
      <c r="Z200" s="59"/>
      <c r="AA200" s="59"/>
      <c r="AB200" s="59"/>
    </row>
    <row r="201" spans="2:28" s="62" customFormat="1" ht="13.9" customHeight="1">
      <c r="B201" s="85"/>
      <c r="C201" s="85"/>
      <c r="D201" s="86"/>
      <c r="E201" s="83"/>
      <c r="F201" s="65"/>
      <c r="G201" s="65"/>
      <c r="H201" s="65"/>
      <c r="I201" s="81"/>
      <c r="J201" s="81"/>
      <c r="K201" s="65"/>
      <c r="L201" s="65"/>
      <c r="M201" s="63"/>
      <c r="N201" s="63"/>
      <c r="O201" s="63"/>
      <c r="R201" s="59"/>
      <c r="S201" s="642"/>
      <c r="T201" s="59"/>
      <c r="U201" s="59"/>
      <c r="V201" s="59"/>
      <c r="W201" s="59"/>
      <c r="X201" s="59"/>
      <c r="Y201" s="59"/>
      <c r="Z201" s="59"/>
      <c r="AA201" s="59"/>
      <c r="AB201" s="59"/>
    </row>
    <row r="202" spans="2:28" s="62" customFormat="1" ht="13.9" customHeight="1">
      <c r="B202" s="85"/>
      <c r="C202" s="85"/>
      <c r="D202" s="86"/>
      <c r="E202" s="83"/>
      <c r="F202" s="65"/>
      <c r="G202" s="65"/>
      <c r="H202" s="65"/>
      <c r="I202" s="81"/>
      <c r="J202" s="81"/>
      <c r="K202" s="65"/>
      <c r="L202" s="65"/>
      <c r="M202" s="63"/>
      <c r="N202" s="63"/>
      <c r="O202" s="63"/>
      <c r="R202" s="59"/>
      <c r="S202" s="642"/>
      <c r="T202" s="59"/>
      <c r="U202" s="59"/>
      <c r="V202" s="59"/>
      <c r="W202" s="59"/>
      <c r="X202" s="59"/>
      <c r="Y202" s="59"/>
      <c r="Z202" s="59"/>
      <c r="AA202" s="59"/>
      <c r="AB202" s="59"/>
    </row>
    <row r="203" spans="2:28" s="62" customFormat="1" ht="13.9" customHeight="1">
      <c r="B203" s="85"/>
      <c r="C203" s="85"/>
      <c r="D203" s="86"/>
      <c r="E203" s="83"/>
      <c r="F203" s="65"/>
      <c r="G203" s="65"/>
      <c r="H203" s="65"/>
      <c r="I203" s="81"/>
      <c r="J203" s="81"/>
      <c r="K203" s="65"/>
      <c r="L203" s="65"/>
      <c r="M203" s="63"/>
      <c r="N203" s="63"/>
      <c r="O203" s="63"/>
      <c r="R203" s="59"/>
      <c r="S203" s="642"/>
      <c r="T203" s="59"/>
      <c r="U203" s="59"/>
      <c r="V203" s="59"/>
      <c r="W203" s="59"/>
      <c r="X203" s="59"/>
      <c r="Y203" s="59"/>
      <c r="Z203" s="59"/>
      <c r="AA203" s="59"/>
      <c r="AB203" s="59"/>
    </row>
    <row r="204" spans="2:28" s="62" customFormat="1" ht="13.9" customHeight="1">
      <c r="B204" s="85"/>
      <c r="C204" s="85"/>
      <c r="D204" s="86"/>
      <c r="E204" s="83"/>
      <c r="F204" s="65"/>
      <c r="G204" s="65"/>
      <c r="H204" s="65"/>
      <c r="I204" s="81"/>
      <c r="J204" s="81"/>
      <c r="K204" s="65"/>
      <c r="L204" s="65"/>
      <c r="M204" s="63"/>
      <c r="N204" s="63"/>
      <c r="O204" s="63"/>
      <c r="R204" s="59"/>
      <c r="S204" s="642"/>
      <c r="T204" s="59"/>
      <c r="U204" s="59"/>
      <c r="V204" s="59"/>
      <c r="W204" s="59"/>
      <c r="X204" s="59"/>
      <c r="Y204" s="59"/>
      <c r="Z204" s="59"/>
      <c r="AA204" s="59"/>
      <c r="AB204" s="59"/>
    </row>
    <row r="205" spans="2:28" s="62" customFormat="1" ht="13.9" customHeight="1">
      <c r="B205" s="85"/>
      <c r="C205" s="85"/>
      <c r="D205" s="86"/>
      <c r="E205" s="83"/>
      <c r="F205" s="65"/>
      <c r="G205" s="65"/>
      <c r="H205" s="65"/>
      <c r="I205" s="81"/>
      <c r="J205" s="81"/>
      <c r="K205" s="65"/>
      <c r="L205" s="65"/>
      <c r="M205" s="63"/>
      <c r="N205" s="63"/>
      <c r="O205" s="63"/>
      <c r="R205" s="59"/>
      <c r="S205" s="642"/>
      <c r="T205" s="59"/>
      <c r="U205" s="59"/>
      <c r="V205" s="59"/>
      <c r="W205" s="59"/>
      <c r="X205" s="59"/>
      <c r="Y205" s="59"/>
      <c r="Z205" s="59"/>
      <c r="AA205" s="59"/>
      <c r="AB205" s="59"/>
    </row>
    <row r="206" spans="2:28" s="62" customFormat="1" ht="13.9" customHeight="1">
      <c r="B206" s="85"/>
      <c r="C206" s="85"/>
      <c r="D206" s="86"/>
      <c r="E206" s="83"/>
      <c r="F206" s="65"/>
      <c r="G206" s="65"/>
      <c r="H206" s="65"/>
      <c r="I206" s="81"/>
      <c r="J206" s="81"/>
      <c r="K206" s="65"/>
      <c r="L206" s="65"/>
      <c r="M206" s="63"/>
      <c r="N206" s="63"/>
      <c r="O206" s="63"/>
      <c r="R206" s="59"/>
      <c r="S206" s="642"/>
      <c r="T206" s="59"/>
      <c r="U206" s="59"/>
      <c r="V206" s="59"/>
      <c r="W206" s="59"/>
      <c r="X206" s="59"/>
      <c r="Y206" s="59"/>
      <c r="Z206" s="59"/>
      <c r="AA206" s="59"/>
      <c r="AB206" s="59"/>
    </row>
    <row r="207" spans="2:28" s="62" customFormat="1" ht="13.9" customHeight="1">
      <c r="B207" s="85"/>
      <c r="C207" s="85"/>
      <c r="D207" s="86"/>
      <c r="E207" s="83"/>
      <c r="F207" s="65"/>
      <c r="G207" s="65"/>
      <c r="H207" s="65"/>
      <c r="I207" s="81"/>
      <c r="J207" s="81"/>
      <c r="K207" s="65"/>
      <c r="L207" s="65"/>
      <c r="M207" s="63"/>
      <c r="N207" s="63"/>
      <c r="O207" s="63"/>
      <c r="R207" s="59"/>
      <c r="S207" s="642"/>
      <c r="T207" s="59"/>
      <c r="U207" s="59"/>
      <c r="V207" s="59"/>
      <c r="W207" s="59"/>
      <c r="X207" s="59"/>
      <c r="Y207" s="59"/>
      <c r="Z207" s="59"/>
      <c r="AA207" s="59"/>
      <c r="AB207" s="59"/>
    </row>
    <row r="208" spans="2:28" s="62" customFormat="1" ht="13.9" customHeight="1">
      <c r="B208" s="85"/>
      <c r="C208" s="85"/>
      <c r="D208" s="86"/>
      <c r="E208" s="83"/>
      <c r="F208" s="65"/>
      <c r="G208" s="65"/>
      <c r="H208" s="65"/>
      <c r="I208" s="81"/>
      <c r="J208" s="81"/>
      <c r="K208" s="65"/>
      <c r="L208" s="65"/>
      <c r="M208" s="63"/>
      <c r="N208" s="63"/>
      <c r="O208" s="63"/>
      <c r="R208" s="59"/>
      <c r="S208" s="642"/>
      <c r="T208" s="59"/>
      <c r="U208" s="59"/>
      <c r="V208" s="59"/>
      <c r="W208" s="59"/>
      <c r="X208" s="59"/>
      <c r="Y208" s="59"/>
      <c r="Z208" s="59"/>
      <c r="AA208" s="59"/>
      <c r="AB208" s="59"/>
    </row>
    <row r="209" spans="2:28" s="62" customFormat="1" ht="13.9" customHeight="1">
      <c r="B209" s="85"/>
      <c r="C209" s="85"/>
      <c r="D209" s="86"/>
      <c r="E209" s="83"/>
      <c r="F209" s="65"/>
      <c r="G209" s="65"/>
      <c r="H209" s="65"/>
      <c r="I209" s="81"/>
      <c r="J209" s="81"/>
      <c r="K209" s="65"/>
      <c r="L209" s="65"/>
      <c r="M209" s="63"/>
      <c r="N209" s="63"/>
      <c r="O209" s="63"/>
      <c r="R209" s="59"/>
      <c r="S209" s="642"/>
      <c r="T209" s="59"/>
      <c r="U209" s="59"/>
      <c r="V209" s="59"/>
      <c r="W209" s="59"/>
      <c r="X209" s="59"/>
      <c r="Y209" s="59"/>
      <c r="Z209" s="59"/>
      <c r="AA209" s="59"/>
      <c r="AB209" s="59"/>
    </row>
    <row r="210" spans="2:28" s="62" customFormat="1" ht="13.9" customHeight="1">
      <c r="B210" s="85"/>
      <c r="C210" s="85"/>
      <c r="D210" s="86"/>
      <c r="E210" s="83"/>
      <c r="F210" s="65"/>
      <c r="G210" s="65"/>
      <c r="H210" s="65"/>
      <c r="I210" s="81"/>
      <c r="J210" s="81"/>
      <c r="K210" s="65"/>
      <c r="L210" s="65"/>
      <c r="M210" s="63"/>
      <c r="N210" s="63"/>
      <c r="O210" s="63"/>
      <c r="R210" s="59"/>
      <c r="S210" s="642"/>
      <c r="T210" s="59"/>
      <c r="U210" s="59"/>
      <c r="V210" s="59"/>
      <c r="W210" s="59"/>
      <c r="X210" s="59"/>
      <c r="Y210" s="59"/>
      <c r="Z210" s="59"/>
      <c r="AA210" s="59"/>
      <c r="AB210" s="59"/>
    </row>
    <row r="211" spans="2:28" s="62" customFormat="1" ht="13.9" customHeight="1">
      <c r="B211" s="85"/>
      <c r="C211" s="85"/>
      <c r="D211" s="86"/>
      <c r="E211" s="83"/>
      <c r="F211" s="65"/>
      <c r="G211" s="65"/>
      <c r="H211" s="65"/>
      <c r="I211" s="81"/>
      <c r="J211" s="81"/>
      <c r="K211" s="65"/>
      <c r="L211" s="65"/>
      <c r="M211" s="63"/>
      <c r="N211" s="63"/>
      <c r="O211" s="63"/>
      <c r="R211" s="59"/>
      <c r="S211" s="642"/>
      <c r="T211" s="59"/>
      <c r="U211" s="59"/>
      <c r="V211" s="59"/>
      <c r="W211" s="59"/>
      <c r="X211" s="59"/>
      <c r="Y211" s="59"/>
      <c r="Z211" s="59"/>
      <c r="AA211" s="59"/>
      <c r="AB211" s="59"/>
    </row>
    <row r="212" spans="2:28" s="62" customFormat="1" ht="13.9" customHeight="1">
      <c r="B212" s="85"/>
      <c r="C212" s="85"/>
      <c r="D212" s="86"/>
      <c r="E212" s="83"/>
      <c r="F212" s="65"/>
      <c r="G212" s="65"/>
      <c r="H212" s="65"/>
      <c r="I212" s="81"/>
      <c r="J212" s="81"/>
      <c r="K212" s="65"/>
      <c r="L212" s="65"/>
      <c r="M212" s="63"/>
      <c r="N212" s="63"/>
      <c r="O212" s="63"/>
      <c r="R212" s="59"/>
      <c r="S212" s="642"/>
      <c r="T212" s="59"/>
      <c r="U212" s="59"/>
      <c r="V212" s="59"/>
      <c r="W212" s="59"/>
      <c r="X212" s="59"/>
      <c r="Y212" s="59"/>
      <c r="Z212" s="59"/>
      <c r="AA212" s="59"/>
      <c r="AB212" s="59"/>
    </row>
  </sheetData>
  <mergeCells count="28">
    <mergeCell ref="D11:E11"/>
    <mergeCell ref="J11:K11"/>
    <mergeCell ref="J19:K19"/>
    <mergeCell ref="L23:O23"/>
    <mergeCell ref="J12:K12"/>
    <mergeCell ref="J16:K16"/>
    <mergeCell ref="J17:K17"/>
    <mergeCell ref="J18:K18"/>
    <mergeCell ref="Q2:Q5"/>
    <mergeCell ref="J9:K9"/>
    <mergeCell ref="J10:K10"/>
    <mergeCell ref="J14:K14"/>
    <mergeCell ref="J15:K15"/>
    <mergeCell ref="AC24:AE24"/>
    <mergeCell ref="AC25:AE25"/>
    <mergeCell ref="AC26:AE26"/>
    <mergeCell ref="H37:K39"/>
    <mergeCell ref="B73:O73"/>
    <mergeCell ref="B66:K66"/>
    <mergeCell ref="L66:O66"/>
    <mergeCell ref="B74:O74"/>
    <mergeCell ref="B75:O75"/>
    <mergeCell ref="B68:G68"/>
    <mergeCell ref="H68:K68"/>
    <mergeCell ref="L68:O68"/>
    <mergeCell ref="B70:G70"/>
    <mergeCell ref="H70:K70"/>
    <mergeCell ref="L70:O70"/>
  </mergeCells>
  <phoneticPr fontId="3"/>
  <conditionalFormatting sqref="D11 E12 E14 E16 E18">
    <cfRule type="cellIs" dxfId="139" priority="1" stopIfTrue="1" operator="equal">
      <formula>0</formula>
    </cfRule>
  </conditionalFormatting>
  <conditionalFormatting sqref="H36:K36">
    <cfRule type="expression" dxfId="138" priority="3" stopIfTrue="1">
      <formula>$U$36=$W$37</formula>
    </cfRule>
  </conditionalFormatting>
  <conditionalFormatting sqref="I28:K35 H29:H35">
    <cfRule type="expression" dxfId="137" priority="2" stopIfTrue="1">
      <formula>$U$36=$W$37</formula>
    </cfRule>
  </conditionalFormatting>
  <hyperlinks>
    <hyperlink ref="Q2" location="メイン!A1" display="戻る" xr:uid="{EC466BCD-F0B3-4B44-B93A-29CE444179B9}"/>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A81"/>
  <sheetViews>
    <sheetView showGridLines="0" zoomScaleNormal="100" zoomScaleSheetLayoutView="85" workbookViewId="0">
      <selection activeCell="D13" sqref="D13"/>
    </sheetView>
  </sheetViews>
  <sheetFormatPr defaultColWidth="8.875" defaultRowHeight="13.5"/>
  <cols>
    <col min="1" max="1" width="0.75" style="96" customWidth="1"/>
    <col min="2" max="2" width="2" style="96" customWidth="1"/>
    <col min="3" max="3" width="2.875" style="96" customWidth="1"/>
    <col min="4" max="4" width="14.25" style="96" customWidth="1"/>
    <col min="5" max="5" width="11.75" style="96" customWidth="1"/>
    <col min="6" max="7" width="9.875" style="96" customWidth="1"/>
    <col min="8" max="12" width="10.875" style="96" customWidth="1"/>
    <col min="13" max="13" width="1.75" style="96" customWidth="1"/>
    <col min="14" max="19" width="8" style="164" hidden="1" customWidth="1"/>
    <col min="20" max="21" width="8" style="164" customWidth="1"/>
    <col min="22" max="26" width="8.875" style="164" customWidth="1"/>
    <col min="27" max="16384" width="8.875" style="96"/>
  </cols>
  <sheetData>
    <row r="1" spans="1:27" customFormat="1">
      <c r="I1" s="483" t="s">
        <v>319</v>
      </c>
      <c r="J1" s="484" t="str">
        <f>メイン!C10</f>
        <v>Aプロジェクト</v>
      </c>
      <c r="K1" s="485"/>
      <c r="L1" s="484"/>
      <c r="N1" s="140"/>
      <c r="O1" s="140"/>
      <c r="P1" s="140"/>
      <c r="Q1" s="140"/>
      <c r="R1" s="140"/>
    </row>
    <row r="2" spans="1:27" customFormat="1" ht="14.25" hidden="1">
      <c r="N2" s="448">
        <v>1</v>
      </c>
      <c r="O2" s="448" t="s">
        <v>320</v>
      </c>
      <c r="P2" s="448" t="s">
        <v>321</v>
      </c>
      <c r="Q2" s="140"/>
      <c r="R2" s="369"/>
    </row>
    <row r="3" spans="1:27" customFormat="1" ht="14.25" hidden="1">
      <c r="N3" s="448">
        <v>2</v>
      </c>
      <c r="O3" s="448" t="s">
        <v>322</v>
      </c>
      <c r="P3" s="448" t="s">
        <v>323</v>
      </c>
      <c r="Q3" s="140"/>
      <c r="R3" s="369" t="s">
        <v>324</v>
      </c>
    </row>
    <row r="4" spans="1:27" customFormat="1" ht="14.25" hidden="1">
      <c r="N4" s="448">
        <v>3</v>
      </c>
      <c r="O4" s="448" t="s">
        <v>325</v>
      </c>
      <c r="P4" s="448" t="s">
        <v>326</v>
      </c>
      <c r="Q4" s="140"/>
      <c r="R4" s="444" t="s">
        <v>327</v>
      </c>
    </row>
    <row r="5" spans="1:27" customFormat="1" ht="14.25" hidden="1">
      <c r="N5" s="448">
        <v>4</v>
      </c>
      <c r="O5" s="448" t="s">
        <v>328</v>
      </c>
      <c r="P5" s="448" t="s">
        <v>329</v>
      </c>
      <c r="Q5" s="140"/>
      <c r="R5" s="140"/>
    </row>
    <row r="6" spans="1:27" customFormat="1" ht="14.25" hidden="1">
      <c r="N6" s="448">
        <v>5</v>
      </c>
      <c r="O6" s="448" t="s">
        <v>330</v>
      </c>
      <c r="P6" s="448" t="s">
        <v>331</v>
      </c>
    </row>
    <row r="7" spans="1:27" customFormat="1" hidden="1">
      <c r="G7" s="96"/>
    </row>
    <row r="8" spans="1:27" customFormat="1" hidden="1"/>
    <row r="9" spans="1:27" s="7" customFormat="1" ht="18.75" thickBot="1">
      <c r="A9" s="670"/>
      <c r="B9" s="665" t="s">
        <v>1085</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49" customFormat="1" ht="16.5" thickBot="1">
      <c r="A12" s="664"/>
      <c r="B12" s="666" t="s">
        <v>1027</v>
      </c>
      <c r="C12" s="666"/>
      <c r="D12" s="163"/>
      <c r="E12" s="664"/>
      <c r="F12" s="675"/>
      <c r="G12" s="675"/>
      <c r="H12" s="675"/>
      <c r="I12" s="459"/>
      <c r="J12" s="664"/>
      <c r="K12" s="664"/>
      <c r="L12" s="676"/>
      <c r="M12" s="664"/>
      <c r="N12" s="62"/>
      <c r="O12" s="62"/>
    </row>
    <row r="13" spans="1:27" s="49" customFormat="1" ht="16.5" thickBot="1">
      <c r="B13" s="664"/>
      <c r="C13" s="664"/>
      <c r="D13" s="434">
        <v>3</v>
      </c>
      <c r="E13" s="453" t="s">
        <v>1229</v>
      </c>
      <c r="F13" s="453"/>
      <c r="G13" s="453"/>
      <c r="H13" s="453"/>
      <c r="I13" s="453"/>
      <c r="J13" s="453"/>
      <c r="K13" s="453"/>
      <c r="L13" s="454"/>
      <c r="M13" s="62"/>
      <c r="N13" s="448" t="s">
        <v>336</v>
      </c>
      <c r="O13" s="448" t="s">
        <v>337</v>
      </c>
    </row>
    <row r="14" spans="1:27" s="49" customFormat="1" ht="15.75">
      <c r="B14" s="664"/>
      <c r="C14" s="664"/>
      <c r="D14" s="435" t="str">
        <f>IF(ROUNDDOWN(D13,0)=$N$2,$P$2,$O$2)</f>
        <v>　レベル　1</v>
      </c>
      <c r="E14" s="460" t="s">
        <v>1236</v>
      </c>
      <c r="F14" s="500"/>
      <c r="G14" s="500"/>
      <c r="H14" s="500"/>
      <c r="I14" s="500"/>
      <c r="J14" s="500"/>
      <c r="K14" s="500"/>
      <c r="L14" s="508"/>
      <c r="M14" s="664"/>
      <c r="N14" s="449">
        <v>1</v>
      </c>
      <c r="O14" s="450"/>
    </row>
    <row r="15" spans="1:27" s="49" customFormat="1" ht="15.75">
      <c r="B15" s="664"/>
      <c r="C15" s="664"/>
      <c r="D15" s="436" t="str">
        <f>IF(ROUNDDOWN(D13,0)=$N$3,$P$3,$O$3)</f>
        <v>　レベル　2</v>
      </c>
      <c r="E15" s="463" t="s">
        <v>1237</v>
      </c>
      <c r="F15" s="501"/>
      <c r="G15" s="501"/>
      <c r="H15" s="501"/>
      <c r="I15" s="501"/>
      <c r="J15" s="501"/>
      <c r="K15" s="501"/>
      <c r="L15" s="509"/>
      <c r="M15" s="62"/>
      <c r="N15" s="449">
        <v>2</v>
      </c>
      <c r="O15" s="450"/>
    </row>
    <row r="16" spans="1:27" s="49" customFormat="1" ht="15.75">
      <c r="B16" s="664"/>
      <c r="C16" s="664"/>
      <c r="D16" s="436" t="str">
        <f>IF(ROUNDDOWN(D13,0)=$N$4,$P$4,$O$4)</f>
        <v>■レベル　3</v>
      </c>
      <c r="E16" s="463" t="s">
        <v>1238</v>
      </c>
      <c r="F16" s="501"/>
      <c r="G16" s="501"/>
      <c r="H16" s="501"/>
      <c r="I16" s="501"/>
      <c r="J16" s="501"/>
      <c r="K16" s="501"/>
      <c r="L16" s="509"/>
      <c r="M16" s="664"/>
      <c r="N16" s="449">
        <v>3</v>
      </c>
      <c r="O16" s="450"/>
    </row>
    <row r="17" spans="1:15" s="49" customFormat="1" ht="15.75">
      <c r="B17" s="664"/>
      <c r="C17" s="664"/>
      <c r="D17" s="436" t="str">
        <f>IF(ROUNDDOWN(D13,0)=$N$5,$P$5,$O$5)</f>
        <v>　レベル　4</v>
      </c>
      <c r="E17" s="466" t="s">
        <v>1239</v>
      </c>
      <c r="F17" s="502"/>
      <c r="G17" s="502"/>
      <c r="H17" s="502"/>
      <c r="I17" s="502"/>
      <c r="J17" s="502"/>
      <c r="K17" s="502"/>
      <c r="L17" s="510"/>
      <c r="M17" s="62"/>
      <c r="N17" s="449">
        <v>4</v>
      </c>
      <c r="O17" s="450"/>
    </row>
    <row r="18" spans="1:15" s="49" customFormat="1" ht="15.75">
      <c r="B18" s="664"/>
      <c r="C18" s="664"/>
      <c r="D18" s="437" t="str">
        <f>IF(ROUNDDOWN(D13,0)=$N$6,$P$6,$O$6)</f>
        <v>　レベル　5</v>
      </c>
      <c r="E18" s="469" t="s">
        <v>565</v>
      </c>
      <c r="F18" s="480"/>
      <c r="G18" s="480"/>
      <c r="H18" s="480"/>
      <c r="I18" s="480"/>
      <c r="J18" s="480"/>
      <c r="K18" s="480"/>
      <c r="L18" s="511"/>
      <c r="M18" s="664"/>
      <c r="N18" s="449">
        <v>5</v>
      </c>
      <c r="O18" s="450"/>
    </row>
    <row r="19" spans="1:15" s="49" customFormat="1" ht="15.75">
      <c r="B19" s="664"/>
      <c r="C19" s="664"/>
      <c r="D19" s="438" t="s">
        <v>341</v>
      </c>
      <c r="E19" s="1002"/>
      <c r="F19" s="494" t="s">
        <v>566</v>
      </c>
      <c r="G19" s="494"/>
      <c r="H19" s="679"/>
      <c r="I19"/>
      <c r="J19"/>
      <c r="K19"/>
      <c r="L19"/>
      <c r="M19" s="62"/>
      <c r="N19" s="449" t="s">
        <v>312</v>
      </c>
      <c r="O19" s="452"/>
    </row>
    <row r="20" spans="1:15" customFormat="1">
      <c r="F20" s="306"/>
      <c r="G20" s="306"/>
      <c r="H20" s="306"/>
      <c r="I20" s="306"/>
      <c r="J20" s="306"/>
      <c r="K20" s="306"/>
      <c r="L20" s="306"/>
    </row>
    <row r="21" spans="1:15" s="49" customFormat="1" ht="16.5" thickBot="1">
      <c r="A21" s="664"/>
      <c r="B21" s="420" t="s">
        <v>1028</v>
      </c>
      <c r="C21" s="666"/>
      <c r="D21" s="163"/>
      <c r="E21" s="664"/>
      <c r="F21" s="675"/>
      <c r="G21" s="675"/>
      <c r="H21" s="675"/>
      <c r="I21" s="459"/>
      <c r="J21" s="664"/>
      <c r="K21" s="664"/>
      <c r="L21" s="676"/>
      <c r="M21" s="664"/>
      <c r="N21" s="62"/>
      <c r="O21" s="62"/>
    </row>
    <row r="22" spans="1:15" s="49" customFormat="1" ht="16.5" thickBot="1">
      <c r="B22" s="664"/>
      <c r="C22" s="664"/>
      <c r="D22" s="434">
        <v>3</v>
      </c>
      <c r="E22" s="453" t="s">
        <v>1229</v>
      </c>
      <c r="F22" s="453"/>
      <c r="G22" s="453"/>
      <c r="H22" s="453"/>
      <c r="I22" s="453"/>
      <c r="J22" s="453"/>
      <c r="K22" s="453"/>
      <c r="L22" s="454"/>
      <c r="M22" s="62"/>
      <c r="N22" s="448" t="s">
        <v>336</v>
      </c>
      <c r="O22" s="448" t="s">
        <v>337</v>
      </c>
    </row>
    <row r="23" spans="1:15" s="49" customFormat="1" ht="15.75">
      <c r="B23" s="664"/>
      <c r="C23" s="664"/>
      <c r="D23" s="435" t="str">
        <f>IF(ROUNDDOWN(D22,0)=$N$2,$P$2,$O$2)</f>
        <v>　レベル　1</v>
      </c>
      <c r="E23" s="460" t="s">
        <v>414</v>
      </c>
      <c r="F23" s="500"/>
      <c r="G23" s="500"/>
      <c r="H23" s="500"/>
      <c r="I23" s="500"/>
      <c r="J23" s="500"/>
      <c r="K23" s="500"/>
      <c r="L23" s="508"/>
      <c r="M23" s="664"/>
      <c r="N23" s="449" t="s">
        <v>312</v>
      </c>
      <c r="O23" s="450"/>
    </row>
    <row r="24" spans="1:15" s="49" customFormat="1" ht="15.75">
      <c r="B24" s="664"/>
      <c r="C24" s="664"/>
      <c r="D24" s="436" t="str">
        <f>IF(ROUNDDOWN(D22,0)=$N$3,$P$3,$O$3)</f>
        <v>　レベル　2</v>
      </c>
      <c r="E24" s="463" t="s">
        <v>414</v>
      </c>
      <c r="F24" s="501"/>
      <c r="G24" s="501"/>
      <c r="H24" s="501"/>
      <c r="I24" s="501"/>
      <c r="J24" s="501"/>
      <c r="K24" s="501"/>
      <c r="L24" s="509"/>
      <c r="M24" s="62"/>
      <c r="N24" s="449" t="s">
        <v>312</v>
      </c>
      <c r="O24" s="450"/>
    </row>
    <row r="25" spans="1:15" s="49" customFormat="1" ht="15.75">
      <c r="B25" s="664"/>
      <c r="C25" s="664"/>
      <c r="D25" s="436" t="str">
        <f>IF(ROUNDDOWN(D22,0)=$N$4,$P$4,$O$4)</f>
        <v>■レベル　3</v>
      </c>
      <c r="E25" s="463" t="s">
        <v>1294</v>
      </c>
      <c r="F25" s="501"/>
      <c r="G25" s="501"/>
      <c r="H25" s="501"/>
      <c r="I25" s="501"/>
      <c r="J25" s="501"/>
      <c r="K25" s="501"/>
      <c r="L25" s="509"/>
      <c r="M25" s="664"/>
      <c r="N25" s="449">
        <v>3</v>
      </c>
      <c r="O25" s="450"/>
    </row>
    <row r="26" spans="1:15" s="49" customFormat="1" ht="15.75">
      <c r="B26" s="664"/>
      <c r="C26" s="664"/>
      <c r="D26" s="436" t="str">
        <f>IF(ROUNDDOWN(D22,0)=$N$5,$P$5,$O$5)</f>
        <v>　レベル　4</v>
      </c>
      <c r="E26" s="466" t="s">
        <v>1295</v>
      </c>
      <c r="F26" s="502"/>
      <c r="G26" s="502"/>
      <c r="H26" s="502"/>
      <c r="I26" s="502"/>
      <c r="J26" s="502"/>
      <c r="K26" s="502"/>
      <c r="L26" s="510"/>
      <c r="M26" s="62"/>
      <c r="N26" s="449">
        <v>4</v>
      </c>
      <c r="O26" s="450"/>
    </row>
    <row r="27" spans="1:15" s="49" customFormat="1" ht="15.75">
      <c r="B27" s="664"/>
      <c r="C27" s="664"/>
      <c r="D27" s="437" t="str">
        <f>IF(ROUNDDOWN(D22,0)=$N$6,$P$6,$O$6)</f>
        <v>　レベル　5</v>
      </c>
      <c r="E27" s="469" t="s">
        <v>1296</v>
      </c>
      <c r="F27" s="480"/>
      <c r="G27" s="480"/>
      <c r="H27" s="480"/>
      <c r="I27" s="480"/>
      <c r="J27" s="480"/>
      <c r="K27" s="480"/>
      <c r="L27" s="511"/>
      <c r="M27" s="664"/>
      <c r="N27" s="449">
        <v>5</v>
      </c>
      <c r="O27" s="450"/>
    </row>
    <row r="28" spans="1:15" s="49" customFormat="1" ht="15.75">
      <c r="A28" s="664"/>
      <c r="B28" s="163"/>
      <c r="C28" s="668"/>
      <c r="D28" s="438" t="s">
        <v>384</v>
      </c>
      <c r="E28" s="1002"/>
      <c r="F28" s="494"/>
      <c r="G28" s="494"/>
      <c r="H28" s="679"/>
      <c r="I28"/>
      <c r="J28"/>
      <c r="K28"/>
      <c r="L28"/>
      <c r="M28" s="62"/>
      <c r="N28" s="449" t="s">
        <v>312</v>
      </c>
      <c r="O28" s="452"/>
    </row>
    <row r="29" spans="1:15" customFormat="1">
      <c r="D29" s="96"/>
      <c r="E29" s="338" t="s">
        <v>746</v>
      </c>
      <c r="F29" s="306"/>
      <c r="G29" s="306"/>
      <c r="H29" s="306"/>
      <c r="I29" s="306"/>
      <c r="J29" s="306"/>
      <c r="K29" s="306"/>
      <c r="L29" s="306"/>
    </row>
    <row r="30" spans="1:15" customFormat="1">
      <c r="E30" s="338" t="s">
        <v>747</v>
      </c>
      <c r="F30" s="306"/>
      <c r="G30" s="306"/>
      <c r="H30" s="306"/>
      <c r="I30" s="306"/>
      <c r="J30" s="306"/>
      <c r="K30" s="306"/>
      <c r="L30" s="306"/>
    </row>
    <row r="31" spans="1:15" customFormat="1">
      <c r="E31" s="338"/>
      <c r="F31" s="306"/>
      <c r="G31" s="306"/>
      <c r="H31" s="306"/>
      <c r="I31" s="306"/>
      <c r="J31" s="306"/>
      <c r="K31" s="306"/>
      <c r="L31" s="306"/>
    </row>
    <row r="32" spans="1:15" s="49" customFormat="1" ht="16.5" thickBot="1">
      <c r="A32" s="664"/>
      <c r="B32" s="420" t="s">
        <v>1029</v>
      </c>
      <c r="C32" s="666"/>
      <c r="D32" s="163"/>
      <c r="E32" s="664"/>
      <c r="F32" s="675"/>
      <c r="G32" s="675"/>
      <c r="H32" s="675"/>
      <c r="I32" s="459"/>
      <c r="J32" s="664"/>
      <c r="K32" s="664"/>
      <c r="L32" s="676"/>
      <c r="M32" s="664"/>
      <c r="N32" s="62"/>
      <c r="O32" s="62"/>
    </row>
    <row r="33" spans="1:15" s="49" customFormat="1" ht="16.5" thickBot="1">
      <c r="B33" s="664"/>
      <c r="C33" s="664"/>
      <c r="D33" s="434">
        <v>3</v>
      </c>
      <c r="E33" s="453" t="s">
        <v>1229</v>
      </c>
      <c r="F33" s="453"/>
      <c r="G33" s="453"/>
      <c r="H33" s="453"/>
      <c r="I33" s="453"/>
      <c r="J33" s="453"/>
      <c r="K33" s="453"/>
      <c r="L33" s="454"/>
      <c r="M33" s="62"/>
      <c r="N33" s="448" t="s">
        <v>336</v>
      </c>
      <c r="O33" s="448" t="s">
        <v>337</v>
      </c>
    </row>
    <row r="34" spans="1:15" s="49" customFormat="1" ht="15.75">
      <c r="B34" s="664"/>
      <c r="C34" s="664"/>
      <c r="D34" s="435" t="str">
        <f>IF(ROUNDDOWN(D33,0)=$N$2,$P$2,$O$2)</f>
        <v>　レベル　1</v>
      </c>
      <c r="E34" s="460" t="s">
        <v>414</v>
      </c>
      <c r="F34" s="500"/>
      <c r="G34" s="500"/>
      <c r="H34" s="500"/>
      <c r="I34" s="500"/>
      <c r="J34" s="500"/>
      <c r="K34" s="500"/>
      <c r="L34" s="508"/>
      <c r="M34" s="664"/>
      <c r="N34" s="449" t="s">
        <v>312</v>
      </c>
      <c r="O34" s="450"/>
    </row>
    <row r="35" spans="1:15" s="49" customFormat="1" ht="15.75">
      <c r="B35" s="664"/>
      <c r="C35" s="664"/>
      <c r="D35" s="436" t="str">
        <f>IF(ROUNDDOWN(D33,0)=$N$3,$P$3,$O$3)</f>
        <v>　レベル　2</v>
      </c>
      <c r="E35" s="463" t="s">
        <v>414</v>
      </c>
      <c r="F35" s="501"/>
      <c r="G35" s="501"/>
      <c r="H35" s="501"/>
      <c r="I35" s="501"/>
      <c r="J35" s="501"/>
      <c r="K35" s="501"/>
      <c r="L35" s="509"/>
      <c r="M35" s="62"/>
      <c r="N35" s="449" t="s">
        <v>312</v>
      </c>
      <c r="O35" s="450"/>
    </row>
    <row r="36" spans="1:15" s="49" customFormat="1" ht="15.75">
      <c r="B36" s="664"/>
      <c r="C36" s="664"/>
      <c r="D36" s="436" t="str">
        <f>IF(ROUNDDOWN(D33,0)=$N$4,$P$4,$O$4)</f>
        <v>■レベル　3</v>
      </c>
      <c r="E36" s="463" t="s">
        <v>1297</v>
      </c>
      <c r="F36" s="501"/>
      <c r="G36" s="501"/>
      <c r="H36" s="501"/>
      <c r="I36" s="501"/>
      <c r="J36" s="501"/>
      <c r="K36" s="501"/>
      <c r="L36" s="509"/>
      <c r="M36" s="664"/>
      <c r="N36" s="449">
        <v>3</v>
      </c>
      <c r="O36" s="450"/>
    </row>
    <row r="37" spans="1:15" s="49" customFormat="1" ht="15.75">
      <c r="B37" s="664"/>
      <c r="C37" s="664"/>
      <c r="D37" s="436" t="str">
        <f>IF(ROUNDDOWN(D33,0)=$N$5,$P$5,$O$5)</f>
        <v>　レベル　4</v>
      </c>
      <c r="E37" s="466" t="s">
        <v>1298</v>
      </c>
      <c r="F37" s="502"/>
      <c r="G37" s="502"/>
      <c r="H37" s="502"/>
      <c r="I37" s="502"/>
      <c r="J37" s="502"/>
      <c r="K37" s="502"/>
      <c r="L37" s="510"/>
      <c r="M37" s="62"/>
      <c r="N37" s="449">
        <v>4</v>
      </c>
      <c r="O37" s="450"/>
    </row>
    <row r="38" spans="1:15" s="49" customFormat="1" ht="15.75">
      <c r="B38" s="664"/>
      <c r="C38" s="664"/>
      <c r="D38" s="437" t="str">
        <f>IF(ROUNDDOWN(D33,0)=$N$6,$P$6,$O$6)</f>
        <v>　レベル　5</v>
      </c>
      <c r="E38" s="469" t="s">
        <v>1299</v>
      </c>
      <c r="F38" s="480"/>
      <c r="G38" s="480"/>
      <c r="H38" s="480"/>
      <c r="I38" s="480"/>
      <c r="J38" s="480"/>
      <c r="K38" s="480"/>
      <c r="L38" s="511"/>
      <c r="M38" s="664"/>
      <c r="N38" s="449">
        <v>5</v>
      </c>
      <c r="O38" s="450"/>
    </row>
    <row r="39" spans="1:15" s="49" customFormat="1" ht="15.75">
      <c r="A39" s="664"/>
      <c r="B39" s="163"/>
      <c r="C39" s="668"/>
      <c r="D39" s="438" t="s">
        <v>384</v>
      </c>
      <c r="E39" s="1002"/>
      <c r="F39" s="494"/>
      <c r="G39" s="494"/>
      <c r="H39" s="679"/>
      <c r="I39"/>
      <c r="J39"/>
      <c r="K39"/>
      <c r="L39"/>
      <c r="M39" s="62"/>
      <c r="N39" s="449" t="s">
        <v>312</v>
      </c>
      <c r="O39" s="452"/>
    </row>
    <row r="40" spans="1:15" customFormat="1">
      <c r="D40" s="96"/>
      <c r="E40" s="338" t="s">
        <v>748</v>
      </c>
      <c r="F40" s="306"/>
      <c r="G40" s="306"/>
      <c r="H40" s="306"/>
      <c r="I40" s="306"/>
      <c r="J40" s="306"/>
      <c r="K40" s="306"/>
      <c r="L40" s="306"/>
    </row>
    <row r="41" spans="1:15" customFormat="1">
      <c r="E41" s="338" t="s">
        <v>749</v>
      </c>
      <c r="F41" s="306"/>
      <c r="G41" s="306"/>
      <c r="H41" s="306"/>
      <c r="I41" s="306"/>
      <c r="J41" s="306"/>
      <c r="K41" s="306"/>
      <c r="L41" s="306"/>
    </row>
    <row r="42" spans="1:15" customFormat="1">
      <c r="E42" s="338" t="s">
        <v>750</v>
      </c>
      <c r="F42" s="306"/>
      <c r="G42" s="306"/>
      <c r="H42" s="306"/>
      <c r="I42" s="306"/>
      <c r="J42" s="306"/>
      <c r="K42" s="306"/>
      <c r="L42" s="306"/>
    </row>
    <row r="43" spans="1:15" customFormat="1">
      <c r="F43" s="306"/>
      <c r="G43" s="306"/>
      <c r="H43" s="306"/>
      <c r="I43" s="306"/>
      <c r="J43" s="306"/>
      <c r="K43" s="306"/>
      <c r="L43" s="306"/>
    </row>
    <row r="44" spans="1:15" s="50" customFormat="1" ht="15.75">
      <c r="B44" s="666" t="s">
        <v>1030</v>
      </c>
      <c r="C44" s="666"/>
      <c r="D44" s="672"/>
      <c r="F44" s="137"/>
      <c r="G44" s="137"/>
      <c r="H44" s="689"/>
      <c r="I44" s="137"/>
      <c r="J44" s="137"/>
      <c r="K44" s="137"/>
      <c r="L44" s="137"/>
      <c r="M44" s="96"/>
    </row>
    <row r="45" spans="1:15" s="49" customFormat="1" ht="16.5" thickBot="1">
      <c r="A45" s="664"/>
      <c r="B45" s="163"/>
      <c r="C45" s="668" t="s">
        <v>751</v>
      </c>
      <c r="D45" s="163"/>
      <c r="E45" s="447"/>
      <c r="F45" s="495"/>
      <c r="G45" s="495"/>
      <c r="H45" s="495"/>
      <c r="I45" s="459"/>
      <c r="J45" s="447"/>
      <c r="K45" s="447"/>
      <c r="L45" s="447"/>
      <c r="M45" s="447"/>
      <c r="N45" s="447"/>
      <c r="O45" s="62"/>
    </row>
    <row r="46" spans="1:15" s="49" customFormat="1" ht="16.5" thickBot="1">
      <c r="B46" s="664"/>
      <c r="C46" s="664"/>
      <c r="D46" s="1031">
        <f>IF(AND(E54&gt;=O51,E60=R3),N51,IF(E54&gt;=O50,N50,IF(E54&gt;=O49,N49,IF(E54&gt;=O48,N48,N47))))</f>
        <v>3</v>
      </c>
      <c r="E46" s="453" t="s">
        <v>1229</v>
      </c>
      <c r="F46" s="453"/>
      <c r="G46" s="453"/>
      <c r="H46" s="453"/>
      <c r="I46" s="453"/>
      <c r="J46" s="453"/>
      <c r="K46" s="453"/>
      <c r="L46" s="454"/>
      <c r="M46" s="62"/>
      <c r="N46" s="448" t="s">
        <v>336</v>
      </c>
      <c r="O46" s="448" t="s">
        <v>337</v>
      </c>
    </row>
    <row r="47" spans="1:15" s="49" customFormat="1" ht="15.75">
      <c r="B47" s="664"/>
      <c r="C47" s="664"/>
      <c r="D47" s="435" t="str">
        <f>IF(ROUNDDOWN(D46,0)=$N$2,$P$2,$O$2)</f>
        <v>　レベル　1</v>
      </c>
      <c r="E47" s="460" t="s">
        <v>414</v>
      </c>
      <c r="F47" s="461"/>
      <c r="G47" s="461"/>
      <c r="H47" s="461"/>
      <c r="I47" s="461"/>
      <c r="J47" s="461"/>
      <c r="K47" s="461"/>
      <c r="L47" s="462"/>
      <c r="M47" s="664"/>
      <c r="N47" s="449" t="s">
        <v>312</v>
      </c>
      <c r="O47" s="448" t="s">
        <v>312</v>
      </c>
    </row>
    <row r="48" spans="1:15" s="49" customFormat="1" ht="15.75">
      <c r="B48" s="664"/>
      <c r="C48" s="664"/>
      <c r="D48" s="436" t="str">
        <f>IF(ROUNDDOWN(D46,0)=$N$3,$P$3,$O$3)</f>
        <v>　レベル　2</v>
      </c>
      <c r="E48" s="463" t="s">
        <v>473</v>
      </c>
      <c r="F48" s="464"/>
      <c r="G48" s="464"/>
      <c r="H48" s="464"/>
      <c r="I48" s="464"/>
      <c r="J48" s="464"/>
      <c r="K48" s="464"/>
      <c r="L48" s="465"/>
      <c r="M48" s="62"/>
      <c r="N48" s="449">
        <v>2</v>
      </c>
      <c r="O48" s="448">
        <v>0</v>
      </c>
    </row>
    <row r="49" spans="1:27" s="49" customFormat="1" ht="15.75">
      <c r="B49" s="664"/>
      <c r="C49" s="664"/>
      <c r="D49" s="436" t="str">
        <f>IF(ROUNDDOWN(D46,0)=$N$4,$P$4,$O$4)</f>
        <v>■レベル　3</v>
      </c>
      <c r="E49" s="463" t="s">
        <v>520</v>
      </c>
      <c r="F49" s="464"/>
      <c r="G49" s="464"/>
      <c r="H49" s="464"/>
      <c r="I49" s="464"/>
      <c r="J49" s="464"/>
      <c r="K49" s="464"/>
      <c r="L49" s="465"/>
      <c r="M49" s="664"/>
      <c r="N49" s="449">
        <v>3</v>
      </c>
      <c r="O49" s="448">
        <v>1</v>
      </c>
    </row>
    <row r="50" spans="1:27" s="49" customFormat="1" ht="15.75">
      <c r="B50" s="664"/>
      <c r="C50" s="664"/>
      <c r="D50" s="436" t="str">
        <f>IF(ROUNDDOWN(D46,0)=$N$5,$P$5,$O$5)</f>
        <v>　レベル　4</v>
      </c>
      <c r="E50" s="466" t="s">
        <v>1273</v>
      </c>
      <c r="F50" s="467"/>
      <c r="G50" s="467"/>
      <c r="H50" s="467"/>
      <c r="I50" s="467"/>
      <c r="J50" s="467"/>
      <c r="K50" s="467"/>
      <c r="L50" s="468"/>
      <c r="M50" s="62"/>
      <c r="N50" s="449">
        <v>4</v>
      </c>
      <c r="O50" s="448">
        <v>2</v>
      </c>
    </row>
    <row r="51" spans="1:27" s="49" customFormat="1" ht="26.45" customHeight="1">
      <c r="B51" s="664"/>
      <c r="C51" s="664"/>
      <c r="D51" s="437" t="str">
        <f>IF(ROUNDDOWN(D46,0)=$N$6,$P$6,$O$6)</f>
        <v>　レベル　5</v>
      </c>
      <c r="E51" s="1391" t="s">
        <v>1300</v>
      </c>
      <c r="F51" s="1420"/>
      <c r="G51" s="1420"/>
      <c r="H51" s="1420"/>
      <c r="I51" s="1420"/>
      <c r="J51" s="1420"/>
      <c r="K51" s="1420"/>
      <c r="L51" s="1421"/>
      <c r="M51" s="664"/>
      <c r="N51" s="449">
        <v>5</v>
      </c>
      <c r="O51" s="448">
        <v>2</v>
      </c>
    </row>
    <row r="52" spans="1:27" s="49" customFormat="1" ht="15.75">
      <c r="B52" s="664"/>
      <c r="C52" s="664"/>
      <c r="D52" s="438" t="s">
        <v>341</v>
      </c>
      <c r="E52" s="1002"/>
      <c r="F52" s="494"/>
      <c r="G52" s="494"/>
      <c r="H52" s="679"/>
      <c r="I52"/>
      <c r="J52"/>
      <c r="K52"/>
      <c r="L52"/>
      <c r="M52" s="664"/>
      <c r="N52" s="449" t="s">
        <v>312</v>
      </c>
      <c r="O52" s="448"/>
    </row>
    <row r="53" spans="1:27" s="49" customFormat="1" ht="15.75">
      <c r="B53" s="664"/>
      <c r="C53" s="664"/>
      <c r="D53" s="438" t="s">
        <v>384</v>
      </c>
      <c r="E53" s="447"/>
      <c r="F53" s="495"/>
      <c r="G53" s="495"/>
      <c r="H53" s="495"/>
      <c r="I53" s="495"/>
      <c r="J53" s="447"/>
      <c r="K53" s="447"/>
      <c r="L53" s="447"/>
      <c r="M53" s="447"/>
    </row>
    <row r="54" spans="1:27" s="164" customFormat="1" ht="15.75" thickBot="1">
      <c r="A54" s="96"/>
      <c r="B54" s="96"/>
      <c r="C54" s="50"/>
      <c r="D54" s="174" t="s">
        <v>385</v>
      </c>
      <c r="E54" s="493">
        <f>COUNTIF(E55:E59,$R$3)</f>
        <v>1</v>
      </c>
      <c r="F54" s="1388" t="s">
        <v>830</v>
      </c>
      <c r="G54" s="1390"/>
      <c r="H54" s="1389" t="s">
        <v>831</v>
      </c>
      <c r="I54" s="1389"/>
      <c r="J54" s="1389"/>
      <c r="K54" s="1389"/>
      <c r="L54" s="1390"/>
      <c r="M54" s="447"/>
      <c r="N54"/>
      <c r="O54"/>
      <c r="P54" s="140"/>
      <c r="Q54" s="140"/>
      <c r="R54" s="140"/>
      <c r="S54" s="140"/>
      <c r="T54" s="140"/>
      <c r="U54" s="140"/>
      <c r="V54" s="140"/>
      <c r="W54" s="140"/>
      <c r="X54" s="140"/>
      <c r="Y54" s="140"/>
      <c r="Z54" s="96"/>
      <c r="AA54" s="96"/>
    </row>
    <row r="55" spans="1:27" s="164" customFormat="1" ht="32.450000000000003" customHeight="1">
      <c r="A55" s="96"/>
      <c r="B55" s="96"/>
      <c r="C55" s="50"/>
      <c r="D55" s="439" t="s">
        <v>300</v>
      </c>
      <c r="E55" s="440"/>
      <c r="F55" s="1412" t="s">
        <v>929</v>
      </c>
      <c r="G55" s="1410"/>
      <c r="H55" s="1434" t="s">
        <v>930</v>
      </c>
      <c r="I55" s="1434"/>
      <c r="J55" s="1434"/>
      <c r="K55" s="1434"/>
      <c r="L55" s="1435"/>
      <c r="M55" s="96"/>
      <c r="N55"/>
      <c r="O55"/>
      <c r="P55" s="140"/>
      <c r="Q55" s="140"/>
      <c r="R55" s="140"/>
      <c r="S55" s="140"/>
      <c r="T55" s="140"/>
      <c r="U55" s="140"/>
      <c r="V55" s="140"/>
      <c r="W55" s="140"/>
      <c r="X55" s="140"/>
      <c r="Y55" s="140"/>
      <c r="Z55" s="96"/>
      <c r="AA55" s="96"/>
    </row>
    <row r="56" spans="1:27" s="164" customFormat="1" ht="32.450000000000003" customHeight="1">
      <c r="A56" s="96"/>
      <c r="B56" s="96"/>
      <c r="C56" s="50"/>
      <c r="D56" s="439" t="s">
        <v>301</v>
      </c>
      <c r="E56" s="441"/>
      <c r="F56" s="1412" t="s">
        <v>931</v>
      </c>
      <c r="G56" s="1408"/>
      <c r="H56" s="1434" t="s">
        <v>932</v>
      </c>
      <c r="I56" s="1434"/>
      <c r="J56" s="1434"/>
      <c r="K56" s="1434"/>
      <c r="L56" s="1435"/>
      <c r="M56" s="96"/>
      <c r="N56"/>
      <c r="O56"/>
      <c r="P56" s="140"/>
      <c r="Q56" s="140"/>
      <c r="R56" s="140"/>
      <c r="S56" s="140"/>
      <c r="T56" s="140"/>
      <c r="U56" s="140"/>
      <c r="V56" s="140"/>
      <c r="W56" s="140"/>
      <c r="X56" s="140"/>
      <c r="Y56" s="140"/>
      <c r="Z56" s="96"/>
      <c r="AA56" s="96"/>
    </row>
    <row r="57" spans="1:27" s="164" customFormat="1" ht="32.450000000000003" customHeight="1">
      <c r="A57" s="96"/>
      <c r="B57" s="96"/>
      <c r="C57" s="50"/>
      <c r="D57" s="439" t="s">
        <v>302</v>
      </c>
      <c r="E57" s="441" t="s">
        <v>390</v>
      </c>
      <c r="F57" s="1412" t="s">
        <v>933</v>
      </c>
      <c r="G57" s="1410"/>
      <c r="H57" s="1434" t="s">
        <v>934</v>
      </c>
      <c r="I57" s="1434"/>
      <c r="J57" s="1434"/>
      <c r="K57" s="1434"/>
      <c r="L57" s="1435"/>
      <c r="M57" s="96"/>
      <c r="N57"/>
      <c r="O57"/>
      <c r="P57" s="140"/>
      <c r="Q57" s="140"/>
      <c r="R57" s="140"/>
      <c r="S57" s="140"/>
      <c r="T57" s="140"/>
      <c r="U57" s="140"/>
      <c r="V57" s="140"/>
      <c r="W57" s="140"/>
      <c r="X57" s="140"/>
      <c r="Y57" s="140"/>
      <c r="Z57" s="96"/>
      <c r="AA57" s="96"/>
    </row>
    <row r="58" spans="1:27" s="164" customFormat="1" ht="58.9" customHeight="1">
      <c r="A58" s="96"/>
      <c r="B58" s="96"/>
      <c r="C58" s="50"/>
      <c r="D58" s="439" t="s">
        <v>303</v>
      </c>
      <c r="E58" s="441"/>
      <c r="F58" s="1412" t="s">
        <v>935</v>
      </c>
      <c r="G58" s="1410"/>
      <c r="H58" s="1434" t="s">
        <v>936</v>
      </c>
      <c r="I58" s="1434"/>
      <c r="J58" s="1434"/>
      <c r="K58" s="1434"/>
      <c r="L58" s="1435"/>
      <c r="M58" s="96"/>
      <c r="N58"/>
      <c r="O58"/>
      <c r="P58" s="140"/>
      <c r="Q58" s="140"/>
      <c r="R58" s="140"/>
      <c r="S58" s="140"/>
      <c r="T58" s="140"/>
      <c r="U58" s="140"/>
      <c r="V58" s="140"/>
      <c r="W58" s="140"/>
      <c r="X58" s="140"/>
      <c r="Y58" s="140"/>
      <c r="Z58" s="96"/>
      <c r="AA58" s="96"/>
    </row>
    <row r="59" spans="1:27" s="164" customFormat="1" ht="32.450000000000003" customHeight="1" thickBot="1">
      <c r="A59" s="96"/>
      <c r="B59" s="96"/>
      <c r="C59" s="50"/>
      <c r="D59" s="439" t="s">
        <v>304</v>
      </c>
      <c r="E59" s="442"/>
      <c r="F59" s="1412" t="s">
        <v>878</v>
      </c>
      <c r="G59" s="1410"/>
      <c r="H59" s="1434" t="s">
        <v>937</v>
      </c>
      <c r="I59" s="1434"/>
      <c r="J59" s="1434"/>
      <c r="K59" s="1434"/>
      <c r="L59" s="1435"/>
      <c r="M59" s="96"/>
      <c r="N59"/>
      <c r="O59"/>
      <c r="P59" s="140"/>
      <c r="Q59" s="140"/>
      <c r="R59" s="140"/>
      <c r="S59" s="140"/>
      <c r="T59" s="140"/>
      <c r="U59" s="140"/>
      <c r="V59" s="140"/>
      <c r="W59" s="140"/>
      <c r="X59" s="140"/>
      <c r="Y59" s="140"/>
      <c r="Z59" s="96"/>
      <c r="AA59" s="96"/>
    </row>
    <row r="60" spans="1:27" s="164" customFormat="1" ht="32.450000000000003" customHeight="1" thickBot="1">
      <c r="A60" s="96"/>
      <c r="B60" s="96"/>
      <c r="C60" s="50"/>
      <c r="D60" s="439" t="s">
        <v>305</v>
      </c>
      <c r="E60" s="442"/>
      <c r="F60" s="1412" t="s">
        <v>1301</v>
      </c>
      <c r="G60" s="1409"/>
      <c r="H60" s="1409"/>
      <c r="I60" s="1409"/>
      <c r="J60" s="1409"/>
      <c r="K60" s="1409"/>
      <c r="L60" s="1410"/>
      <c r="M60" s="96"/>
      <c r="N60"/>
      <c r="O60"/>
      <c r="P60" s="140"/>
      <c r="Q60" s="140"/>
      <c r="R60" s="140"/>
      <c r="S60" s="140"/>
      <c r="T60" s="140"/>
      <c r="U60" s="140"/>
      <c r="V60" s="140"/>
      <c r="W60" s="140"/>
      <c r="X60" s="140"/>
      <c r="Y60" s="140"/>
      <c r="Z60" s="96"/>
      <c r="AA60" s="96"/>
    </row>
    <row r="61" spans="1:27" customFormat="1">
      <c r="F61" s="306"/>
      <c r="G61" s="306"/>
      <c r="H61" s="306"/>
      <c r="I61" s="306"/>
      <c r="J61" s="306"/>
      <c r="K61" s="306"/>
      <c r="L61" s="306"/>
    </row>
    <row r="62" spans="1:27" s="49" customFormat="1" ht="16.5" thickBot="1">
      <c r="A62" s="664"/>
      <c r="B62" s="163"/>
      <c r="C62" s="683" t="s">
        <v>752</v>
      </c>
      <c r="D62" s="163"/>
      <c r="E62" s="447"/>
      <c r="F62" s="495"/>
      <c r="G62" s="495"/>
      <c r="H62" s="495"/>
      <c r="I62" s="459"/>
      <c r="J62" s="447"/>
      <c r="K62" s="447"/>
      <c r="L62" s="447"/>
      <c r="M62" s="447"/>
      <c r="N62" s="447"/>
      <c r="O62" s="62"/>
    </row>
    <row r="63" spans="1:27" s="49" customFormat="1" ht="16.5" thickBot="1">
      <c r="B63" s="664"/>
      <c r="C63" s="664"/>
      <c r="D63" s="1031">
        <f>IF(E71&gt;=O68,N68,IF(E71&gt;=O67,N67,IF(E71&gt;=O66,N66,IF(E71&gt;=O65,N65,N64))))</f>
        <v>3</v>
      </c>
      <c r="E63" s="453" t="s">
        <v>1229</v>
      </c>
      <c r="F63" s="453"/>
      <c r="G63" s="453"/>
      <c r="H63" s="453"/>
      <c r="I63" s="453"/>
      <c r="J63" s="453"/>
      <c r="K63" s="453"/>
      <c r="L63" s="454"/>
      <c r="M63" s="62"/>
      <c r="N63" s="448" t="s">
        <v>336</v>
      </c>
      <c r="O63" s="448" t="s">
        <v>337</v>
      </c>
    </row>
    <row r="64" spans="1:27" s="49" customFormat="1" ht="15.75">
      <c r="B64" s="664"/>
      <c r="C64" s="664"/>
      <c r="D64" s="435" t="str">
        <f>IF(ROUNDDOWN(D63,0)=$N$2,$P$2,$O$2)</f>
        <v>　レベル　1</v>
      </c>
      <c r="E64" s="460" t="s">
        <v>473</v>
      </c>
      <c r="F64" s="461"/>
      <c r="G64" s="461"/>
      <c r="H64" s="461"/>
      <c r="I64" s="461"/>
      <c r="J64" s="461"/>
      <c r="K64" s="461"/>
      <c r="L64" s="462"/>
      <c r="M64" s="664"/>
      <c r="N64" s="449">
        <v>1</v>
      </c>
      <c r="O64" s="448">
        <v>0</v>
      </c>
    </row>
    <row r="65" spans="1:27" s="49" customFormat="1" ht="15.75">
      <c r="B65" s="664"/>
      <c r="C65" s="664"/>
      <c r="D65" s="436" t="str">
        <f>IF(ROUNDDOWN(D63,0)=$N$3,$P$3,$O$3)</f>
        <v>　レベル　2</v>
      </c>
      <c r="E65" s="463" t="s">
        <v>414</v>
      </c>
      <c r="F65" s="464"/>
      <c r="G65" s="464"/>
      <c r="H65" s="464"/>
      <c r="I65" s="464"/>
      <c r="J65" s="464"/>
      <c r="K65" s="464"/>
      <c r="L65" s="465"/>
      <c r="M65" s="62"/>
      <c r="N65" s="449" t="s">
        <v>312</v>
      </c>
      <c r="O65" s="448" t="s">
        <v>312</v>
      </c>
    </row>
    <row r="66" spans="1:27" s="49" customFormat="1" ht="15.75">
      <c r="B66" s="664"/>
      <c r="C66" s="664"/>
      <c r="D66" s="436" t="str">
        <f>IF(ROUNDDOWN(D63,0)=$N$4,$P$4,$O$4)</f>
        <v>■レベル　3</v>
      </c>
      <c r="E66" s="463" t="s">
        <v>520</v>
      </c>
      <c r="F66" s="464"/>
      <c r="G66" s="464"/>
      <c r="H66" s="464"/>
      <c r="I66" s="464"/>
      <c r="J66" s="464"/>
      <c r="K66" s="464"/>
      <c r="L66" s="465"/>
      <c r="M66" s="664"/>
      <c r="N66" s="449">
        <v>3</v>
      </c>
      <c r="O66" s="448">
        <v>1</v>
      </c>
    </row>
    <row r="67" spans="1:27" s="49" customFormat="1" ht="15.75">
      <c r="B67" s="664"/>
      <c r="C67" s="664"/>
      <c r="D67" s="436" t="str">
        <f>IF(ROUNDDOWN(D63,0)=$N$5,$P$5,$O$5)</f>
        <v>　レベル　4</v>
      </c>
      <c r="E67" s="466" t="s">
        <v>414</v>
      </c>
      <c r="F67" s="467"/>
      <c r="G67" s="467"/>
      <c r="H67" s="467"/>
      <c r="I67" s="467"/>
      <c r="J67" s="467"/>
      <c r="K67" s="467"/>
      <c r="L67" s="468"/>
      <c r="M67" s="62"/>
      <c r="N67" s="449" t="s">
        <v>312</v>
      </c>
      <c r="O67" s="448" t="s">
        <v>312</v>
      </c>
    </row>
    <row r="68" spans="1:27" s="49" customFormat="1" ht="15.75">
      <c r="B68" s="664"/>
      <c r="C68" s="664"/>
      <c r="D68" s="437" t="str">
        <f>IF(ROUNDDOWN(D63,0)=$N$6,$P$6,$O$6)</f>
        <v>　レベル　5</v>
      </c>
      <c r="E68" s="469" t="s">
        <v>1273</v>
      </c>
      <c r="F68" s="470"/>
      <c r="G68" s="470"/>
      <c r="H68" s="470"/>
      <c r="I68" s="470"/>
      <c r="J68" s="470"/>
      <c r="K68" s="470"/>
      <c r="L68" s="471"/>
      <c r="M68" s="664"/>
      <c r="N68" s="449">
        <v>5</v>
      </c>
      <c r="O68" s="448">
        <v>2</v>
      </c>
    </row>
    <row r="69" spans="1:27" s="49" customFormat="1" ht="15.75">
      <c r="B69" s="664"/>
      <c r="C69" s="664"/>
      <c r="D69" s="438" t="s">
        <v>341</v>
      </c>
      <c r="E69" s="1002"/>
      <c r="F69" s="494"/>
      <c r="G69" s="494"/>
      <c r="H69" s="679"/>
      <c r="I69"/>
      <c r="J69"/>
      <c r="K69"/>
      <c r="L69"/>
      <c r="M69" s="664"/>
      <c r="N69" s="449" t="s">
        <v>312</v>
      </c>
      <c r="O69" s="448"/>
    </row>
    <row r="70" spans="1:27" s="49" customFormat="1" ht="15.75">
      <c r="B70" s="664"/>
      <c r="C70" s="664"/>
      <c r="D70" s="438" t="s">
        <v>384</v>
      </c>
      <c r="E70" s="447"/>
      <c r="F70" s="495"/>
      <c r="G70" s="495"/>
      <c r="H70" s="495"/>
      <c r="I70" s="495"/>
      <c r="J70" s="447"/>
      <c r="K70" s="447"/>
      <c r="L70" s="447"/>
      <c r="M70" s="447"/>
    </row>
    <row r="71" spans="1:27" s="164" customFormat="1" ht="15.75" thickBot="1">
      <c r="A71" s="96"/>
      <c r="B71" s="96"/>
      <c r="C71" s="50"/>
      <c r="D71" s="174" t="s">
        <v>385</v>
      </c>
      <c r="E71" s="493">
        <f>COUNTIF(E72:E77,$R$3)</f>
        <v>1</v>
      </c>
      <c r="F71" s="1404" t="s">
        <v>830</v>
      </c>
      <c r="G71" s="1380"/>
      <c r="H71" s="1378" t="s">
        <v>831</v>
      </c>
      <c r="I71" s="1379"/>
      <c r="J71" s="1379"/>
      <c r="K71" s="1379"/>
      <c r="L71" s="1380"/>
      <c r="M71" s="447"/>
      <c r="N71"/>
      <c r="O71"/>
      <c r="P71" s="140"/>
      <c r="Q71" s="140"/>
      <c r="R71" s="140"/>
      <c r="S71" s="140"/>
      <c r="T71" s="140"/>
      <c r="U71" s="140"/>
      <c r="V71" s="140"/>
      <c r="W71" s="140"/>
      <c r="X71" s="140"/>
      <c r="Y71" s="140"/>
      <c r="Z71" s="96"/>
      <c r="AA71" s="96"/>
    </row>
    <row r="72" spans="1:27" s="164" customFormat="1" ht="36" customHeight="1">
      <c r="A72" s="96"/>
      <c r="B72" s="96"/>
      <c r="C72" s="50"/>
      <c r="D72" s="439" t="s">
        <v>300</v>
      </c>
      <c r="E72" s="440"/>
      <c r="F72" s="1412" t="s">
        <v>938</v>
      </c>
      <c r="G72" s="1410"/>
      <c r="H72" s="1409" t="s">
        <v>939</v>
      </c>
      <c r="I72" s="1409"/>
      <c r="J72" s="1409"/>
      <c r="K72" s="1409"/>
      <c r="L72" s="1410"/>
      <c r="M72" s="96"/>
      <c r="N72"/>
      <c r="O72"/>
      <c r="P72" s="140"/>
      <c r="Q72" s="140"/>
      <c r="R72" s="140"/>
      <c r="S72" s="140"/>
      <c r="T72" s="140"/>
      <c r="U72" s="140"/>
      <c r="V72" s="140"/>
      <c r="W72" s="140"/>
      <c r="X72" s="140"/>
      <c r="Y72" s="140"/>
      <c r="Z72" s="96"/>
      <c r="AA72" s="96"/>
    </row>
    <row r="73" spans="1:27" s="164" customFormat="1" ht="36" customHeight="1">
      <c r="A73" s="96"/>
      <c r="B73" s="96"/>
      <c r="C73" s="50"/>
      <c r="D73" s="439" t="s">
        <v>301</v>
      </c>
      <c r="E73" s="441"/>
      <c r="F73" s="1412" t="s">
        <v>940</v>
      </c>
      <c r="G73" s="1410"/>
      <c r="H73" s="1409" t="s">
        <v>941</v>
      </c>
      <c r="I73" s="1409"/>
      <c r="J73" s="1409"/>
      <c r="K73" s="1409"/>
      <c r="L73" s="1410"/>
      <c r="M73" s="96"/>
      <c r="N73"/>
      <c r="O73"/>
      <c r="P73" s="140"/>
      <c r="Q73" s="140"/>
      <c r="R73" s="140"/>
      <c r="S73" s="140"/>
      <c r="T73" s="140"/>
      <c r="U73" s="140"/>
      <c r="V73" s="140"/>
      <c r="W73" s="140"/>
      <c r="X73" s="140"/>
      <c r="Y73" s="140"/>
      <c r="Z73" s="96"/>
      <c r="AA73" s="96"/>
    </row>
    <row r="74" spans="1:27" s="164" customFormat="1" ht="44.45" customHeight="1">
      <c r="A74" s="96"/>
      <c r="B74" s="96"/>
      <c r="C74" s="50"/>
      <c r="D74" s="439" t="s">
        <v>302</v>
      </c>
      <c r="E74" s="441"/>
      <c r="F74" s="1412" t="s">
        <v>942</v>
      </c>
      <c r="G74" s="1410"/>
      <c r="H74" s="1409" t="s">
        <v>943</v>
      </c>
      <c r="I74" s="1409"/>
      <c r="J74" s="1409"/>
      <c r="K74" s="1409"/>
      <c r="L74" s="1410"/>
      <c r="M74" s="96"/>
      <c r="N74"/>
      <c r="O74"/>
      <c r="P74" s="140"/>
      <c r="Q74" s="140"/>
      <c r="R74" s="140"/>
      <c r="S74" s="140"/>
      <c r="T74" s="140"/>
      <c r="U74" s="140"/>
      <c r="V74" s="140"/>
      <c r="W74" s="140"/>
      <c r="X74" s="140"/>
      <c r="Y74" s="140"/>
      <c r="Z74" s="96"/>
      <c r="AA74" s="96"/>
    </row>
    <row r="75" spans="1:27" s="164" customFormat="1" ht="36" customHeight="1">
      <c r="A75" s="96"/>
      <c r="B75" s="96"/>
      <c r="C75" s="50"/>
      <c r="D75" s="439" t="s">
        <v>303</v>
      </c>
      <c r="E75" s="441" t="s">
        <v>390</v>
      </c>
      <c r="F75" s="1412" t="s">
        <v>944</v>
      </c>
      <c r="G75" s="1410"/>
      <c r="H75" s="1409" t="s">
        <v>945</v>
      </c>
      <c r="I75" s="1409"/>
      <c r="J75" s="1409"/>
      <c r="K75" s="1409"/>
      <c r="L75" s="1410"/>
      <c r="M75" s="96"/>
      <c r="N75"/>
      <c r="O75"/>
      <c r="P75" s="140"/>
      <c r="Q75" s="140"/>
      <c r="R75" s="140"/>
      <c r="S75" s="140"/>
      <c r="T75" s="140"/>
      <c r="U75" s="140"/>
      <c r="V75" s="140"/>
      <c r="W75" s="140"/>
      <c r="X75" s="140"/>
      <c r="Y75" s="140"/>
      <c r="Z75" s="96"/>
      <c r="AA75" s="96"/>
    </row>
    <row r="76" spans="1:27" s="164" customFormat="1" ht="36" customHeight="1">
      <c r="A76" s="96"/>
      <c r="B76" s="96"/>
      <c r="C76" s="50"/>
      <c r="D76" s="439" t="s">
        <v>304</v>
      </c>
      <c r="E76" s="441"/>
      <c r="F76" s="1412" t="s">
        <v>946</v>
      </c>
      <c r="G76" s="1410"/>
      <c r="H76" s="1409" t="s">
        <v>947</v>
      </c>
      <c r="I76" s="1409"/>
      <c r="J76" s="1409"/>
      <c r="K76" s="1409"/>
      <c r="L76" s="1410"/>
      <c r="M76" s="96"/>
      <c r="N76"/>
      <c r="O76"/>
      <c r="P76" s="140"/>
      <c r="Q76" s="140"/>
      <c r="R76" s="140"/>
      <c r="S76" s="140"/>
      <c r="T76" s="140"/>
      <c r="U76" s="140"/>
      <c r="V76" s="140"/>
      <c r="W76" s="140"/>
      <c r="X76" s="140"/>
      <c r="Y76" s="140"/>
      <c r="Z76" s="96"/>
      <c r="AA76" s="96"/>
    </row>
    <row r="77" spans="1:27" s="164" customFormat="1" ht="36" customHeight="1" thickBot="1">
      <c r="A77" s="96"/>
      <c r="B77" s="96"/>
      <c r="C77" s="50"/>
      <c r="D77" s="439" t="s">
        <v>305</v>
      </c>
      <c r="E77" s="442"/>
      <c r="F77" s="1412" t="s">
        <v>895</v>
      </c>
      <c r="G77" s="1410"/>
      <c r="H77" s="1409" t="s">
        <v>937</v>
      </c>
      <c r="I77" s="1409"/>
      <c r="J77" s="1409"/>
      <c r="K77" s="1409"/>
      <c r="L77" s="1410"/>
      <c r="M77" s="96"/>
      <c r="N77"/>
      <c r="O77"/>
      <c r="P77" s="140"/>
      <c r="Q77" s="140"/>
      <c r="R77" s="140"/>
      <c r="S77" s="140"/>
      <c r="T77" s="140"/>
      <c r="U77" s="140"/>
      <c r="V77" s="140"/>
      <c r="W77" s="140"/>
      <c r="X77" s="140"/>
      <c r="Y77" s="140"/>
      <c r="Z77" s="96"/>
      <c r="AA77" s="96"/>
    </row>
    <row r="78" spans="1:27" customFormat="1"/>
    <row r="79" spans="1:27" customFormat="1"/>
    <row r="80" spans="1:27" customFormat="1"/>
    <row r="81" customFormat="1"/>
  </sheetData>
  <sheetProtection algorithmName="SHA-512" hashValue="oqbWgGR+tVZOMrSQlxnVpfvWZBywiGvREO52BQewEpUUXyQ2npEV9aQKKjMQ59okt0AhKth+mU9/Mn0k6ITqhQ==" saltValue="ovFC92dQWaOnv9XxhoyTpQ==" spinCount="100000" sheet="1" formatCells="0"/>
  <mergeCells count="28">
    <mergeCell ref="E51:L51"/>
    <mergeCell ref="F60:L60"/>
    <mergeCell ref="F54:G54"/>
    <mergeCell ref="H54:L54"/>
    <mergeCell ref="F55:G55"/>
    <mergeCell ref="H55:L55"/>
    <mergeCell ref="F56:G56"/>
    <mergeCell ref="H56:L56"/>
    <mergeCell ref="F57:G57"/>
    <mergeCell ref="H57:L57"/>
    <mergeCell ref="F58:G58"/>
    <mergeCell ref="H58:L58"/>
    <mergeCell ref="F59:G59"/>
    <mergeCell ref="H59:L59"/>
    <mergeCell ref="F71:G71"/>
    <mergeCell ref="H71:L71"/>
    <mergeCell ref="F72:G72"/>
    <mergeCell ref="H72:L72"/>
    <mergeCell ref="F76:G76"/>
    <mergeCell ref="H76:L76"/>
    <mergeCell ref="F77:G77"/>
    <mergeCell ref="H77:L77"/>
    <mergeCell ref="F73:G73"/>
    <mergeCell ref="H73:L73"/>
    <mergeCell ref="F74:G74"/>
    <mergeCell ref="H74:L74"/>
    <mergeCell ref="F75:G75"/>
    <mergeCell ref="H75:L75"/>
  </mergeCells>
  <phoneticPr fontId="3"/>
  <conditionalFormatting sqref="D13">
    <cfRule type="expression" dxfId="48" priority="1" stopIfTrue="1">
      <formula>AND(OR(D13&lt;1,D13&gt;5),D13&lt;&gt;0)</formula>
    </cfRule>
  </conditionalFormatting>
  <conditionalFormatting sqref="D22">
    <cfRule type="expression" dxfId="47" priority="5" stopIfTrue="1">
      <formula>AND(OR(D22&lt;1,D22&gt;5),D22&lt;&gt;0)</formula>
    </cfRule>
  </conditionalFormatting>
  <conditionalFormatting sqref="D33">
    <cfRule type="expression" dxfId="46" priority="4" stopIfTrue="1">
      <formula>AND(OR(D33&lt;1,D33&gt;5),D33&lt;&gt;0)</formula>
    </cfRule>
  </conditionalFormatting>
  <conditionalFormatting sqref="D46">
    <cfRule type="expression" dxfId="45" priority="3" stopIfTrue="1">
      <formula>AND(OR(D46&lt;1,D46&gt;5),D46&lt;&gt;0)</formula>
    </cfRule>
  </conditionalFormatting>
  <conditionalFormatting sqref="D63">
    <cfRule type="expression" dxfId="44" priority="2" stopIfTrue="1">
      <formula>AND(OR(D63&lt;1,D63&gt;5),D63&lt;&gt;0)</formula>
    </cfRule>
  </conditionalFormatting>
  <dataValidations count="3">
    <dataValidation type="list" allowBlank="1" showInputMessage="1" showErrorMessage="1" sqref="E72:E77 E55:E60" xr:uid="{00000000-0002-0000-0700-000000000000}">
      <formula1>$R$2:$R$4</formula1>
    </dataValidation>
    <dataValidation type="list" allowBlank="1" showInputMessage="1" sqref="D13 D22 D33" xr:uid="{2E0B0991-05AD-4096-AF9E-0CD0ABD7DAB5}">
      <formula1>N14:N19</formula1>
    </dataValidation>
    <dataValidation allowBlank="1" showInputMessage="1" sqref="D46 D63" xr:uid="{13797E16-70E2-409E-B7D7-BA5860045C9B}"/>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43" max="12" man="1"/>
  </rowBreaks>
  <extLst>
    <ext xmlns:x14="http://schemas.microsoft.com/office/spreadsheetml/2009/9/main" uri="{78C0D931-6437-407d-A8EE-F0AAD7539E65}">
      <x14:conditionalFormattings>
        <x14:conditionalFormatting xmlns:xm="http://schemas.microsoft.com/office/excel/2006/main">
          <x14:cfRule type="expression" priority="23" stopIfTrue="1" id="{E38C67AE-9C8A-4924-94A9-39DC180C375F}">
            <xm:f>採点Q2!$D$263="対象外"</xm:f>
            <x14:dxf>
              <fill>
                <patternFill>
                  <bgColor theme="0" tint="-0.24994659260841701"/>
                </patternFill>
              </fill>
            </x14:dxf>
          </x14:cfRule>
          <xm:sqref>E55:E60</xm:sqref>
        </x14:conditionalFormatting>
        <x14:conditionalFormatting xmlns:xm="http://schemas.microsoft.com/office/excel/2006/main">
          <x14:cfRule type="expression" priority="17" stopIfTrue="1" id="{2008027D-F576-4C56-AB52-6B59D082FA4D}">
            <xm:f>採点Q2!$D$263="対象外"</xm:f>
            <x14:dxf>
              <fill>
                <patternFill>
                  <bgColor theme="0" tint="-0.24994659260841701"/>
                </patternFill>
              </fill>
            </x14:dxf>
          </x14:cfRule>
          <xm:sqref>E72:E77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pageSetUpPr autoPageBreaks="0" fitToPage="1"/>
  </sheetPr>
  <dimension ref="A1:AB172"/>
  <sheetViews>
    <sheetView showGridLines="0" zoomScaleNormal="100" zoomScaleSheetLayoutView="85" workbookViewId="0">
      <selection activeCell="D14" sqref="D14"/>
    </sheetView>
  </sheetViews>
  <sheetFormatPr defaultColWidth="9" defaultRowHeight="13.5"/>
  <cols>
    <col min="1" max="1" width="0.75" style="96" customWidth="1"/>
    <col min="2" max="2" width="2" style="96" customWidth="1"/>
    <col min="3" max="3" width="2.875" style="96" customWidth="1"/>
    <col min="4" max="4" width="14.25" style="96" customWidth="1"/>
    <col min="5" max="5" width="11.75" style="96" customWidth="1"/>
    <col min="6" max="7" width="9.875" style="96" customWidth="1"/>
    <col min="8" max="12" width="10.875" style="96" customWidth="1"/>
    <col min="13" max="13" width="1.75" style="96" customWidth="1"/>
    <col min="14" max="14" width="7.5" style="164" hidden="1" customWidth="1"/>
    <col min="15" max="15" width="11" style="164" hidden="1" customWidth="1"/>
    <col min="16" max="16" width="11.625" style="164" hidden="1" customWidth="1"/>
    <col min="17" max="17" width="6.75" style="164" hidden="1" customWidth="1"/>
    <col min="18" max="19" width="7.5" style="164" hidden="1" customWidth="1"/>
    <col min="20" max="20" width="6.75" style="164" customWidth="1"/>
    <col min="21" max="21" width="5.875" style="164" customWidth="1"/>
    <col min="22" max="26" width="8.875" style="164" customWidth="1"/>
    <col min="27" max="16384" width="9" style="96"/>
  </cols>
  <sheetData>
    <row r="1" spans="1:27" customFormat="1">
      <c r="I1" s="483" t="s">
        <v>319</v>
      </c>
      <c r="J1" s="484" t="str">
        <f>メイン!C10</f>
        <v>Aプロジェクト</v>
      </c>
      <c r="K1" s="485"/>
      <c r="L1" s="484"/>
      <c r="N1" s="140"/>
      <c r="O1" s="140"/>
      <c r="P1" s="140"/>
      <c r="Q1" s="140"/>
      <c r="R1" s="140"/>
    </row>
    <row r="2" spans="1:27" customFormat="1" ht="14.25" hidden="1">
      <c r="N2" s="448">
        <v>1</v>
      </c>
      <c r="O2" s="448" t="s">
        <v>320</v>
      </c>
      <c r="P2" s="448" t="s">
        <v>321</v>
      </c>
      <c r="Q2" s="140"/>
      <c r="R2" s="369"/>
    </row>
    <row r="3" spans="1:27" customFormat="1" ht="14.25" hidden="1">
      <c r="N3" s="448">
        <v>2</v>
      </c>
      <c r="O3" s="448" t="s">
        <v>322</v>
      </c>
      <c r="P3" s="448" t="s">
        <v>323</v>
      </c>
      <c r="Q3" s="140"/>
      <c r="R3" s="369" t="s">
        <v>324</v>
      </c>
    </row>
    <row r="4" spans="1:27" customFormat="1" ht="14.25" hidden="1">
      <c r="N4" s="448">
        <v>3</v>
      </c>
      <c r="O4" s="448" t="s">
        <v>325</v>
      </c>
      <c r="P4" s="448" t="s">
        <v>326</v>
      </c>
      <c r="Q4" s="140"/>
      <c r="R4" s="444" t="s">
        <v>327</v>
      </c>
    </row>
    <row r="5" spans="1:27" customFormat="1" ht="14.25" hidden="1">
      <c r="N5" s="448">
        <v>4</v>
      </c>
      <c r="O5" s="448" t="s">
        <v>328</v>
      </c>
      <c r="P5" s="448" t="s">
        <v>329</v>
      </c>
      <c r="Q5" s="140"/>
      <c r="R5" s="96" t="s">
        <v>1250</v>
      </c>
    </row>
    <row r="6" spans="1:27" customFormat="1" ht="14.25" hidden="1">
      <c r="N6" s="448">
        <v>5</v>
      </c>
      <c r="O6" s="448" t="s">
        <v>330</v>
      </c>
      <c r="P6" s="448" t="s">
        <v>331</v>
      </c>
      <c r="R6" s="96" t="s">
        <v>1251</v>
      </c>
    </row>
    <row r="7" spans="1:27" customFormat="1" hidden="1">
      <c r="G7" s="96"/>
    </row>
    <row r="8" spans="1:27" customFormat="1" hidden="1"/>
    <row r="9" spans="1:27" s="7" customFormat="1" ht="18.75" thickBot="1">
      <c r="A9" s="670"/>
      <c r="B9" s="665" t="s">
        <v>1212</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50" customFormat="1" ht="15.75">
      <c r="B12" s="666" t="s">
        <v>567</v>
      </c>
      <c r="C12" s="666"/>
      <c r="D12" s="672"/>
      <c r="H12" s="677"/>
      <c r="I12" s="96"/>
      <c r="J12" s="96"/>
      <c r="K12" s="96"/>
      <c r="L12" s="96"/>
      <c r="M12" s="96"/>
    </row>
    <row r="13" spans="1:27" s="50" customFormat="1" ht="16.5" thickBot="1">
      <c r="C13" s="666" t="s">
        <v>568</v>
      </c>
      <c r="D13" s="163"/>
      <c r="E13" s="664"/>
      <c r="F13" s="675"/>
      <c r="G13" s="675"/>
      <c r="H13" s="675"/>
      <c r="I13" s="459"/>
      <c r="J13" s="664"/>
      <c r="K13" s="664"/>
      <c r="L13" s="676"/>
      <c r="M13" s="664"/>
      <c r="N13" s="62"/>
      <c r="O13" s="62"/>
      <c r="P13" s="49"/>
    </row>
    <row r="14" spans="1:27" s="49" customFormat="1" ht="16.5" thickBot="1">
      <c r="B14" s="664"/>
      <c r="C14" s="664"/>
      <c r="D14" s="726">
        <v>3</v>
      </c>
      <c r="E14" s="453" t="s">
        <v>1229</v>
      </c>
      <c r="F14" s="453"/>
      <c r="G14" s="453"/>
      <c r="H14" s="453"/>
      <c r="I14" s="453"/>
      <c r="J14" s="453"/>
      <c r="K14" s="453"/>
      <c r="L14" s="454"/>
      <c r="M14" s="62"/>
      <c r="N14" s="448" t="s">
        <v>336</v>
      </c>
      <c r="O14" s="448" t="s">
        <v>337</v>
      </c>
    </row>
    <row r="15" spans="1:27" s="49" customFormat="1" ht="15.75">
      <c r="B15" s="664"/>
      <c r="C15" s="664"/>
      <c r="D15" s="435" t="str">
        <f>IF(ROUNDDOWN(D14,0)=$N$2,$P$2,$O$2)</f>
        <v>　レベル　1</v>
      </c>
      <c r="E15" s="460" t="s">
        <v>569</v>
      </c>
      <c r="F15" s="500"/>
      <c r="G15" s="500"/>
      <c r="H15" s="500"/>
      <c r="I15" s="500"/>
      <c r="J15" s="500"/>
      <c r="K15" s="500"/>
      <c r="L15" s="508"/>
      <c r="M15" s="664"/>
      <c r="N15" s="449">
        <v>1</v>
      </c>
      <c r="O15" s="452"/>
    </row>
    <row r="16" spans="1:27" s="49" customFormat="1" ht="15.75">
      <c r="B16" s="664"/>
      <c r="C16" s="664"/>
      <c r="D16" s="436" t="str">
        <f>IF(ROUNDDOWN(D14,0)=$N$3,$P$3,$O$3)</f>
        <v>　レベル　2</v>
      </c>
      <c r="E16" s="463" t="s">
        <v>414</v>
      </c>
      <c r="F16" s="501"/>
      <c r="G16" s="501"/>
      <c r="H16" s="501"/>
      <c r="I16" s="501"/>
      <c r="J16" s="501"/>
      <c r="K16" s="501"/>
      <c r="L16" s="509"/>
      <c r="M16" s="62"/>
      <c r="N16" s="449" t="s">
        <v>312</v>
      </c>
      <c r="O16" s="452"/>
    </row>
    <row r="17" spans="1:15" s="49" customFormat="1" ht="15.75">
      <c r="B17" s="664"/>
      <c r="C17" s="664"/>
      <c r="D17" s="436" t="str">
        <f>IF(ROUNDDOWN(D14,0)=$N$4,$P$4,$O$4)</f>
        <v>■レベル　3</v>
      </c>
      <c r="E17" s="714" t="s">
        <v>1240</v>
      </c>
      <c r="F17" s="501"/>
      <c r="G17" s="501"/>
      <c r="H17" s="501"/>
      <c r="I17" s="501"/>
      <c r="J17" s="501"/>
      <c r="K17" s="501"/>
      <c r="L17" s="509"/>
      <c r="M17" s="664"/>
      <c r="N17" s="449">
        <v>3</v>
      </c>
      <c r="O17" s="452"/>
    </row>
    <row r="18" spans="1:15" s="49" customFormat="1" ht="15.75">
      <c r="B18" s="664"/>
      <c r="C18" s="664"/>
      <c r="D18" s="436" t="str">
        <f>IF(ROUNDDOWN(D14,0)=$N$5,$P$5,$O$5)</f>
        <v>　レベル　4</v>
      </c>
      <c r="E18" s="466" t="s">
        <v>1241</v>
      </c>
      <c r="F18" s="502"/>
      <c r="G18" s="502"/>
      <c r="H18" s="502"/>
      <c r="I18" s="502"/>
      <c r="J18" s="502"/>
      <c r="K18" s="502"/>
      <c r="L18" s="510"/>
      <c r="M18" s="62"/>
      <c r="N18" s="449">
        <v>4</v>
      </c>
      <c r="O18" s="452"/>
    </row>
    <row r="19" spans="1:15" s="49" customFormat="1" ht="15.75">
      <c r="B19" s="664"/>
      <c r="C19" s="664"/>
      <c r="D19" s="437" t="str">
        <f>IF(ROUNDDOWN(D14,0)=$N$6,$P$6,$O$6)</f>
        <v>　レベル　5</v>
      </c>
      <c r="E19" s="469" t="s">
        <v>1242</v>
      </c>
      <c r="F19" s="480"/>
      <c r="G19" s="480"/>
      <c r="H19" s="480"/>
      <c r="I19" s="480"/>
      <c r="J19" s="480"/>
      <c r="K19" s="480"/>
      <c r="L19" s="511"/>
      <c r="M19" s="664"/>
      <c r="N19" s="449">
        <v>5</v>
      </c>
      <c r="O19" s="452"/>
    </row>
    <row r="20" spans="1:15" s="49" customFormat="1" ht="15.75">
      <c r="B20" s="664"/>
      <c r="C20" s="664"/>
      <c r="D20" s="438" t="s">
        <v>341</v>
      </c>
      <c r="E20" s="1002"/>
      <c r="F20" s="494"/>
      <c r="G20" s="494"/>
      <c r="H20" s="679"/>
      <c r="I20"/>
      <c r="J20"/>
      <c r="K20"/>
      <c r="L20"/>
      <c r="M20" s="62"/>
      <c r="N20" s="449" t="s">
        <v>312</v>
      </c>
      <c r="O20" s="452"/>
    </row>
    <row r="21" spans="1:15" customFormat="1"/>
    <row r="22" spans="1:15" s="49" customFormat="1" ht="16.5" thickBot="1">
      <c r="A22" s="664"/>
      <c r="C22" s="668" t="s">
        <v>570</v>
      </c>
      <c r="D22" s="163"/>
      <c r="E22" s="664"/>
      <c r="F22" s="675"/>
      <c r="G22" s="675"/>
      <c r="H22" s="675"/>
      <c r="I22" s="459"/>
      <c r="J22" s="664"/>
      <c r="K22" s="664"/>
      <c r="L22" s="676"/>
      <c r="M22" s="664"/>
      <c r="N22" s="62"/>
      <c r="O22" s="62"/>
    </row>
    <row r="23" spans="1:15" s="49" customFormat="1" ht="16.5" thickBot="1">
      <c r="B23" s="664"/>
      <c r="C23" s="664"/>
      <c r="D23" s="726">
        <v>3</v>
      </c>
      <c r="E23" s="453" t="s">
        <v>1229</v>
      </c>
      <c r="F23" s="453"/>
      <c r="G23" s="453"/>
      <c r="H23" s="453"/>
      <c r="I23" s="453"/>
      <c r="J23" s="453"/>
      <c r="K23" s="453"/>
      <c r="L23" s="454"/>
      <c r="M23" s="62"/>
      <c r="N23" s="448" t="s">
        <v>336</v>
      </c>
      <c r="O23" s="448" t="s">
        <v>337</v>
      </c>
    </row>
    <row r="24" spans="1:15" s="49" customFormat="1" ht="15.75">
      <c r="B24" s="664"/>
      <c r="C24" s="664"/>
      <c r="D24" s="435" t="str">
        <f>IF(ROUNDDOWN(D23,0)=$N$2,$P$2,$O$2)</f>
        <v>　レベル　1</v>
      </c>
      <c r="E24" s="460" t="s">
        <v>571</v>
      </c>
      <c r="F24" s="500"/>
      <c r="G24" s="500"/>
      <c r="H24" s="500"/>
      <c r="I24" s="500"/>
      <c r="J24" s="500"/>
      <c r="K24" s="500"/>
      <c r="L24" s="508"/>
      <c r="M24" s="664"/>
      <c r="N24" s="449">
        <v>1</v>
      </c>
      <c r="O24" s="452"/>
    </row>
    <row r="25" spans="1:15" s="49" customFormat="1" ht="15.75">
      <c r="B25" s="664"/>
      <c r="C25" s="664"/>
      <c r="D25" s="436" t="str">
        <f>IF(ROUNDDOWN(D23,0)=$N$3,$P$3,$O$3)</f>
        <v>　レベル　2</v>
      </c>
      <c r="E25" s="463" t="s">
        <v>572</v>
      </c>
      <c r="F25" s="501"/>
      <c r="G25" s="501"/>
      <c r="H25" s="501"/>
      <c r="I25" s="501"/>
      <c r="J25" s="501"/>
      <c r="K25" s="501"/>
      <c r="L25" s="509"/>
      <c r="M25" s="62"/>
      <c r="N25" s="449">
        <v>2</v>
      </c>
      <c r="O25" s="452"/>
    </row>
    <row r="26" spans="1:15" s="49" customFormat="1" ht="15.75">
      <c r="B26" s="664"/>
      <c r="C26" s="664"/>
      <c r="D26" s="436" t="str">
        <f>IF(ROUNDDOWN(D23,0)=$N$4,$P$4,$O$4)</f>
        <v>■レベル　3</v>
      </c>
      <c r="E26" s="463" t="s">
        <v>573</v>
      </c>
      <c r="F26" s="501"/>
      <c r="G26" s="501"/>
      <c r="H26" s="501"/>
      <c r="I26" s="501"/>
      <c r="J26" s="501"/>
      <c r="K26" s="501"/>
      <c r="L26" s="509"/>
      <c r="M26" s="664"/>
      <c r="N26" s="449">
        <v>3</v>
      </c>
      <c r="O26" s="452"/>
    </row>
    <row r="27" spans="1:15" s="49" customFormat="1" ht="15.75">
      <c r="B27" s="664"/>
      <c r="C27" s="664"/>
      <c r="D27" s="436" t="str">
        <f>IF(ROUNDDOWN(D23,0)=$N$5,$P$5,$O$5)</f>
        <v>　レベル　4</v>
      </c>
      <c r="E27" s="466" t="s">
        <v>1090</v>
      </c>
      <c r="F27" s="502"/>
      <c r="G27" s="502"/>
      <c r="H27" s="502"/>
      <c r="I27" s="502"/>
      <c r="J27" s="502"/>
      <c r="K27" s="502"/>
      <c r="L27" s="510"/>
      <c r="M27" s="62"/>
      <c r="N27" s="449">
        <v>4</v>
      </c>
      <c r="O27" s="452"/>
    </row>
    <row r="28" spans="1:15" s="49" customFormat="1" ht="15.75">
      <c r="B28" s="664"/>
      <c r="C28" s="664"/>
      <c r="D28" s="437" t="str">
        <f>IF(ROUNDDOWN(D23,0)=$N$6,$P$6,$O$6)</f>
        <v>　レベル　5</v>
      </c>
      <c r="E28" s="469" t="s">
        <v>574</v>
      </c>
      <c r="F28" s="480"/>
      <c r="G28" s="480"/>
      <c r="H28" s="480"/>
      <c r="I28" s="480"/>
      <c r="J28" s="480"/>
      <c r="K28" s="480"/>
      <c r="L28" s="511"/>
      <c r="M28" s="664"/>
      <c r="N28" s="449">
        <v>5</v>
      </c>
      <c r="O28" s="452"/>
    </row>
    <row r="29" spans="1:15" s="49" customFormat="1" ht="15.75">
      <c r="B29" s="664"/>
      <c r="C29" s="664"/>
      <c r="D29" s="438" t="s">
        <v>341</v>
      </c>
      <c r="E29" s="1002"/>
      <c r="F29" s="494"/>
      <c r="G29" s="494"/>
      <c r="H29" s="679"/>
      <c r="I29"/>
      <c r="J29"/>
      <c r="K29"/>
      <c r="L29"/>
      <c r="M29" s="62"/>
      <c r="N29" s="449" t="s">
        <v>312</v>
      </c>
      <c r="O29" s="452"/>
    </row>
    <row r="30" spans="1:15" customFormat="1"/>
    <row r="31" spans="1:15" s="50" customFormat="1" ht="15.75">
      <c r="B31" s="666" t="s">
        <v>575</v>
      </c>
      <c r="C31" s="666"/>
      <c r="D31" s="672"/>
      <c r="H31" s="677"/>
      <c r="I31" s="96"/>
      <c r="J31" s="96"/>
      <c r="K31" s="96"/>
      <c r="L31" s="96"/>
      <c r="M31" s="96"/>
    </row>
    <row r="32" spans="1:15" s="50" customFormat="1" ht="15.75">
      <c r="C32" s="666" t="s">
        <v>576</v>
      </c>
      <c r="D32" s="672"/>
      <c r="H32" s="677"/>
      <c r="I32" s="96"/>
      <c r="J32" s="96"/>
      <c r="K32" s="96"/>
      <c r="L32" s="96"/>
      <c r="M32" s="96"/>
    </row>
    <row r="33" spans="1:25" s="49" customFormat="1" ht="15.75">
      <c r="A33" s="664"/>
      <c r="B33" s="163"/>
      <c r="C33" s="668"/>
      <c r="D33" s="163" t="s">
        <v>766</v>
      </c>
      <c r="E33" s="447"/>
      <c r="F33" s="495"/>
      <c r="G33" s="495"/>
      <c r="H33" s="495"/>
      <c r="I33" s="459"/>
      <c r="J33" s="447"/>
      <c r="K33" s="447"/>
      <c r="L33" s="447"/>
      <c r="M33" s="664"/>
      <c r="N33" s="96"/>
    </row>
    <row r="34" spans="1:25" s="49" customFormat="1" ht="16.5" thickBot="1">
      <c r="A34" s="664"/>
      <c r="B34" s="163"/>
      <c r="C34" s="668"/>
      <c r="D34" s="1009" t="s">
        <v>1217</v>
      </c>
      <c r="E34" s="1006" t="s">
        <v>1229</v>
      </c>
      <c r="F34" s="1006"/>
      <c r="G34" s="1006"/>
      <c r="H34" s="1006"/>
      <c r="I34" s="1011" t="s">
        <v>558</v>
      </c>
      <c r="J34" s="1006"/>
      <c r="K34" s="1006">
        <f>メイン!C23</f>
        <v>0</v>
      </c>
      <c r="L34" s="1007" t="s">
        <v>16</v>
      </c>
      <c r="M34" s="447"/>
      <c r="N34" s="447"/>
      <c r="O34" s="62"/>
    </row>
    <row r="35" spans="1:25" customFormat="1" ht="24" customHeight="1" thickBot="1">
      <c r="D35" s="1031">
        <f>D53*K53/100+E35*K34/100</f>
        <v>3</v>
      </c>
      <c r="E35" s="1031">
        <f>IF(F42=R6,L51,IF(E44&gt;=O40,N40,IF(E44&gt;=O39,N39,IF(E44&gt;=O38,N38,IF(E44&gt;=O37,N37,N36)))))</f>
        <v>1</v>
      </c>
      <c r="F35" s="1013" t="s">
        <v>1249</v>
      </c>
      <c r="G35" s="1012"/>
      <c r="H35" s="453"/>
      <c r="I35" s="1014" t="s">
        <v>1255</v>
      </c>
      <c r="J35" s="504"/>
      <c r="K35" s="504"/>
      <c r="L35" s="1015"/>
      <c r="M35" s="62"/>
      <c r="N35" s="448" t="s">
        <v>336</v>
      </c>
      <c r="O35" s="448" t="s">
        <v>337</v>
      </c>
    </row>
    <row r="36" spans="1:25" s="49" customFormat="1" ht="27" customHeight="1">
      <c r="B36" s="664"/>
      <c r="C36" s="664"/>
      <c r="D36" s="1008" t="str">
        <f>IF(ROUNDDOWN(D35,0)=$N$2,$P$2,$O$2)</f>
        <v>　レベル　1</v>
      </c>
      <c r="E36" s="435" t="str">
        <f>IF(ROUNDDOWN(E35,0)=$N$2,$P$2,$O$2)</f>
        <v>■レベル　1</v>
      </c>
      <c r="F36" s="1451" t="s">
        <v>595</v>
      </c>
      <c r="G36" s="1452"/>
      <c r="H36" s="1453"/>
      <c r="I36" s="460" t="s">
        <v>1244</v>
      </c>
      <c r="J36" s="500"/>
      <c r="K36" s="500"/>
      <c r="L36" s="508"/>
      <c r="M36" s="664"/>
      <c r="N36" s="449">
        <v>1</v>
      </c>
      <c r="O36" s="448">
        <v>0</v>
      </c>
    </row>
    <row r="37" spans="1:25" s="49" customFormat="1" ht="27" customHeight="1">
      <c r="B37" s="664"/>
      <c r="C37" s="664"/>
      <c r="D37" s="436" t="str">
        <f>IF(ROUNDDOWN(D35,0)=$N$3,$P$3,$O$3)</f>
        <v>　レベル　2</v>
      </c>
      <c r="E37" s="436" t="str">
        <f>IF(ROUNDDOWN(E35,0)=$N$3,$P$3,$O$3)</f>
        <v>　レベル　2</v>
      </c>
      <c r="F37" s="1454" t="s">
        <v>596</v>
      </c>
      <c r="G37" s="1455"/>
      <c r="H37" s="1456"/>
      <c r="I37" s="463" t="s">
        <v>1245</v>
      </c>
      <c r="J37" s="501"/>
      <c r="K37" s="501"/>
      <c r="L37" s="509"/>
      <c r="M37" s="62"/>
      <c r="N37" s="449">
        <v>2</v>
      </c>
      <c r="O37" s="448">
        <v>1</v>
      </c>
    </row>
    <row r="38" spans="1:25" s="49" customFormat="1" ht="27" customHeight="1">
      <c r="B38" s="664"/>
      <c r="C38" s="664"/>
      <c r="D38" s="436" t="str">
        <f>IF(ROUNDDOWN(D35,0)=$N$4,$P$4,$O$4)</f>
        <v>■レベル　3</v>
      </c>
      <c r="E38" s="436" t="str">
        <f>IF(ROUNDDOWN(E35,0)=$N$4,$P$4,$O$4)</f>
        <v>　レベル　3</v>
      </c>
      <c r="F38" s="1454" t="s">
        <v>597</v>
      </c>
      <c r="G38" s="1455"/>
      <c r="H38" s="1456"/>
      <c r="I38" s="1446" t="s">
        <v>1328</v>
      </c>
      <c r="J38" s="1447"/>
      <c r="K38" s="1447"/>
      <c r="L38" s="1448"/>
      <c r="M38" s="664"/>
      <c r="N38" s="449">
        <v>3</v>
      </c>
      <c r="O38" s="448">
        <v>2</v>
      </c>
    </row>
    <row r="39" spans="1:25" s="49" customFormat="1" ht="27" customHeight="1">
      <c r="B39" s="664"/>
      <c r="C39" s="664"/>
      <c r="D39" s="436" t="str">
        <f>IF(ROUNDDOWN(D35,0)=$N$5,$P$5,$O$5)</f>
        <v>　レベル　4</v>
      </c>
      <c r="E39" s="436" t="str">
        <f>IF(ROUNDDOWN(E35,0)=$N$5,$P$5,$O$5)</f>
        <v>　レベル　4</v>
      </c>
      <c r="F39" s="1457" t="s">
        <v>598</v>
      </c>
      <c r="G39" s="1455"/>
      <c r="H39" s="1456"/>
      <c r="I39" s="466" t="s">
        <v>1247</v>
      </c>
      <c r="J39" s="502"/>
      <c r="K39" s="502"/>
      <c r="L39" s="510"/>
      <c r="M39" s="62"/>
      <c r="N39" s="449">
        <v>4</v>
      </c>
      <c r="O39" s="448">
        <v>3</v>
      </c>
    </row>
    <row r="40" spans="1:25" s="49" customFormat="1" ht="27" customHeight="1">
      <c r="B40" s="664"/>
      <c r="C40" s="664"/>
      <c r="D40" s="437" t="str">
        <f>IF(ROUNDDOWN(D35,0)=$N$6,$P$6,$O$6)</f>
        <v>　レベル　5</v>
      </c>
      <c r="E40" s="437" t="str">
        <f>IF(ROUNDDOWN(E35,0)=$N$6,$P$6,$O$6)</f>
        <v>　レベル　5</v>
      </c>
      <c r="F40" s="1458" t="s">
        <v>599</v>
      </c>
      <c r="G40" s="1459"/>
      <c r="H40" s="1460"/>
      <c r="I40" s="469" t="s">
        <v>1248</v>
      </c>
      <c r="J40" s="480"/>
      <c r="K40" s="480"/>
      <c r="L40" s="511"/>
      <c r="M40" s="664"/>
      <c r="N40" s="449">
        <v>5</v>
      </c>
      <c r="O40" s="448">
        <v>4</v>
      </c>
    </row>
    <row r="41" spans="1:25" s="49" customFormat="1" ht="15.75">
      <c r="B41" s="664"/>
      <c r="C41" s="664"/>
      <c r="D41" s="438" t="s">
        <v>341</v>
      </c>
      <c r="E41" s="1002"/>
      <c r="F41" s="494"/>
      <c r="G41" s="494"/>
      <c r="H41" s="679"/>
      <c r="I41" s="495"/>
      <c r="J41" s="447"/>
      <c r="K41" s="447"/>
      <c r="L41" s="447"/>
      <c r="M41" s="447"/>
      <c r="N41" s="451">
        <v>0</v>
      </c>
      <c r="O41" s="448"/>
    </row>
    <row r="42" spans="1:25" s="49" customFormat="1" ht="15.75">
      <c r="B42" s="664"/>
      <c r="C42" s="664"/>
      <c r="D42" s="438"/>
      <c r="E42" s="1022" t="s">
        <v>1252</v>
      </c>
      <c r="F42" s="1023" t="s">
        <v>1250</v>
      </c>
      <c r="H42" s="495"/>
      <c r="I42" s="495"/>
      <c r="J42" s="447"/>
      <c r="K42" s="447"/>
      <c r="L42" s="447"/>
      <c r="M42" s="447"/>
      <c r="N42" s="739"/>
      <c r="O42" s="447"/>
    </row>
    <row r="43" spans="1:25" s="49" customFormat="1" ht="15.75">
      <c r="B43" s="664"/>
      <c r="C43" s="664"/>
      <c r="E43" s="526" t="s">
        <v>1253</v>
      </c>
    </row>
    <row r="44" spans="1:25" s="164" customFormat="1" ht="15.75" thickBot="1">
      <c r="A44" s="96"/>
      <c r="B44" s="96"/>
      <c r="C44" s="50"/>
      <c r="D44" s="174" t="s">
        <v>385</v>
      </c>
      <c r="E44" s="493">
        <f>COUNTIF(E45:E50,$R$3)</f>
        <v>0</v>
      </c>
      <c r="F44" s="788" t="s">
        <v>830</v>
      </c>
      <c r="G44" s="1020" t="s">
        <v>831</v>
      </c>
      <c r="H44" s="1016"/>
      <c r="I44" s="1016"/>
      <c r="J44" s="1016"/>
      <c r="K44" s="1016"/>
      <c r="L44" s="1017"/>
      <c r="M44" s="447"/>
      <c r="N44"/>
      <c r="O44"/>
      <c r="P44"/>
      <c r="Q44" s="140"/>
      <c r="R44" s="140"/>
      <c r="S44" s="140"/>
      <c r="T44" s="140"/>
      <c r="U44" s="140"/>
      <c r="V44" s="140"/>
      <c r="W44" s="140"/>
      <c r="X44" s="96"/>
      <c r="Y44" s="96"/>
    </row>
    <row r="45" spans="1:25" s="164" customFormat="1" ht="14.45" customHeight="1">
      <c r="A45" s="96"/>
      <c r="B45" s="96"/>
      <c r="C45" s="50"/>
      <c r="D45" s="439" t="s">
        <v>300</v>
      </c>
      <c r="E45" s="440"/>
      <c r="F45" s="718" t="s">
        <v>840</v>
      </c>
      <c r="G45" s="446" t="s">
        <v>948</v>
      </c>
      <c r="H45" s="1018"/>
      <c r="I45" s="1018"/>
      <c r="J45" s="1018"/>
      <c r="K45" s="1018"/>
      <c r="L45" s="1019"/>
      <c r="M45" s="96"/>
      <c r="N45"/>
      <c r="O45"/>
      <c r="P45"/>
      <c r="Q45" s="140"/>
      <c r="R45" s="140"/>
      <c r="S45" s="140"/>
      <c r="T45" s="140"/>
      <c r="U45" s="140"/>
      <c r="V45" s="140"/>
      <c r="W45" s="140"/>
      <c r="X45" s="96"/>
      <c r="Y45" s="96"/>
    </row>
    <row r="46" spans="1:25" s="164" customFormat="1" ht="14.45" customHeight="1">
      <c r="A46" s="96"/>
      <c r="B46" s="96"/>
      <c r="C46" s="50"/>
      <c r="D46" s="439" t="s">
        <v>301</v>
      </c>
      <c r="E46" s="441"/>
      <c r="F46" s="718" t="s">
        <v>842</v>
      </c>
      <c r="G46" s="446" t="s">
        <v>949</v>
      </c>
      <c r="H46" s="1018"/>
      <c r="I46" s="1018"/>
      <c r="J46" s="1018"/>
      <c r="K46" s="1018"/>
      <c r="L46" s="1019"/>
      <c r="M46" s="96"/>
      <c r="N46"/>
      <c r="O46"/>
      <c r="P46"/>
      <c r="Q46" s="140"/>
      <c r="R46" s="140"/>
      <c r="S46" s="140"/>
      <c r="T46" s="140"/>
      <c r="U46" s="140"/>
      <c r="V46" s="140"/>
      <c r="W46" s="140"/>
      <c r="X46" s="96"/>
      <c r="Y46" s="96"/>
    </row>
    <row r="47" spans="1:25" s="164" customFormat="1" ht="14.45" customHeight="1">
      <c r="A47" s="96"/>
      <c r="B47" s="96"/>
      <c r="C47" s="50"/>
      <c r="D47" s="439" t="s">
        <v>302</v>
      </c>
      <c r="E47" s="441"/>
      <c r="F47" s="789" t="s">
        <v>844</v>
      </c>
      <c r="G47" s="446" t="s">
        <v>950</v>
      </c>
      <c r="H47" s="1018"/>
      <c r="I47" s="1018"/>
      <c r="J47" s="1018"/>
      <c r="K47" s="1018"/>
      <c r="L47" s="1019"/>
      <c r="M47" s="96"/>
      <c r="N47"/>
      <c r="O47"/>
      <c r="P47"/>
      <c r="Q47" s="140"/>
      <c r="R47" s="140"/>
      <c r="S47" s="140"/>
      <c r="T47" s="140"/>
      <c r="U47" s="140"/>
      <c r="V47" s="140"/>
      <c r="W47" s="140"/>
      <c r="X47" s="96"/>
      <c r="Y47" s="96"/>
    </row>
    <row r="48" spans="1:25" s="164" customFormat="1" ht="14.45" customHeight="1">
      <c r="A48" s="96"/>
      <c r="B48" s="96"/>
      <c r="C48" s="50"/>
      <c r="D48" s="439" t="s">
        <v>303</v>
      </c>
      <c r="E48" s="441"/>
      <c r="F48" s="789" t="s">
        <v>846</v>
      </c>
      <c r="G48" s="446" t="s">
        <v>951</v>
      </c>
      <c r="H48" s="1018"/>
      <c r="I48" s="1018"/>
      <c r="J48" s="1018"/>
      <c r="K48" s="1018"/>
      <c r="L48" s="1019"/>
      <c r="M48" s="96"/>
      <c r="N48"/>
      <c r="O48"/>
      <c r="P48"/>
      <c r="Q48" s="140"/>
      <c r="R48" s="140"/>
      <c r="S48" s="140"/>
      <c r="T48" s="140"/>
      <c r="U48" s="140"/>
      <c r="V48" s="140"/>
      <c r="W48" s="140"/>
      <c r="X48" s="96"/>
      <c r="Y48" s="96"/>
    </row>
    <row r="49" spans="1:25" s="164" customFormat="1" ht="14.45" customHeight="1">
      <c r="A49" s="96"/>
      <c r="B49" s="96"/>
      <c r="C49" s="50"/>
      <c r="D49" s="439" t="s">
        <v>304</v>
      </c>
      <c r="E49" s="441"/>
      <c r="F49" s="789" t="s">
        <v>866</v>
      </c>
      <c r="G49" s="446" t="s">
        <v>952</v>
      </c>
      <c r="H49" s="1018"/>
      <c r="I49" s="1018"/>
      <c r="J49" s="1018"/>
      <c r="K49" s="1018"/>
      <c r="L49" s="1019"/>
      <c r="M49" s="96"/>
      <c r="N49"/>
      <c r="O49"/>
      <c r="P49"/>
      <c r="Q49" s="140"/>
      <c r="R49" s="140"/>
      <c r="S49" s="140"/>
      <c r="T49" s="140"/>
      <c r="U49" s="140"/>
      <c r="V49" s="140"/>
      <c r="W49" s="140"/>
      <c r="X49" s="96"/>
      <c r="Y49" s="96"/>
    </row>
    <row r="50" spans="1:25" s="164" customFormat="1" ht="15" customHeight="1" thickBot="1">
      <c r="A50" s="96"/>
      <c r="B50" s="96"/>
      <c r="C50" s="50"/>
      <c r="D50" s="439" t="s">
        <v>305</v>
      </c>
      <c r="E50" s="442"/>
      <c r="F50" s="789" t="s">
        <v>868</v>
      </c>
      <c r="G50" s="446" t="s">
        <v>970</v>
      </c>
      <c r="H50" s="1018"/>
      <c r="I50" s="1018"/>
      <c r="J50" s="1018"/>
      <c r="K50" s="1018"/>
      <c r="L50" s="1019"/>
      <c r="M50" s="96"/>
      <c r="N50"/>
      <c r="O50"/>
      <c r="P50"/>
      <c r="Q50" s="140"/>
      <c r="R50" s="140"/>
      <c r="S50" s="140"/>
      <c r="T50" s="140"/>
      <c r="U50" s="140"/>
      <c r="V50" s="140"/>
      <c r="W50" s="140"/>
      <c r="X50" s="96"/>
      <c r="Y50" s="96"/>
    </row>
    <row r="51" spans="1:25" s="164" customFormat="1" ht="15" customHeight="1" thickBot="1">
      <c r="A51" s="96"/>
      <c r="B51" s="96"/>
      <c r="C51" s="50"/>
      <c r="E51" s="526" t="s">
        <v>1254</v>
      </c>
      <c r="I51" s="438" t="s">
        <v>593</v>
      </c>
      <c r="J51" s="503"/>
      <c r="K51" s="438" t="s">
        <v>594</v>
      </c>
      <c r="L51" s="1021">
        <v>3</v>
      </c>
      <c r="M51" s="96"/>
      <c r="N51"/>
      <c r="O51"/>
      <c r="P51"/>
      <c r="Q51" s="140"/>
      <c r="R51" s="140"/>
      <c r="S51" s="140"/>
      <c r="T51" s="140"/>
      <c r="U51" s="140"/>
      <c r="V51" s="140"/>
      <c r="W51" s="140"/>
      <c r="X51" s="96"/>
      <c r="Y51" s="96"/>
    </row>
    <row r="52" spans="1:25" customFormat="1" ht="14.25" thickBot="1"/>
    <row r="53" spans="1:25" s="49" customFormat="1" ht="18.600000000000001" customHeight="1">
      <c r="A53" s="664"/>
      <c r="B53" s="163"/>
      <c r="C53" s="668"/>
      <c r="D53" s="1449">
        <f>IF(SUM(E62:L62)=0,0,SUMPRODUCT(E62:L62,E65:L65)/SUM(E62:L62))</f>
        <v>3</v>
      </c>
      <c r="E53" s="453" t="s">
        <v>1229</v>
      </c>
      <c r="F53" s="453"/>
      <c r="G53" s="453"/>
      <c r="H53" s="453"/>
      <c r="I53" s="504" t="s">
        <v>577</v>
      </c>
      <c r="J53" s="453"/>
      <c r="K53" s="455">
        <f>メイン!D23</f>
        <v>100</v>
      </c>
      <c r="L53" s="741" t="s">
        <v>16</v>
      </c>
      <c r="M53" s="664"/>
      <c r="N53" s="96"/>
    </row>
    <row r="54" spans="1:25" s="49" customFormat="1" ht="18.600000000000001" customHeight="1" thickBot="1">
      <c r="B54" s="664"/>
      <c r="C54" s="664"/>
      <c r="D54" s="1450"/>
      <c r="E54" s="1028" t="s">
        <v>1329</v>
      </c>
      <c r="F54" s="1028"/>
      <c r="G54" s="1028"/>
      <c r="H54" s="1029"/>
      <c r="I54" s="1030" t="s">
        <v>1330</v>
      </c>
      <c r="J54" s="1028"/>
      <c r="K54" s="1028"/>
      <c r="L54" s="1029"/>
      <c r="M54" s="96"/>
      <c r="N54" s="448" t="s">
        <v>336</v>
      </c>
      <c r="O54" s="448" t="s">
        <v>337</v>
      </c>
    </row>
    <row r="55" spans="1:25" s="49" customFormat="1" ht="15.75">
      <c r="B55" s="664"/>
      <c r="C55" s="664"/>
      <c r="D55" s="1008" t="str">
        <f>IF(ROUNDDOWN(D53,0)=$N$2,$P$2,$O$2)</f>
        <v>　レベル　1</v>
      </c>
      <c r="E55" s="460" t="s">
        <v>1244</v>
      </c>
      <c r="F55" s="500"/>
      <c r="G55" s="500"/>
      <c r="H55" s="500"/>
      <c r="I55" s="460" t="s">
        <v>1243</v>
      </c>
      <c r="J55" s="500"/>
      <c r="K55" s="500"/>
      <c r="L55" s="508"/>
      <c r="M55" s="664"/>
      <c r="N55" s="449">
        <v>1</v>
      </c>
      <c r="O55" s="452"/>
    </row>
    <row r="56" spans="1:25" s="49" customFormat="1" ht="30" customHeight="1">
      <c r="B56" s="664"/>
      <c r="C56" s="664"/>
      <c r="D56" s="436" t="str">
        <f>IF(ROUNDDOWN(D53,0)=$N$3,$P$3,$O$3)</f>
        <v>　レベル　2</v>
      </c>
      <c r="E56" s="463" t="s">
        <v>1245</v>
      </c>
      <c r="F56" s="501"/>
      <c r="G56" s="501"/>
      <c r="H56" s="501"/>
      <c r="I56" s="1417" t="s">
        <v>578</v>
      </c>
      <c r="J56" s="1425"/>
      <c r="K56" s="1425"/>
      <c r="L56" s="1426"/>
      <c r="M56" s="96"/>
      <c r="N56" s="449">
        <v>2</v>
      </c>
      <c r="O56" s="452"/>
    </row>
    <row r="57" spans="1:25" s="49" customFormat="1" ht="30" customHeight="1">
      <c r="B57" s="664"/>
      <c r="C57" s="664"/>
      <c r="D57" s="436" t="str">
        <f>IF(ROUNDDOWN(D53,0)=$N$4,$P$4,$O$4)</f>
        <v>■レベル　3</v>
      </c>
      <c r="E57" s="1417" t="s">
        <v>1246</v>
      </c>
      <c r="F57" s="1418"/>
      <c r="G57" s="1418"/>
      <c r="H57" s="1419"/>
      <c r="I57" s="1417" t="s">
        <v>579</v>
      </c>
      <c r="J57" s="1425"/>
      <c r="K57" s="1425"/>
      <c r="L57" s="1426"/>
      <c r="M57" s="664"/>
      <c r="N57" s="449">
        <v>3</v>
      </c>
      <c r="O57" s="452"/>
    </row>
    <row r="58" spans="1:25" s="49" customFormat="1" ht="30" customHeight="1">
      <c r="B58" s="664"/>
      <c r="C58" s="664"/>
      <c r="D58" s="436" t="str">
        <f>IF(ROUNDDOWN(D53,0)=$N$5,$P$5,$O$5)</f>
        <v>　レベル　4</v>
      </c>
      <c r="E58" s="466" t="s">
        <v>1247</v>
      </c>
      <c r="F58" s="502"/>
      <c r="G58" s="502"/>
      <c r="H58" s="502"/>
      <c r="I58" s="1424" t="s">
        <v>580</v>
      </c>
      <c r="J58" s="1425"/>
      <c r="K58" s="1425"/>
      <c r="L58" s="1426"/>
      <c r="M58" s="96"/>
      <c r="N58" s="449">
        <v>4</v>
      </c>
      <c r="O58" s="452"/>
    </row>
    <row r="59" spans="1:25" s="49" customFormat="1" ht="15.75">
      <c r="B59" s="664"/>
      <c r="C59" s="664"/>
      <c r="D59" s="437" t="str">
        <f>IF(ROUNDDOWN(D53,0)=$N$6,$P$6,$O$6)</f>
        <v>　レベル　5</v>
      </c>
      <c r="E59" s="469" t="s">
        <v>1248</v>
      </c>
      <c r="F59" s="480"/>
      <c r="G59" s="480"/>
      <c r="H59" s="480"/>
      <c r="I59" s="469" t="s">
        <v>581</v>
      </c>
      <c r="J59" s="480"/>
      <c r="K59" s="480"/>
      <c r="L59" s="511"/>
      <c r="M59" s="664"/>
      <c r="N59" s="449">
        <v>5</v>
      </c>
      <c r="O59" s="452"/>
    </row>
    <row r="60" spans="1:25" s="49" customFormat="1" ht="15.75">
      <c r="B60" s="664"/>
      <c r="C60" s="664"/>
      <c r="D60" s="526" t="s">
        <v>1220</v>
      </c>
      <c r="I60"/>
      <c r="J60"/>
      <c r="K60"/>
      <c r="L60"/>
      <c r="M60" s="664"/>
      <c r="N60" s="449" t="s">
        <v>312</v>
      </c>
      <c r="O60" s="452"/>
    </row>
    <row r="61" spans="1:25" customFormat="1" ht="22.5">
      <c r="C61" s="684"/>
      <c r="D61" s="499" t="s">
        <v>582</v>
      </c>
      <c r="E61" s="507" t="s">
        <v>583</v>
      </c>
      <c r="F61" s="507" t="s">
        <v>584</v>
      </c>
      <c r="G61" s="507" t="s">
        <v>585</v>
      </c>
      <c r="H61" s="507" t="s">
        <v>586</v>
      </c>
      <c r="I61" s="507" t="s">
        <v>587</v>
      </c>
      <c r="J61" s="507" t="s">
        <v>588</v>
      </c>
      <c r="K61" s="507" t="s">
        <v>589</v>
      </c>
      <c r="L61" s="507" t="s">
        <v>590</v>
      </c>
    </row>
    <row r="62" spans="1:25" customFormat="1" ht="14.25">
      <c r="C62" s="684"/>
      <c r="D62" s="499" t="s">
        <v>591</v>
      </c>
      <c r="E62" s="505">
        <v>3000</v>
      </c>
      <c r="F62" s="505"/>
      <c r="G62" s="505"/>
      <c r="H62" s="505"/>
      <c r="I62" s="505">
        <v>5000</v>
      </c>
      <c r="J62" s="505"/>
      <c r="K62" s="505"/>
      <c r="L62" s="505"/>
    </row>
    <row r="63" spans="1:25" customFormat="1" ht="14.25">
      <c r="C63" s="684"/>
      <c r="D63" s="506" t="s">
        <v>592</v>
      </c>
      <c r="E63" s="503"/>
      <c r="F63" s="503"/>
      <c r="G63" s="503"/>
      <c r="H63" s="503"/>
      <c r="I63" s="503"/>
      <c r="J63" s="503"/>
      <c r="K63" s="503"/>
      <c r="L63" s="503"/>
    </row>
    <row r="64" spans="1:25" customFormat="1" ht="15" thickBot="1">
      <c r="C64" s="684"/>
      <c r="D64" s="506" t="s">
        <v>593</v>
      </c>
      <c r="E64" s="743"/>
      <c r="F64" s="743"/>
      <c r="G64" s="743"/>
      <c r="H64" s="743"/>
      <c r="I64" s="743"/>
      <c r="J64" s="743"/>
      <c r="K64" s="743"/>
      <c r="L64" s="743"/>
    </row>
    <row r="65" spans="1:19" customFormat="1" ht="15" thickBot="1">
      <c r="C65" s="684"/>
      <c r="D65" s="742" t="s">
        <v>594</v>
      </c>
      <c r="E65" s="744">
        <v>3</v>
      </c>
      <c r="F65" s="745"/>
      <c r="G65" s="745"/>
      <c r="H65" s="745"/>
      <c r="I65" s="745">
        <v>3</v>
      </c>
      <c r="J65" s="745"/>
      <c r="K65" s="745"/>
      <c r="L65" s="746"/>
    </row>
    <row r="66" spans="1:19" customFormat="1"/>
    <row r="67" spans="1:19" s="49" customFormat="1" ht="15.75">
      <c r="A67" s="664"/>
      <c r="B67" s="163"/>
      <c r="C67" s="668"/>
      <c r="D67" s="163" t="s">
        <v>600</v>
      </c>
      <c r="E67" s="447"/>
      <c r="F67" s="495"/>
      <c r="G67" s="495"/>
      <c r="H67" s="495"/>
      <c r="I67" s="459"/>
      <c r="J67" s="447"/>
      <c r="K67" s="447"/>
      <c r="L67" s="447"/>
      <c r="M67" s="664"/>
      <c r="N67" s="96"/>
    </row>
    <row r="68" spans="1:19" s="49" customFormat="1" ht="16.5" thickBot="1">
      <c r="A68" s="664"/>
      <c r="B68" s="163"/>
      <c r="C68" s="668"/>
      <c r="D68" s="1009" t="s">
        <v>1218</v>
      </c>
      <c r="E68" s="453" t="s">
        <v>1229</v>
      </c>
      <c r="F68" s="453"/>
      <c r="G68" s="453"/>
      <c r="H68" s="453"/>
      <c r="I68" s="453"/>
      <c r="J68" s="453"/>
      <c r="K68" s="453"/>
      <c r="L68" s="454"/>
      <c r="M68" s="664"/>
      <c r="N68" s="96"/>
    </row>
    <row r="69" spans="1:19" s="49" customFormat="1" ht="16.5" thickBot="1">
      <c r="B69" s="664"/>
      <c r="C69" s="664"/>
      <c r="D69" s="1031">
        <f>E69*G69/100+I69*K69/100</f>
        <v>4</v>
      </c>
      <c r="E69" s="434">
        <v>3</v>
      </c>
      <c r="F69" s="455" t="s">
        <v>558</v>
      </c>
      <c r="G69" s="455">
        <f>メイン!C23</f>
        <v>0</v>
      </c>
      <c r="H69" s="498" t="s">
        <v>16</v>
      </c>
      <c r="I69" s="726">
        <v>4</v>
      </c>
      <c r="J69" s="455" t="s">
        <v>559</v>
      </c>
      <c r="K69" s="455">
        <f>メイン!D23</f>
        <v>100</v>
      </c>
      <c r="L69" s="512" t="s">
        <v>16</v>
      </c>
      <c r="M69" s="96"/>
      <c r="N69" s="448" t="s">
        <v>336</v>
      </c>
      <c r="O69" s="448" t="s">
        <v>337</v>
      </c>
      <c r="R69" s="339" t="s">
        <v>594</v>
      </c>
      <c r="S69" s="339" t="s">
        <v>601</v>
      </c>
    </row>
    <row r="70" spans="1:19" s="49" customFormat="1" ht="15.75">
      <c r="B70" s="664"/>
      <c r="C70" s="664"/>
      <c r="D70" s="435" t="str">
        <f>IF(ROUNDDOWN(D69,0)=$N$2,$P$2,$O$2)</f>
        <v>　レベル　1</v>
      </c>
      <c r="E70" s="435" t="str">
        <f>IF(ROUNDDOWN(E69,0)=$N$2,$P$2,$O$2)</f>
        <v>　レベル　1</v>
      </c>
      <c r="F70" s="460" t="s">
        <v>414</v>
      </c>
      <c r="G70" s="500"/>
      <c r="H70" s="500"/>
      <c r="I70" s="435" t="str">
        <f>IF(ROUNDDOWN(I69,0)=$N$2,$P$2,$O$2)</f>
        <v>　レベル　1</v>
      </c>
      <c r="J70" s="500" t="s">
        <v>414</v>
      </c>
      <c r="K70" s="500"/>
      <c r="L70" s="508"/>
      <c r="M70" s="664"/>
      <c r="N70" s="223" t="s">
        <v>312</v>
      </c>
      <c r="O70" s="686"/>
      <c r="R70" s="223" t="s">
        <v>312</v>
      </c>
      <c r="S70" s="429"/>
    </row>
    <row r="71" spans="1:19" s="49" customFormat="1" ht="15.75">
      <c r="B71" s="664"/>
      <c r="C71" s="664"/>
      <c r="D71" s="436" t="str">
        <f>IF(ROUNDDOWN(D69,0)=$N$3,$P$3,$O$3)</f>
        <v>　レベル　2</v>
      </c>
      <c r="E71" s="436" t="str">
        <f>IF(ROUNDDOWN(E69,0)=$N$3,$P$3,$O$3)</f>
        <v>　レベル　2</v>
      </c>
      <c r="F71" s="463" t="s">
        <v>414</v>
      </c>
      <c r="G71" s="501"/>
      <c r="H71" s="501"/>
      <c r="I71" s="436" t="str">
        <f>IF(ROUNDDOWN(I69,0)=$N$3,$P$3,$O$3)</f>
        <v>　レベル　2</v>
      </c>
      <c r="J71" s="501" t="s">
        <v>602</v>
      </c>
      <c r="K71" s="501"/>
      <c r="L71" s="509"/>
      <c r="M71" s="96"/>
      <c r="N71" s="223" t="s">
        <v>312</v>
      </c>
      <c r="O71" s="686"/>
      <c r="R71" s="223">
        <v>2</v>
      </c>
      <c r="S71" s="429"/>
    </row>
    <row r="72" spans="1:19" s="49" customFormat="1" ht="28.15" customHeight="1">
      <c r="B72" s="664"/>
      <c r="C72" s="664"/>
      <c r="D72" s="436" t="str">
        <f>IF(ROUNDDOWN(D69,0)=$N$4,$P$4,$O$4)</f>
        <v>　レベル　3</v>
      </c>
      <c r="E72" s="436" t="str">
        <f>IF(ROUNDDOWN(E69,0)=$N$4,$P$4,$O$4)</f>
        <v>■レベル　3</v>
      </c>
      <c r="F72" s="463" t="s">
        <v>602</v>
      </c>
      <c r="G72" s="501"/>
      <c r="H72" s="501"/>
      <c r="I72" s="436" t="str">
        <f>IF(ROUNDDOWN(I69,0)=$N$4,$P$4,$O$4)</f>
        <v>　レベル　3</v>
      </c>
      <c r="J72" s="1417" t="s">
        <v>603</v>
      </c>
      <c r="K72" s="1418"/>
      <c r="L72" s="1419"/>
      <c r="M72" s="664"/>
      <c r="N72" s="223">
        <v>3</v>
      </c>
      <c r="O72" s="686"/>
      <c r="R72" s="223">
        <v>3</v>
      </c>
      <c r="S72" s="429"/>
    </row>
    <row r="73" spans="1:19" s="49" customFormat="1" ht="30" customHeight="1">
      <c r="B73" s="664"/>
      <c r="C73" s="664"/>
      <c r="D73" s="436" t="str">
        <f>IF(ROUNDDOWN(D69,0)=$N$5,$P$5,$O$5)</f>
        <v>■レベル　4</v>
      </c>
      <c r="E73" s="436" t="str">
        <f>IF(ROUNDDOWN(E69,0)=$N$5,$P$5,$O$5)</f>
        <v>　レベル　4</v>
      </c>
      <c r="F73" s="1424" t="s">
        <v>603</v>
      </c>
      <c r="G73" s="1431"/>
      <c r="H73" s="1432"/>
      <c r="I73" s="436" t="str">
        <f>IF(ROUNDDOWN(I69,0)=$N$5,$P$5,$O$5)</f>
        <v>■レベル　4</v>
      </c>
      <c r="J73" s="1424" t="s">
        <v>604</v>
      </c>
      <c r="K73" s="1431"/>
      <c r="L73" s="1432"/>
      <c r="M73" s="96"/>
      <c r="N73" s="223">
        <v>4</v>
      </c>
      <c r="O73" s="686"/>
      <c r="R73" s="223">
        <v>4</v>
      </c>
      <c r="S73" s="429"/>
    </row>
    <row r="74" spans="1:19" s="49" customFormat="1" ht="31.15" customHeight="1">
      <c r="B74" s="664"/>
      <c r="C74" s="664"/>
      <c r="D74" s="437" t="str">
        <f>IF(ROUNDDOWN(D69,0)=$N$6,$P$6,$O$6)</f>
        <v>　レベル　5</v>
      </c>
      <c r="E74" s="437" t="str">
        <f>IF(ROUNDDOWN(E69,0)=$N$6,$P$6,$O$6)</f>
        <v>　レベル　5</v>
      </c>
      <c r="F74" s="1391" t="s">
        <v>604</v>
      </c>
      <c r="G74" s="1392"/>
      <c r="H74" s="1393"/>
      <c r="I74" s="437" t="str">
        <f>IF(ROUNDDOWN(I69,0)=$N$6,$P$6,$O$6)</f>
        <v>　レベル　5</v>
      </c>
      <c r="J74" s="1391" t="s">
        <v>605</v>
      </c>
      <c r="K74" s="1392"/>
      <c r="L74" s="1393"/>
      <c r="M74" s="664"/>
      <c r="N74" s="223">
        <v>5</v>
      </c>
      <c r="O74" s="686"/>
      <c r="R74" s="223">
        <v>5</v>
      </c>
      <c r="S74" s="429"/>
    </row>
    <row r="75" spans="1:19" s="49" customFormat="1" ht="15.75">
      <c r="B75" s="664"/>
      <c r="C75" s="664"/>
      <c r="D75" s="438" t="s">
        <v>341</v>
      </c>
      <c r="E75" s="1002"/>
      <c r="F75" s="494"/>
      <c r="G75" s="494"/>
      <c r="H75" s="679"/>
      <c r="I75"/>
      <c r="J75"/>
      <c r="K75"/>
      <c r="L75"/>
      <c r="M75" s="62"/>
      <c r="N75" s="223" t="s">
        <v>312</v>
      </c>
      <c r="O75" s="452"/>
      <c r="R75" s="223" t="s">
        <v>312</v>
      </c>
      <c r="S75" s="452"/>
    </row>
    <row r="76" spans="1:19" customFormat="1"/>
    <row r="77" spans="1:19" s="49" customFormat="1" ht="15.75">
      <c r="A77" s="664"/>
      <c r="B77" s="163"/>
      <c r="C77" s="668"/>
      <c r="D77" s="163" t="s">
        <v>606</v>
      </c>
      <c r="E77" s="447"/>
      <c r="F77" s="495"/>
      <c r="G77" s="495"/>
      <c r="H77" s="495"/>
      <c r="I77" s="459"/>
      <c r="J77" s="447"/>
      <c r="K77" s="447"/>
      <c r="L77" s="447"/>
      <c r="M77" s="664"/>
      <c r="N77" s="96"/>
    </row>
    <row r="78" spans="1:19" s="49" customFormat="1" ht="16.5" thickBot="1">
      <c r="A78" s="664"/>
      <c r="B78" s="163"/>
      <c r="C78" s="668"/>
      <c r="D78" s="1009" t="s">
        <v>1218</v>
      </c>
      <c r="E78" s="453" t="s">
        <v>1229</v>
      </c>
      <c r="F78" s="453"/>
      <c r="G78" s="453"/>
      <c r="H78" s="453"/>
      <c r="I78" s="453"/>
      <c r="J78" s="453"/>
      <c r="K78" s="453"/>
      <c r="L78" s="454"/>
      <c r="M78" s="664"/>
      <c r="N78" s="96"/>
    </row>
    <row r="79" spans="1:19" s="49" customFormat="1" ht="16.5" thickBot="1">
      <c r="B79" s="664"/>
      <c r="C79" s="664"/>
      <c r="D79" s="1031">
        <f>E79*G79/100+I79*K79/100</f>
        <v>3</v>
      </c>
      <c r="E79" s="434">
        <v>3</v>
      </c>
      <c r="F79" s="455" t="s">
        <v>558</v>
      </c>
      <c r="G79" s="455">
        <f>メイン!C23</f>
        <v>0</v>
      </c>
      <c r="H79" s="498" t="s">
        <v>16</v>
      </c>
      <c r="I79" s="434">
        <v>3</v>
      </c>
      <c r="J79" s="455" t="s">
        <v>559</v>
      </c>
      <c r="K79" s="453">
        <f>メイン!D23</f>
        <v>100</v>
      </c>
      <c r="L79" s="512" t="s">
        <v>16</v>
      </c>
      <c r="M79" s="96"/>
      <c r="N79" s="448" t="s">
        <v>336</v>
      </c>
      <c r="O79" s="448" t="s">
        <v>337</v>
      </c>
      <c r="R79" s="339" t="s">
        <v>594</v>
      </c>
      <c r="S79" s="339" t="s">
        <v>601</v>
      </c>
    </row>
    <row r="80" spans="1:19" s="49" customFormat="1" ht="15.75">
      <c r="B80" s="664"/>
      <c r="C80" s="664"/>
      <c r="D80" s="435" t="str">
        <f>IF(ROUNDDOWN(D79,0)=$N$2,$P$2,$O$2)</f>
        <v>　レベル　1</v>
      </c>
      <c r="E80" s="435" t="str">
        <f>IF(ROUNDDOWN(E79,0)=$N$2,$P$2,$O$2)</f>
        <v>　レベル　1</v>
      </c>
      <c r="F80" s="460" t="s">
        <v>414</v>
      </c>
      <c r="G80" s="500"/>
      <c r="H80" s="500"/>
      <c r="I80" s="435" t="str">
        <f>IF(ROUNDDOWN(I79,0)=$N$2,$P$2,$O$2)</f>
        <v>　レベル　1</v>
      </c>
      <c r="J80" s="500" t="s">
        <v>414</v>
      </c>
      <c r="K80" s="500"/>
      <c r="L80" s="508"/>
      <c r="M80" s="664"/>
      <c r="N80" s="449" t="s">
        <v>312</v>
      </c>
      <c r="O80" s="452"/>
      <c r="R80" s="223" t="s">
        <v>312</v>
      </c>
      <c r="S80" s="429"/>
    </row>
    <row r="81" spans="1:19" s="49" customFormat="1" ht="15.75">
      <c r="B81" s="664"/>
      <c r="C81" s="664"/>
      <c r="D81" s="436" t="str">
        <f>IF(ROUNDDOWN(D79,0)=$N$3,$P$3,$O$3)</f>
        <v>　レベル　2</v>
      </c>
      <c r="E81" s="436" t="str">
        <f>IF(ROUNDDOWN(E79,0)=$N$3,$P$3,$O$3)</f>
        <v>　レベル　2</v>
      </c>
      <c r="F81" s="463" t="s">
        <v>414</v>
      </c>
      <c r="G81" s="501"/>
      <c r="H81" s="501"/>
      <c r="I81" s="436" t="str">
        <f>IF(ROUNDDOWN(I79,0)=$N$3,$P$3,$O$3)</f>
        <v>　レベル　2</v>
      </c>
      <c r="J81" s="501" t="s">
        <v>607</v>
      </c>
      <c r="K81" s="501"/>
      <c r="L81" s="509"/>
      <c r="M81" s="96"/>
      <c r="N81" s="449" t="s">
        <v>312</v>
      </c>
      <c r="O81" s="452"/>
      <c r="R81" s="223">
        <v>2</v>
      </c>
      <c r="S81" s="429"/>
    </row>
    <row r="82" spans="1:19" s="49" customFormat="1" ht="15.75">
      <c r="B82" s="664"/>
      <c r="C82" s="664"/>
      <c r="D82" s="436" t="str">
        <f>IF(ROUNDDOWN(D79,0)=$N$4,$P$4,$O$4)</f>
        <v>■レベル　3</v>
      </c>
      <c r="E82" s="436" t="str">
        <f>IF(ROUNDDOWN(E79,0)=$N$4,$P$4,$O$4)</f>
        <v>■レベル　3</v>
      </c>
      <c r="F82" s="463" t="s">
        <v>607</v>
      </c>
      <c r="G82" s="501"/>
      <c r="H82" s="501"/>
      <c r="I82" s="436" t="str">
        <f>IF(ROUNDDOWN(I79,0)=$N$4,$P$4,$O$4)</f>
        <v>■レベル　3</v>
      </c>
      <c r="J82" s="501" t="s">
        <v>608</v>
      </c>
      <c r="K82" s="501"/>
      <c r="L82" s="509"/>
      <c r="M82" s="664"/>
      <c r="N82" s="449">
        <v>3</v>
      </c>
      <c r="O82" s="452"/>
      <c r="R82" s="223">
        <v>3</v>
      </c>
      <c r="S82" s="429"/>
    </row>
    <row r="83" spans="1:19" s="49" customFormat="1" ht="32.450000000000003" customHeight="1">
      <c r="B83" s="664"/>
      <c r="C83" s="664"/>
      <c r="D83" s="436" t="str">
        <f>IF(ROUNDDOWN(D79,0)=$N$5,$P$5,$O$5)</f>
        <v>　レベル　4</v>
      </c>
      <c r="E83" s="436" t="str">
        <f>IF(ROUNDDOWN(E79,0)=$N$5,$P$5,$O$5)</f>
        <v>　レベル　4</v>
      </c>
      <c r="F83" s="466" t="s">
        <v>608</v>
      </c>
      <c r="G83" s="502"/>
      <c r="H83" s="502"/>
      <c r="I83" s="436" t="str">
        <f>IF(ROUNDDOWN(I79,0)=$N$5,$P$5,$O$5)</f>
        <v>　レベル　4</v>
      </c>
      <c r="J83" s="1424" t="s">
        <v>609</v>
      </c>
      <c r="K83" s="1431"/>
      <c r="L83" s="1432"/>
      <c r="M83" s="96"/>
      <c r="N83" s="449">
        <v>4</v>
      </c>
      <c r="O83" s="452"/>
      <c r="R83" s="223">
        <v>4</v>
      </c>
      <c r="S83" s="429"/>
    </row>
    <row r="84" spans="1:19" s="49" customFormat="1" ht="25.15" customHeight="1">
      <c r="B84" s="664"/>
      <c r="C84" s="664"/>
      <c r="D84" s="437" t="str">
        <f>IF(ROUNDDOWN(D79,0)=$N$6,$P$6,$O$6)</f>
        <v>　レベル　5</v>
      </c>
      <c r="E84" s="437" t="str">
        <f>IF(ROUNDDOWN(E79,0)=$N$6,$P$6,$O$6)</f>
        <v>　レベル　5</v>
      </c>
      <c r="F84" s="1391" t="s">
        <v>609</v>
      </c>
      <c r="G84" s="1392"/>
      <c r="H84" s="1393"/>
      <c r="I84" s="437" t="str">
        <f>IF(ROUNDDOWN(I79,0)=$N$6,$P$6,$O$6)</f>
        <v>　レベル　5</v>
      </c>
      <c r="J84" s="1391" t="s">
        <v>610</v>
      </c>
      <c r="K84" s="1392"/>
      <c r="L84" s="1393"/>
      <c r="M84" s="664"/>
      <c r="N84" s="449">
        <v>5</v>
      </c>
      <c r="O84" s="452"/>
      <c r="R84" s="223">
        <v>5</v>
      </c>
      <c r="S84" s="429"/>
    </row>
    <row r="85" spans="1:19" s="49" customFormat="1" ht="15.75">
      <c r="B85" s="664"/>
      <c r="C85" s="664"/>
      <c r="D85" s="438" t="s">
        <v>341</v>
      </c>
      <c r="E85" s="1002"/>
      <c r="F85" s="494"/>
      <c r="G85" s="494"/>
      <c r="H85" s="679"/>
      <c r="I85"/>
      <c r="J85"/>
      <c r="K85"/>
      <c r="L85"/>
      <c r="M85" s="62"/>
      <c r="N85" s="223" t="s">
        <v>312</v>
      </c>
      <c r="O85" s="452"/>
      <c r="R85" s="223" t="s">
        <v>312</v>
      </c>
      <c r="S85" s="452"/>
    </row>
    <row r="86" spans="1:19" customFormat="1"/>
    <row r="87" spans="1:19" s="49" customFormat="1" ht="15.75">
      <c r="C87" s="666" t="s">
        <v>611</v>
      </c>
      <c r="E87" s="50"/>
      <c r="F87" s="50"/>
      <c r="G87" s="50"/>
      <c r="H87" s="682"/>
      <c r="I87" s="682"/>
      <c r="M87" s="96"/>
    </row>
    <row r="88" spans="1:19" s="49" customFormat="1" ht="16.5" thickBot="1">
      <c r="A88" s="664"/>
      <c r="B88" s="163"/>
      <c r="C88" s="668"/>
      <c r="D88" s="163" t="s">
        <v>612</v>
      </c>
      <c r="E88" s="664"/>
      <c r="F88" s="675"/>
      <c r="G88" s="675"/>
      <c r="H88" s="675"/>
      <c r="I88" s="459"/>
      <c r="J88" s="664"/>
      <c r="K88" s="664"/>
      <c r="L88" s="676"/>
      <c r="M88" s="664"/>
      <c r="N88" s="62"/>
      <c r="O88" s="62"/>
    </row>
    <row r="89" spans="1:19" s="49" customFormat="1" ht="16.5" thickBot="1">
      <c r="B89" s="664"/>
      <c r="C89" s="664"/>
      <c r="D89" s="434">
        <v>3</v>
      </c>
      <c r="E89" s="453" t="s">
        <v>1229</v>
      </c>
      <c r="F89" s="453"/>
      <c r="G89" s="453"/>
      <c r="H89" s="453"/>
      <c r="I89" s="453"/>
      <c r="J89" s="453"/>
      <c r="K89" s="453"/>
      <c r="L89" s="454"/>
      <c r="M89" s="62"/>
      <c r="N89" s="448" t="s">
        <v>336</v>
      </c>
      <c r="O89" s="448" t="s">
        <v>337</v>
      </c>
    </row>
    <row r="90" spans="1:19" s="49" customFormat="1" ht="15.75">
      <c r="B90" s="664"/>
      <c r="C90" s="664"/>
      <c r="D90" s="435" t="str">
        <f>IF(ROUNDDOWN(D89,0)=$N$2,$P$2,$O$2)</f>
        <v>　レベル　1</v>
      </c>
      <c r="E90" s="460" t="s">
        <v>613</v>
      </c>
      <c r="F90" s="500"/>
      <c r="G90" s="500"/>
      <c r="H90" s="500"/>
      <c r="I90" s="500"/>
      <c r="J90" s="500"/>
      <c r="K90" s="500"/>
      <c r="L90" s="508"/>
      <c r="M90" s="664"/>
      <c r="N90" s="449">
        <v>1</v>
      </c>
      <c r="O90" s="452"/>
    </row>
    <row r="91" spans="1:19" s="49" customFormat="1" ht="15.75">
      <c r="B91" s="664"/>
      <c r="C91" s="664"/>
      <c r="D91" s="436" t="str">
        <f>IF(ROUNDDOWN(D89,0)=$N$3,$P$3,$O$3)</f>
        <v>　レベル　2</v>
      </c>
      <c r="E91" s="463" t="s">
        <v>414</v>
      </c>
      <c r="F91" s="501"/>
      <c r="G91" s="501"/>
      <c r="H91" s="501"/>
      <c r="I91" s="501"/>
      <c r="J91" s="501"/>
      <c r="K91" s="501"/>
      <c r="L91" s="509"/>
      <c r="M91" s="62"/>
      <c r="N91" s="449" t="s">
        <v>312</v>
      </c>
      <c r="O91" s="452"/>
    </row>
    <row r="92" spans="1:19" s="49" customFormat="1" ht="15.75">
      <c r="B92" s="664"/>
      <c r="C92" s="664"/>
      <c r="D92" s="436" t="str">
        <f>IF(ROUNDDOWN(D89,0)=$N$4,$P$4,$O$4)</f>
        <v>■レベル　3</v>
      </c>
      <c r="E92" s="1024" t="s">
        <v>1331</v>
      </c>
      <c r="F92" s="501"/>
      <c r="G92" s="501"/>
      <c r="H92" s="501"/>
      <c r="I92" s="501"/>
      <c r="J92" s="501"/>
      <c r="K92" s="501"/>
      <c r="L92" s="509"/>
      <c r="M92" s="664"/>
      <c r="N92" s="449">
        <v>3</v>
      </c>
      <c r="O92" s="452"/>
    </row>
    <row r="93" spans="1:19" s="49" customFormat="1" ht="15.75">
      <c r="B93" s="664"/>
      <c r="C93" s="664"/>
      <c r="D93" s="436" t="str">
        <f>IF(ROUNDDOWN(D89,0)=$N$5,$P$5,$O$5)</f>
        <v>　レベル　4</v>
      </c>
      <c r="E93" s="466" t="s">
        <v>614</v>
      </c>
      <c r="F93" s="502"/>
      <c r="G93" s="502"/>
      <c r="H93" s="502"/>
      <c r="I93" s="502"/>
      <c r="J93" s="502"/>
      <c r="K93" s="502"/>
      <c r="L93" s="510"/>
      <c r="M93" s="62"/>
      <c r="N93" s="449">
        <v>4</v>
      </c>
      <c r="O93" s="452"/>
    </row>
    <row r="94" spans="1:19" s="49" customFormat="1" ht="15.75">
      <c r="B94" s="664"/>
      <c r="C94" s="664"/>
      <c r="D94" s="437" t="str">
        <f>IF(ROUNDDOWN(D89,0)=$N$6,$P$6,$O$6)</f>
        <v>　レベル　5</v>
      </c>
      <c r="E94" s="469" t="s">
        <v>615</v>
      </c>
      <c r="F94" s="480"/>
      <c r="G94" s="480"/>
      <c r="H94" s="480"/>
      <c r="I94" s="480"/>
      <c r="J94" s="480"/>
      <c r="K94" s="480"/>
      <c r="L94" s="511"/>
      <c r="M94" s="664"/>
      <c r="N94" s="449">
        <v>5</v>
      </c>
      <c r="O94" s="452"/>
    </row>
    <row r="95" spans="1:19" s="49" customFormat="1" ht="15.75">
      <c r="B95" s="664"/>
      <c r="C95" s="664"/>
      <c r="D95" s="438" t="s">
        <v>341</v>
      </c>
      <c r="E95" s="1002"/>
      <c r="F95" s="494"/>
      <c r="G95" s="494"/>
      <c r="H95" s="679"/>
      <c r="I95"/>
      <c r="J95"/>
      <c r="K95"/>
      <c r="L95"/>
      <c r="M95" s="62"/>
      <c r="N95" s="223" t="s">
        <v>312</v>
      </c>
      <c r="O95" s="452"/>
    </row>
    <row r="96" spans="1:19" customFormat="1"/>
    <row r="97" spans="1:19" s="49" customFormat="1" ht="15.75">
      <c r="A97" s="664"/>
      <c r="B97" s="163"/>
      <c r="C97" s="668"/>
      <c r="D97" s="163" t="s">
        <v>768</v>
      </c>
      <c r="E97" s="664"/>
      <c r="F97" s="664"/>
      <c r="G97" s="664"/>
      <c r="H97" s="664"/>
      <c r="I97" s="664"/>
      <c r="J97" s="664"/>
      <c r="K97" s="664"/>
      <c r="L97" s="727" t="s">
        <v>767</v>
      </c>
      <c r="M97" s="664"/>
      <c r="N97" s="96"/>
    </row>
    <row r="98" spans="1:19" s="49" customFormat="1" ht="16.5" thickBot="1">
      <c r="A98" s="664"/>
      <c r="B98" s="163"/>
      <c r="C98" s="668"/>
      <c r="D98" s="1009" t="s">
        <v>1218</v>
      </c>
      <c r="E98" s="693" t="s">
        <v>1229</v>
      </c>
      <c r="F98" s="693"/>
      <c r="G98" s="693"/>
      <c r="H98" s="693"/>
      <c r="I98" s="693"/>
      <c r="J98" s="693"/>
      <c r="K98" s="693"/>
      <c r="L98" s="694"/>
      <c r="M98" s="664"/>
      <c r="N98" s="62"/>
      <c r="O98" s="62"/>
    </row>
    <row r="99" spans="1:19" s="49" customFormat="1" ht="41.45" customHeight="1" thickBot="1">
      <c r="B99" s="664"/>
      <c r="C99" s="664"/>
      <c r="D99" s="1031">
        <f>IF((H99+L99)=0,0,(E99*H99+I99*L99)/(H99+L99))</f>
        <v>3</v>
      </c>
      <c r="E99" s="434">
        <v>3</v>
      </c>
      <c r="F99" s="1444" t="s">
        <v>1219</v>
      </c>
      <c r="G99" s="1445"/>
      <c r="H99" s="1010">
        <f>IF(E99=0,0,IF(G107+K107=0,0,G107/(G107+K107)))</f>
        <v>0.5</v>
      </c>
      <c r="I99" s="434">
        <v>3</v>
      </c>
      <c r="J99" s="1444" t="s">
        <v>953</v>
      </c>
      <c r="K99" s="1445"/>
      <c r="L99" s="740">
        <f>IF(I99=0,0,IF(G107+K107=0,0,K107/(G107+K107)))</f>
        <v>0.5</v>
      </c>
      <c r="M99" s="62"/>
      <c r="N99" s="448" t="s">
        <v>336</v>
      </c>
      <c r="O99" s="448" t="s">
        <v>337</v>
      </c>
      <c r="R99" s="339" t="s">
        <v>594</v>
      </c>
      <c r="S99" s="339" t="s">
        <v>601</v>
      </c>
    </row>
    <row r="100" spans="1:19" s="49" customFormat="1" ht="15.75">
      <c r="B100" s="664"/>
      <c r="C100" s="664"/>
      <c r="D100" s="435" t="str">
        <f>IF(ROUNDDOWN(D99,0)=$N$2,$P$2,$O$2)</f>
        <v>　レベル　1</v>
      </c>
      <c r="E100" s="695" t="str">
        <f>IF(ROUNDDOWN(D99,0)=$N$2,$P$2,$O$2)</f>
        <v>　レベル　1</v>
      </c>
      <c r="F100" s="460" t="s">
        <v>414</v>
      </c>
      <c r="G100" s="500"/>
      <c r="H100" s="500"/>
      <c r="I100" s="435" t="str">
        <f>IF(ROUNDDOWN(I99,0)=$N$2,$P$2,$O$2)</f>
        <v>　レベル　1</v>
      </c>
      <c r="J100" s="460" t="s">
        <v>616</v>
      </c>
      <c r="K100" s="500"/>
      <c r="L100" s="508"/>
      <c r="M100" s="664"/>
      <c r="N100" s="449" t="s">
        <v>312</v>
      </c>
      <c r="O100" s="452"/>
      <c r="R100" s="223">
        <v>1</v>
      </c>
      <c r="S100" s="429"/>
    </row>
    <row r="101" spans="1:19" s="49" customFormat="1" ht="15.75">
      <c r="B101" s="664"/>
      <c r="C101" s="664"/>
      <c r="D101" s="436" t="str">
        <f>IF(ROUNDDOWN(D99,0)=$N$3,$P$3,$O$3)</f>
        <v>　レベル　2</v>
      </c>
      <c r="E101" s="696" t="str">
        <f>IF(ROUNDDOWN(D99,0)=$N$3,$P$3,$O$3)</f>
        <v>　レベル　2</v>
      </c>
      <c r="F101" s="463" t="s">
        <v>414</v>
      </c>
      <c r="G101" s="501"/>
      <c r="H101" s="501"/>
      <c r="I101" s="436" t="str">
        <f>IF(ROUNDDOWN(I99,0)=$N$3,$P$3,$O$3)</f>
        <v>　レベル　2</v>
      </c>
      <c r="J101" s="463" t="s">
        <v>414</v>
      </c>
      <c r="K101" s="501"/>
      <c r="L101" s="509"/>
      <c r="M101" s="62"/>
      <c r="N101" s="449" t="s">
        <v>312</v>
      </c>
      <c r="O101" s="452"/>
      <c r="R101" s="449" t="s">
        <v>312</v>
      </c>
      <c r="S101" s="429"/>
    </row>
    <row r="102" spans="1:19" s="49" customFormat="1" ht="27" customHeight="1">
      <c r="B102" s="664"/>
      <c r="C102" s="664"/>
      <c r="D102" s="436" t="str">
        <f>IF(ROUNDDOWN(D99,0)=$N$4,$P$4,$O$4)</f>
        <v>■レベル　3</v>
      </c>
      <c r="E102" s="696" t="str">
        <f>IF(ROUNDDOWN(D99,0)=$N$4,$P$4,$O$4)</f>
        <v>■レベル　3</v>
      </c>
      <c r="F102" s="1417" t="s">
        <v>617</v>
      </c>
      <c r="G102" s="1418"/>
      <c r="H102" s="1419"/>
      <c r="I102" s="436" t="str">
        <f>IF(ROUNDDOWN(I99,0)=$N$4,$P$4,$O$4)</f>
        <v>■レベル　3</v>
      </c>
      <c r="J102" s="463" t="s">
        <v>618</v>
      </c>
      <c r="K102" s="501"/>
      <c r="L102" s="509"/>
      <c r="M102" s="664"/>
      <c r="N102" s="449">
        <v>3</v>
      </c>
      <c r="O102" s="452"/>
      <c r="R102" s="223">
        <v>3</v>
      </c>
      <c r="S102" s="429"/>
    </row>
    <row r="103" spans="1:19" s="49" customFormat="1" ht="15.75">
      <c r="B103" s="664"/>
      <c r="C103" s="664"/>
      <c r="D103" s="436" t="str">
        <f>IF(ROUNDDOWN(D99,0)=$N$5,$P$5,$O$5)</f>
        <v>　レベル　4</v>
      </c>
      <c r="E103" s="696" t="str">
        <f>IF(ROUNDDOWN(D99,0)=$N$5,$P$5,$O$5)</f>
        <v>　レベル　4</v>
      </c>
      <c r="F103" s="466" t="s">
        <v>414</v>
      </c>
      <c r="G103" s="502"/>
      <c r="H103" s="502"/>
      <c r="I103" s="436" t="str">
        <f>IF(ROUNDDOWN(I99,0)=$N$5,$P$5,$O$5)</f>
        <v>　レベル　4</v>
      </c>
      <c r="J103" s="466" t="s">
        <v>619</v>
      </c>
      <c r="K103" s="502"/>
      <c r="L103" s="510"/>
      <c r="M103" s="62"/>
      <c r="N103" s="449" t="s">
        <v>312</v>
      </c>
      <c r="O103" s="452"/>
      <c r="R103" s="223">
        <v>4</v>
      </c>
      <c r="S103" s="429"/>
    </row>
    <row r="104" spans="1:19" s="49" customFormat="1" ht="39.6" customHeight="1">
      <c r="B104" s="664"/>
      <c r="C104" s="664"/>
      <c r="D104" s="437" t="str">
        <f>IF(ROUNDDOWN(D99,0)=$N$6,$P$6,$O$6)</f>
        <v>　レベル　5</v>
      </c>
      <c r="E104" s="697" t="str">
        <f>IF(ROUNDDOWN(D99,0)=$N$6,$P$6,$O$6)</f>
        <v>　レベル　5</v>
      </c>
      <c r="F104" s="1391" t="s">
        <v>620</v>
      </c>
      <c r="G104" s="1392"/>
      <c r="H104" s="1393"/>
      <c r="I104" s="437" t="str">
        <f>IF(ROUNDDOWN(I99,0)=$N$6,$P$6,$O$6)</f>
        <v>　レベル　5</v>
      </c>
      <c r="J104" s="469" t="s">
        <v>621</v>
      </c>
      <c r="K104" s="480"/>
      <c r="L104" s="511"/>
      <c r="M104" s="664"/>
      <c r="N104" s="449">
        <v>5</v>
      </c>
      <c r="O104" s="452"/>
      <c r="R104" s="223">
        <v>5</v>
      </c>
      <c r="S104" s="429"/>
    </row>
    <row r="105" spans="1:19" s="49" customFormat="1" ht="15.75">
      <c r="B105" s="664"/>
      <c r="C105" s="664"/>
      <c r="D105" s="438" t="s">
        <v>341</v>
      </c>
      <c r="E105" s="1002"/>
      <c r="F105" s="494"/>
      <c r="G105" s="494"/>
      <c r="H105" s="679"/>
      <c r="I105" s="737" t="s">
        <v>715</v>
      </c>
      <c r="J105"/>
      <c r="K105"/>
      <c r="L105"/>
      <c r="M105" s="62"/>
      <c r="N105" s="451">
        <v>0</v>
      </c>
      <c r="O105" s="452"/>
      <c r="R105" s="451">
        <v>0</v>
      </c>
      <c r="S105" s="452"/>
    </row>
    <row r="106" spans="1:19" s="49" customFormat="1" ht="15.75">
      <c r="B106" s="664"/>
      <c r="C106" s="664"/>
      <c r="D106" s="438"/>
      <c r="E106" s="526" t="s">
        <v>954</v>
      </c>
      <c r="F106" s="438"/>
      <c r="G106" s="438"/>
      <c r="H106" s="438"/>
      <c r="J106" s="526" t="s">
        <v>955</v>
      </c>
      <c r="K106" s="438"/>
      <c r="M106" s="62"/>
      <c r="N106" s="739"/>
      <c r="O106" s="62"/>
    </row>
    <row r="107" spans="1:19" s="49" customFormat="1" ht="15.75">
      <c r="B107" s="664"/>
      <c r="C107" s="664"/>
      <c r="F107" s="438"/>
      <c r="G107" s="503">
        <v>1</v>
      </c>
      <c r="H107" s="526" t="s">
        <v>34</v>
      </c>
      <c r="J107" s="438"/>
      <c r="K107" s="503">
        <v>1</v>
      </c>
      <c r="L107" s="526" t="s">
        <v>34</v>
      </c>
      <c r="M107" s="62"/>
      <c r="N107" s="739"/>
      <c r="O107" s="62"/>
    </row>
    <row r="108" spans="1:19" customFormat="1"/>
    <row r="109" spans="1:19" s="49" customFormat="1" ht="15.75">
      <c r="B109" s="685" t="s">
        <v>622</v>
      </c>
      <c r="C109" s="685"/>
      <c r="E109" s="50"/>
      <c r="F109" s="50"/>
      <c r="G109" s="50"/>
      <c r="H109" s="682"/>
      <c r="I109" s="682"/>
      <c r="M109" s="96"/>
    </row>
    <row r="110" spans="1:19" s="49" customFormat="1" ht="15.75">
      <c r="A110" s="664"/>
      <c r="C110" s="668" t="s">
        <v>623</v>
      </c>
      <c r="D110" s="163"/>
      <c r="E110" s="664"/>
      <c r="F110" s="664"/>
      <c r="G110" s="664"/>
      <c r="H110" s="664"/>
      <c r="I110" s="664"/>
      <c r="J110" s="664"/>
      <c r="K110" s="664"/>
      <c r="L110" s="174"/>
      <c r="M110" s="664"/>
      <c r="N110" s="96"/>
    </row>
    <row r="111" spans="1:19" s="49" customFormat="1" ht="16.5" thickBot="1">
      <c r="A111" s="664"/>
      <c r="B111" s="163"/>
      <c r="C111" s="668"/>
      <c r="D111" s="163" t="s">
        <v>624</v>
      </c>
      <c r="E111" s="664"/>
      <c r="F111" s="675"/>
      <c r="G111" s="675"/>
      <c r="H111" s="675"/>
      <c r="I111" s="459"/>
      <c r="J111" s="664"/>
      <c r="K111" s="664"/>
      <c r="L111" s="676"/>
      <c r="M111" s="664"/>
      <c r="N111" s="62"/>
      <c r="O111" s="62"/>
    </row>
    <row r="112" spans="1:19" s="49" customFormat="1" ht="16.5" thickBot="1">
      <c r="B112" s="664"/>
      <c r="C112" s="664"/>
      <c r="D112" s="434">
        <v>3</v>
      </c>
      <c r="E112" s="453" t="s">
        <v>1229</v>
      </c>
      <c r="F112" s="453"/>
      <c r="G112" s="453"/>
      <c r="H112" s="453"/>
      <c r="I112" s="453"/>
      <c r="J112" s="453"/>
      <c r="K112" s="453"/>
      <c r="L112" s="454"/>
      <c r="M112" s="62"/>
      <c r="N112" s="448" t="s">
        <v>336</v>
      </c>
      <c r="O112" s="448" t="s">
        <v>337</v>
      </c>
    </row>
    <row r="113" spans="1:15" s="49" customFormat="1" ht="15.75">
      <c r="B113" s="664"/>
      <c r="C113" s="664"/>
      <c r="D113" s="435" t="str">
        <f>IF(ROUNDDOWN(D112,0)=$N$2,$P$2,$O$2)</f>
        <v>　レベル　1</v>
      </c>
      <c r="E113" s="460" t="s">
        <v>414</v>
      </c>
      <c r="F113" s="500"/>
      <c r="G113" s="500"/>
      <c r="H113" s="500"/>
      <c r="I113" s="500"/>
      <c r="J113" s="500"/>
      <c r="K113" s="500"/>
      <c r="L113" s="508"/>
      <c r="M113" s="664"/>
      <c r="N113" s="449" t="s">
        <v>312</v>
      </c>
      <c r="O113" s="452"/>
    </row>
    <row r="114" spans="1:15" s="49" customFormat="1" ht="15.75">
      <c r="B114" s="664"/>
      <c r="C114" s="664"/>
      <c r="D114" s="436" t="str">
        <f>IF(ROUNDDOWN(D112,0)=$N$3,$P$3,$O$3)</f>
        <v>　レベル　2</v>
      </c>
      <c r="E114" s="463" t="s">
        <v>625</v>
      </c>
      <c r="F114" s="501"/>
      <c r="G114" s="501"/>
      <c r="H114" s="501"/>
      <c r="I114" s="501"/>
      <c r="J114" s="501"/>
      <c r="K114" s="501"/>
      <c r="L114" s="509"/>
      <c r="M114" s="62"/>
      <c r="N114" s="449">
        <v>2</v>
      </c>
      <c r="O114" s="452"/>
    </row>
    <row r="115" spans="1:15" s="49" customFormat="1" ht="15.75">
      <c r="B115" s="664"/>
      <c r="C115" s="664"/>
      <c r="D115" s="436" t="str">
        <f>IF(ROUNDDOWN(D112,0)=$N$4,$P$4,$O$4)</f>
        <v>■レベル　3</v>
      </c>
      <c r="E115" s="463" t="s">
        <v>1256</v>
      </c>
      <c r="F115" s="501"/>
      <c r="G115" s="501"/>
      <c r="H115" s="501"/>
      <c r="I115" s="501"/>
      <c r="J115" s="501"/>
      <c r="K115" s="501"/>
      <c r="L115" s="509"/>
      <c r="M115" s="664"/>
      <c r="N115" s="449">
        <v>3</v>
      </c>
      <c r="O115" s="452"/>
    </row>
    <row r="116" spans="1:15" s="49" customFormat="1" ht="15.75">
      <c r="B116" s="664"/>
      <c r="C116" s="664"/>
      <c r="D116" s="436" t="str">
        <f>IF(ROUNDDOWN(D112,0)=$N$5,$P$5,$O$5)</f>
        <v>　レベル　4</v>
      </c>
      <c r="E116" s="1025" t="s">
        <v>1274</v>
      </c>
      <c r="F116" s="502"/>
      <c r="G116" s="502"/>
      <c r="H116" s="502"/>
      <c r="I116" s="502"/>
      <c r="J116" s="502"/>
      <c r="K116" s="502"/>
      <c r="L116" s="510"/>
      <c r="M116" s="62"/>
      <c r="N116" s="449">
        <v>4</v>
      </c>
      <c r="O116" s="452"/>
    </row>
    <row r="117" spans="1:15" s="49" customFormat="1" ht="15.75">
      <c r="B117" s="664"/>
      <c r="C117" s="664"/>
      <c r="D117" s="437" t="str">
        <f>IF(ROUNDDOWN(D112,0)=$N$6,$P$6,$O$6)</f>
        <v>　レベル　5</v>
      </c>
      <c r="E117" s="469" t="s">
        <v>1257</v>
      </c>
      <c r="F117" s="480"/>
      <c r="G117" s="480"/>
      <c r="H117" s="480"/>
      <c r="I117" s="480"/>
      <c r="J117" s="480"/>
      <c r="K117" s="480"/>
      <c r="L117" s="511"/>
      <c r="M117" s="664"/>
      <c r="N117" s="449">
        <v>5</v>
      </c>
      <c r="O117" s="452"/>
    </row>
    <row r="118" spans="1:15" s="49" customFormat="1" ht="15.75">
      <c r="B118" s="664"/>
      <c r="C118" s="664"/>
      <c r="D118" s="438" t="s">
        <v>341</v>
      </c>
      <c r="E118" s="1002"/>
      <c r="F118" s="494"/>
      <c r="G118" s="494"/>
      <c r="H118" s="679"/>
      <c r="I118"/>
      <c r="J118"/>
      <c r="K118"/>
      <c r="L118"/>
      <c r="M118" s="62"/>
      <c r="N118" s="449" t="s">
        <v>312</v>
      </c>
      <c r="O118" s="452"/>
    </row>
    <row r="119" spans="1:15" customFormat="1"/>
    <row r="120" spans="1:15" s="49" customFormat="1" ht="16.5" thickBot="1">
      <c r="A120" s="664"/>
      <c r="B120" s="163"/>
      <c r="C120" s="668"/>
      <c r="D120" s="163" t="s">
        <v>626</v>
      </c>
      <c r="E120" s="664"/>
      <c r="F120" s="675"/>
      <c r="G120" s="675"/>
      <c r="H120" s="675"/>
      <c r="I120" s="459"/>
      <c r="J120" s="664"/>
      <c r="K120" s="664"/>
      <c r="L120" s="676"/>
      <c r="M120" s="664"/>
      <c r="N120" s="62"/>
      <c r="O120" s="62"/>
    </row>
    <row r="121" spans="1:15" s="49" customFormat="1" ht="16.5" thickBot="1">
      <c r="B121" s="664"/>
      <c r="C121" s="664"/>
      <c r="D121" s="434">
        <v>3</v>
      </c>
      <c r="E121" s="453" t="s">
        <v>1229</v>
      </c>
      <c r="F121" s="453"/>
      <c r="G121" s="453"/>
      <c r="H121" s="453"/>
      <c r="I121" s="453"/>
      <c r="J121" s="453"/>
      <c r="K121" s="453"/>
      <c r="L121" s="454"/>
      <c r="M121" s="62"/>
      <c r="N121" s="448" t="s">
        <v>336</v>
      </c>
      <c r="O121" s="448" t="s">
        <v>337</v>
      </c>
    </row>
    <row r="122" spans="1:15" s="49" customFormat="1" ht="15.75">
      <c r="B122" s="664"/>
      <c r="C122" s="664"/>
      <c r="D122" s="435" t="str">
        <f>IF(ROUNDDOWN(D121,0)=$N$2,$P$2,$O$2)</f>
        <v>　レベル　1</v>
      </c>
      <c r="E122" s="460" t="s">
        <v>625</v>
      </c>
      <c r="F122" s="500"/>
      <c r="G122" s="500"/>
      <c r="H122" s="500"/>
      <c r="I122" s="500"/>
      <c r="J122" s="500"/>
      <c r="K122" s="500"/>
      <c r="L122" s="508"/>
      <c r="M122" s="664"/>
      <c r="N122" s="449">
        <v>1</v>
      </c>
      <c r="O122" s="452"/>
    </row>
    <row r="123" spans="1:15" s="49" customFormat="1" ht="15.75">
      <c r="B123" s="664"/>
      <c r="C123" s="664"/>
      <c r="D123" s="436" t="str">
        <f>IF(ROUNDDOWN(D121,0)=$N$3,$P$3,$O$3)</f>
        <v>　レベル　2</v>
      </c>
      <c r="E123" s="463" t="s">
        <v>414</v>
      </c>
      <c r="F123" s="501"/>
      <c r="G123" s="501"/>
      <c r="H123" s="501"/>
      <c r="I123" s="501"/>
      <c r="J123" s="501"/>
      <c r="K123" s="501"/>
      <c r="L123" s="509"/>
      <c r="M123" s="62"/>
      <c r="N123" s="449" t="s">
        <v>312</v>
      </c>
      <c r="O123" s="452"/>
    </row>
    <row r="124" spans="1:15" s="49" customFormat="1" ht="15.75">
      <c r="B124" s="664"/>
      <c r="C124" s="664"/>
      <c r="D124" s="436" t="str">
        <f>IF(ROUNDDOWN(D121,0)=$N$4,$P$4,$O$4)</f>
        <v>■レベル　3</v>
      </c>
      <c r="E124" s="1024" t="s">
        <v>1332</v>
      </c>
      <c r="F124" s="501"/>
      <c r="G124" s="501"/>
      <c r="H124" s="501"/>
      <c r="I124" s="501"/>
      <c r="J124" s="501"/>
      <c r="K124" s="501"/>
      <c r="L124" s="509"/>
      <c r="M124" s="664"/>
      <c r="N124" s="449">
        <v>3</v>
      </c>
      <c r="O124" s="452"/>
    </row>
    <row r="125" spans="1:15" s="49" customFormat="1" ht="15.75">
      <c r="B125" s="664"/>
      <c r="C125" s="664"/>
      <c r="D125" s="436" t="str">
        <f>IF(ROUNDDOWN(D121,0)=$N$5,$P$5,$O$5)</f>
        <v>　レベル　4</v>
      </c>
      <c r="E125" s="466" t="s">
        <v>627</v>
      </c>
      <c r="F125" s="502"/>
      <c r="G125" s="502"/>
      <c r="H125" s="502"/>
      <c r="I125" s="502"/>
      <c r="J125" s="502"/>
      <c r="K125" s="502"/>
      <c r="L125" s="510"/>
      <c r="M125" s="62"/>
      <c r="N125" s="449">
        <v>4</v>
      </c>
      <c r="O125" s="452"/>
    </row>
    <row r="126" spans="1:15" s="49" customFormat="1" ht="15.75">
      <c r="B126" s="664"/>
      <c r="C126" s="664"/>
      <c r="D126" s="437" t="str">
        <f>IF(ROUNDDOWN(D121,0)=$N$6,$P$6,$O$6)</f>
        <v>　レベル　5</v>
      </c>
      <c r="E126" s="469" t="s">
        <v>628</v>
      </c>
      <c r="F126" s="480"/>
      <c r="G126" s="480"/>
      <c r="H126" s="480"/>
      <c r="I126" s="480"/>
      <c r="J126" s="480"/>
      <c r="K126" s="480"/>
      <c r="L126" s="511"/>
      <c r="M126" s="664"/>
      <c r="N126" s="449">
        <v>5</v>
      </c>
      <c r="O126" s="452"/>
    </row>
    <row r="127" spans="1:15" s="49" customFormat="1" ht="15.75">
      <c r="B127" s="664"/>
      <c r="C127" s="664"/>
      <c r="D127" s="438" t="s">
        <v>341</v>
      </c>
      <c r="E127" s="1002"/>
      <c r="F127" s="494"/>
      <c r="G127" s="494"/>
      <c r="H127" s="679"/>
      <c r="I127"/>
      <c r="J127"/>
      <c r="K127"/>
      <c r="L127"/>
      <c r="M127" s="62"/>
      <c r="N127" s="449" t="s">
        <v>312</v>
      </c>
      <c r="O127" s="452"/>
    </row>
    <row r="128" spans="1:15" customFormat="1"/>
    <row r="129" spans="1:15" s="49" customFormat="1" ht="15.75">
      <c r="C129" s="668" t="s">
        <v>629</v>
      </c>
      <c r="E129" s="50"/>
      <c r="F129" s="50"/>
      <c r="G129" s="50"/>
      <c r="H129" s="682"/>
      <c r="I129" s="682"/>
      <c r="M129" s="96"/>
    </row>
    <row r="130" spans="1:15" s="49" customFormat="1" ht="16.5" thickBot="1">
      <c r="A130" s="664"/>
      <c r="B130" s="163"/>
      <c r="C130" s="668"/>
      <c r="D130" s="163" t="s">
        <v>630</v>
      </c>
      <c r="E130" s="664"/>
      <c r="F130" s="675"/>
      <c r="G130" s="675"/>
      <c r="H130" s="675"/>
      <c r="I130" s="459"/>
      <c r="J130" s="664"/>
      <c r="K130" s="664"/>
      <c r="L130" s="676"/>
      <c r="M130" s="664"/>
      <c r="N130" s="62"/>
      <c r="O130" s="62"/>
    </row>
    <row r="131" spans="1:15" s="49" customFormat="1" ht="16.5" thickBot="1">
      <c r="B131" s="664"/>
      <c r="C131" s="664"/>
      <c r="D131" s="434">
        <v>3</v>
      </c>
      <c r="E131" s="453" t="s">
        <v>1229</v>
      </c>
      <c r="F131" s="453"/>
      <c r="G131" s="453"/>
      <c r="H131" s="453"/>
      <c r="I131" s="453"/>
      <c r="J131" s="453"/>
      <c r="K131" s="453"/>
      <c r="L131" s="454"/>
      <c r="M131" s="62"/>
      <c r="N131" s="448" t="s">
        <v>336</v>
      </c>
      <c r="O131" s="448" t="s">
        <v>337</v>
      </c>
    </row>
    <row r="132" spans="1:15" s="49" customFormat="1" ht="15.75">
      <c r="B132" s="664"/>
      <c r="C132" s="664"/>
      <c r="D132" s="435" t="str">
        <f>IF(ROUNDDOWN(D131,0)=$N$2,$P$2,$O$2)</f>
        <v>　レベル　1</v>
      </c>
      <c r="E132" s="460" t="s">
        <v>631</v>
      </c>
      <c r="F132" s="500"/>
      <c r="G132" s="500"/>
      <c r="H132" s="500"/>
      <c r="I132" s="500"/>
      <c r="J132" s="500"/>
      <c r="K132" s="500"/>
      <c r="L132" s="508"/>
      <c r="M132" s="664"/>
      <c r="N132" s="449">
        <v>1</v>
      </c>
      <c r="O132" s="452"/>
    </row>
    <row r="133" spans="1:15" s="49" customFormat="1" ht="15.75">
      <c r="B133" s="664"/>
      <c r="C133" s="664"/>
      <c r="D133" s="436" t="str">
        <f>IF(ROUNDDOWN(D131,0)=$N$3,$P$3,$O$3)</f>
        <v>　レベル　2</v>
      </c>
      <c r="E133" s="463" t="s">
        <v>414</v>
      </c>
      <c r="F133" s="501"/>
      <c r="G133" s="501"/>
      <c r="H133" s="501"/>
      <c r="I133" s="501"/>
      <c r="J133" s="501"/>
      <c r="K133" s="501"/>
      <c r="L133" s="509"/>
      <c r="M133" s="62"/>
      <c r="N133" s="449" t="s">
        <v>312</v>
      </c>
      <c r="O133" s="452"/>
    </row>
    <row r="134" spans="1:15" s="49" customFormat="1" ht="15.75">
      <c r="B134" s="664"/>
      <c r="C134" s="664"/>
      <c r="D134" s="436" t="str">
        <f>IF(ROUNDDOWN(D131,0)=$N$4,$P$4,$O$4)</f>
        <v>■レベル　3</v>
      </c>
      <c r="E134" s="463" t="s">
        <v>632</v>
      </c>
      <c r="F134" s="501"/>
      <c r="G134" s="501"/>
      <c r="H134" s="501"/>
      <c r="I134" s="501"/>
      <c r="J134" s="501"/>
      <c r="K134" s="501"/>
      <c r="L134" s="509"/>
      <c r="M134" s="664"/>
      <c r="N134" s="449">
        <v>3</v>
      </c>
      <c r="O134" s="452"/>
    </row>
    <row r="135" spans="1:15" s="49" customFormat="1" ht="15.75">
      <c r="B135" s="664"/>
      <c r="C135" s="664"/>
      <c r="D135" s="436" t="str">
        <f>IF(ROUNDDOWN(D131,0)=$N$5,$P$5,$O$5)</f>
        <v>　レベル　4</v>
      </c>
      <c r="E135" s="466" t="s">
        <v>633</v>
      </c>
      <c r="F135" s="502"/>
      <c r="G135" s="502"/>
      <c r="H135" s="502"/>
      <c r="I135" s="502"/>
      <c r="J135" s="502"/>
      <c r="K135" s="502"/>
      <c r="L135" s="510"/>
      <c r="M135" s="62"/>
      <c r="N135" s="449">
        <v>4</v>
      </c>
      <c r="O135" s="452"/>
    </row>
    <row r="136" spans="1:15" s="49" customFormat="1" ht="15.75">
      <c r="B136" s="664"/>
      <c r="C136" s="664"/>
      <c r="D136" s="437" t="str">
        <f>IF(ROUNDDOWN(D131,0)=$N$6,$P$6,$O$6)</f>
        <v>　レベル　5</v>
      </c>
      <c r="E136" s="469" t="s">
        <v>1333</v>
      </c>
      <c r="F136" s="480"/>
      <c r="G136" s="480"/>
      <c r="H136" s="480"/>
      <c r="I136" s="480"/>
      <c r="J136" s="480"/>
      <c r="K136" s="480"/>
      <c r="L136" s="511"/>
      <c r="M136" s="664"/>
      <c r="N136" s="449">
        <v>5</v>
      </c>
      <c r="O136" s="452"/>
    </row>
    <row r="137" spans="1:15" s="49" customFormat="1" ht="15.75">
      <c r="B137" s="664"/>
      <c r="C137" s="664"/>
      <c r="D137" s="438" t="s">
        <v>341</v>
      </c>
      <c r="E137" s="1002"/>
      <c r="F137" s="494"/>
      <c r="G137" s="494"/>
      <c r="H137" s="679"/>
      <c r="I137"/>
      <c r="J137"/>
      <c r="K137"/>
      <c r="L137"/>
      <c r="M137" s="62"/>
      <c r="N137" s="449" t="s">
        <v>312</v>
      </c>
      <c r="O137" s="452"/>
    </row>
    <row r="138" spans="1:15" customFormat="1"/>
    <row r="139" spans="1:15" s="49" customFormat="1" ht="16.5" thickBot="1">
      <c r="B139" s="664"/>
      <c r="C139" s="664"/>
      <c r="D139" s="163" t="s">
        <v>634</v>
      </c>
      <c r="E139" s="664"/>
      <c r="F139" s="675"/>
      <c r="G139" s="675"/>
      <c r="H139" s="675"/>
      <c r="I139" s="459"/>
      <c r="J139" s="664"/>
      <c r="K139" s="664"/>
      <c r="L139" s="676"/>
      <c r="M139" s="664"/>
      <c r="N139" s="62"/>
      <c r="O139" s="62"/>
    </row>
    <row r="140" spans="1:15" s="49" customFormat="1" ht="16.5" thickBot="1">
      <c r="B140" s="664"/>
      <c r="C140" s="664"/>
      <c r="D140" s="726">
        <v>3</v>
      </c>
      <c r="E140" s="453" t="s">
        <v>1229</v>
      </c>
      <c r="F140" s="453"/>
      <c r="G140" s="453"/>
      <c r="H140" s="453"/>
      <c r="I140" s="453"/>
      <c r="J140" s="453"/>
      <c r="K140" s="453"/>
      <c r="L140" s="454"/>
      <c r="M140" s="62"/>
      <c r="N140" s="448" t="s">
        <v>336</v>
      </c>
      <c r="O140" s="448" t="s">
        <v>337</v>
      </c>
    </row>
    <row r="141" spans="1:15" s="49" customFormat="1" ht="15.75">
      <c r="B141" s="664"/>
      <c r="C141" s="664"/>
      <c r="D141" s="435" t="str">
        <f>IF(ROUNDDOWN(D140,0)=$N$2,$P$2,$O$2)</f>
        <v>　レベル　1</v>
      </c>
      <c r="E141" s="460" t="s">
        <v>414</v>
      </c>
      <c r="F141" s="500"/>
      <c r="G141" s="500"/>
      <c r="H141" s="500"/>
      <c r="I141" s="500"/>
      <c r="J141" s="500"/>
      <c r="K141" s="500"/>
      <c r="L141" s="508"/>
      <c r="M141" s="664"/>
      <c r="N141" s="449" t="s">
        <v>312</v>
      </c>
      <c r="O141" s="452"/>
    </row>
    <row r="142" spans="1:15" s="49" customFormat="1" ht="15.75">
      <c r="B142" s="664"/>
      <c r="C142" s="664"/>
      <c r="D142" s="436" t="str">
        <f>IF(ROUNDDOWN(D140,0)=$N$3,$P$3,$O$3)</f>
        <v>　レベル　2</v>
      </c>
      <c r="E142" s="463" t="s">
        <v>414</v>
      </c>
      <c r="F142" s="501"/>
      <c r="G142" s="501"/>
      <c r="H142" s="501"/>
      <c r="I142" s="501"/>
      <c r="J142" s="501"/>
      <c r="K142" s="501"/>
      <c r="L142" s="509"/>
      <c r="M142" s="62"/>
      <c r="N142" s="449" t="s">
        <v>312</v>
      </c>
      <c r="O142" s="452"/>
    </row>
    <row r="143" spans="1:15" s="49" customFormat="1" ht="15.75">
      <c r="B143" s="664"/>
      <c r="C143" s="664"/>
      <c r="D143" s="436" t="str">
        <f>IF(ROUNDDOWN(D140,0)=$N$4,$P$4,$O$4)</f>
        <v>■レベル　3</v>
      </c>
      <c r="E143" s="463" t="s">
        <v>635</v>
      </c>
      <c r="F143" s="501"/>
      <c r="G143" s="501"/>
      <c r="H143" s="501"/>
      <c r="I143" s="501"/>
      <c r="J143" s="501"/>
      <c r="K143" s="501"/>
      <c r="L143" s="509"/>
      <c r="M143" s="664"/>
      <c r="N143" s="449">
        <v>3</v>
      </c>
      <c r="O143" s="452"/>
    </row>
    <row r="144" spans="1:15" s="49" customFormat="1" ht="15.75">
      <c r="B144" s="664"/>
      <c r="C144" s="664"/>
      <c r="D144" s="436" t="str">
        <f>IF(ROUNDDOWN(D140,0)=$N$5,$P$5,$O$5)</f>
        <v>　レベル　4</v>
      </c>
      <c r="E144" s="466" t="s">
        <v>636</v>
      </c>
      <c r="F144" s="502"/>
      <c r="G144" s="502"/>
      <c r="H144" s="502"/>
      <c r="I144" s="502"/>
      <c r="J144" s="502"/>
      <c r="K144" s="502"/>
      <c r="L144" s="510"/>
      <c r="M144" s="62"/>
      <c r="N144" s="449">
        <v>4</v>
      </c>
      <c r="O144" s="452"/>
    </row>
    <row r="145" spans="1:28" s="49" customFormat="1" ht="15.75">
      <c r="B145" s="664"/>
      <c r="C145" s="664"/>
      <c r="D145" s="437" t="str">
        <f>IF(ROUNDDOWN(D140,0)=$N$6,$P$6,$O$6)</f>
        <v>　レベル　5</v>
      </c>
      <c r="E145" s="469" t="s">
        <v>769</v>
      </c>
      <c r="F145" s="480"/>
      <c r="G145" s="480"/>
      <c r="H145" s="480"/>
      <c r="I145" s="480"/>
      <c r="J145" s="480"/>
      <c r="K145" s="480"/>
      <c r="L145" s="511"/>
      <c r="M145" s="664"/>
      <c r="N145" s="449">
        <v>5</v>
      </c>
      <c r="O145" s="452"/>
    </row>
    <row r="146" spans="1:28" s="49" customFormat="1" ht="15.75">
      <c r="B146" s="664"/>
      <c r="C146" s="664"/>
      <c r="D146" s="438" t="s">
        <v>341</v>
      </c>
      <c r="E146" s="1002"/>
      <c r="F146" s="494"/>
      <c r="G146" s="494"/>
      <c r="H146" s="679"/>
      <c r="I146"/>
      <c r="J146"/>
      <c r="K146"/>
      <c r="L146"/>
      <c r="M146" s="62"/>
      <c r="N146" s="449" t="s">
        <v>312</v>
      </c>
      <c r="O146" s="452"/>
    </row>
    <row r="147" spans="1:28" customFormat="1"/>
    <row r="148" spans="1:28" s="49" customFormat="1" ht="16.5" thickBot="1">
      <c r="B148" s="664"/>
      <c r="C148" s="664"/>
      <c r="D148" s="163" t="s">
        <v>975</v>
      </c>
      <c r="E148" s="447"/>
      <c r="F148" s="495"/>
      <c r="G148" s="495"/>
      <c r="H148" s="495"/>
      <c r="I148" s="459"/>
      <c r="J148" s="447"/>
      <c r="K148" s="447"/>
      <c r="L148" s="727" t="s">
        <v>763</v>
      </c>
      <c r="M148" s="447"/>
      <c r="N148" s="447"/>
      <c r="O148" s="62"/>
    </row>
    <row r="149" spans="1:28" s="49" customFormat="1" ht="16.5" thickBot="1">
      <c r="B149" s="664"/>
      <c r="C149" s="664"/>
      <c r="D149" s="1031">
        <f>IF(G156=O156,0,IF(E157&gt;=O154,N154,IF(E157&gt;=O153,N153,IF(E157&gt;=O152,N152,IF(E157&gt;=O151,N151,N150)))))</f>
        <v>3</v>
      </c>
      <c r="E149" s="453" t="s">
        <v>1229</v>
      </c>
      <c r="F149" s="453"/>
      <c r="G149" s="453"/>
      <c r="H149" s="453"/>
      <c r="I149" s="453"/>
      <c r="J149" s="453"/>
      <c r="K149" s="453"/>
      <c r="L149" s="454"/>
      <c r="M149" s="62"/>
      <c r="N149" s="448" t="s">
        <v>336</v>
      </c>
      <c r="O149" s="448" t="s">
        <v>337</v>
      </c>
    </row>
    <row r="150" spans="1:28" s="49" customFormat="1" ht="15.75">
      <c r="B150" s="664"/>
      <c r="C150" s="664"/>
      <c r="D150" s="435" t="str">
        <f>IF(ROUNDDOWN(D149,0)=$N$2,$P$2,$O$2)</f>
        <v>　レベル　1</v>
      </c>
      <c r="E150" s="460" t="s">
        <v>338</v>
      </c>
      <c r="F150" s="461"/>
      <c r="G150" s="461"/>
      <c r="H150" s="461"/>
      <c r="I150" s="461"/>
      <c r="J150" s="461"/>
      <c r="K150" s="461"/>
      <c r="L150" s="462"/>
      <c r="M150" s="664"/>
      <c r="N150" s="449" t="s">
        <v>312</v>
      </c>
      <c r="O150" s="448"/>
    </row>
    <row r="151" spans="1:28" s="49" customFormat="1" ht="15.75">
      <c r="B151" s="664"/>
      <c r="C151" s="664"/>
      <c r="D151" s="436" t="str">
        <f>IF(ROUNDDOWN(D149,0)=$N$3,$P$3,$O$3)</f>
        <v>　レベル　2</v>
      </c>
      <c r="E151" s="463" t="s">
        <v>956</v>
      </c>
      <c r="F151" s="464"/>
      <c r="G151" s="464"/>
      <c r="H151" s="464"/>
      <c r="I151" s="464"/>
      <c r="J151" s="464"/>
      <c r="K151" s="464"/>
      <c r="L151" s="465"/>
      <c r="M151" s="62"/>
      <c r="N151" s="449">
        <v>2</v>
      </c>
      <c r="O151" s="448">
        <v>0</v>
      </c>
    </row>
    <row r="152" spans="1:28" s="49" customFormat="1" ht="15.75">
      <c r="B152" s="664"/>
      <c r="C152" s="664"/>
      <c r="D152" s="436" t="str">
        <f>IF(ROUNDDOWN(D149,0)=$N$4,$P$4,$O$4)</f>
        <v>■レベル　3</v>
      </c>
      <c r="E152" s="1024" t="s">
        <v>1302</v>
      </c>
      <c r="F152" s="464"/>
      <c r="G152" s="464"/>
      <c r="H152" s="464"/>
      <c r="I152" s="464"/>
      <c r="J152" s="464"/>
      <c r="K152" s="464"/>
      <c r="L152" s="465"/>
      <c r="M152" s="664"/>
      <c r="N152" s="449">
        <v>3</v>
      </c>
      <c r="O152" s="448">
        <v>1</v>
      </c>
    </row>
    <row r="153" spans="1:28" s="49" customFormat="1" ht="15.75">
      <c r="B153" s="664"/>
      <c r="C153" s="664"/>
      <c r="D153" s="436" t="str">
        <f>IF(ROUNDDOWN(D149,0)=$N$5,$P$5,$O$5)</f>
        <v>　レベル　4</v>
      </c>
      <c r="E153" s="1024" t="s">
        <v>1303</v>
      </c>
      <c r="F153" s="467"/>
      <c r="G153" s="467"/>
      <c r="H153" s="467"/>
      <c r="I153" s="467"/>
      <c r="J153" s="467"/>
      <c r="K153" s="467"/>
      <c r="L153" s="468"/>
      <c r="M153" s="62"/>
      <c r="N153" s="449">
        <v>4</v>
      </c>
      <c r="O153" s="448">
        <v>2</v>
      </c>
    </row>
    <row r="154" spans="1:28" s="49" customFormat="1" ht="15.75">
      <c r="B154" s="664"/>
      <c r="C154" s="664"/>
      <c r="D154" s="437" t="str">
        <f>IF(ROUNDDOWN(D149,0)=$N$6,$P$6,$O$6)</f>
        <v>　レベル　5</v>
      </c>
      <c r="E154" s="1026" t="s">
        <v>1304</v>
      </c>
      <c r="F154" s="470"/>
      <c r="G154" s="470"/>
      <c r="H154" s="470"/>
      <c r="I154" s="470"/>
      <c r="J154" s="470"/>
      <c r="K154" s="470"/>
      <c r="L154" s="471"/>
      <c r="M154" s="664"/>
      <c r="N154" s="449">
        <v>5</v>
      </c>
      <c r="O154" s="448">
        <v>3</v>
      </c>
    </row>
    <row r="155" spans="1:28" s="49" customFormat="1" ht="15.75">
      <c r="B155" s="664"/>
      <c r="C155" s="664"/>
      <c r="D155" s="438" t="s">
        <v>341</v>
      </c>
      <c r="E155" s="1002"/>
      <c r="F155" s="494"/>
      <c r="G155" s="494"/>
      <c r="H155" s="679"/>
      <c r="I155" s="737" t="s">
        <v>715</v>
      </c>
      <c r="J155"/>
      <c r="K155"/>
      <c r="L155"/>
      <c r="M155" s="664"/>
      <c r="N155" s="451">
        <v>0</v>
      </c>
      <c r="O155" s="448"/>
    </row>
    <row r="156" spans="1:28" s="49" customFormat="1" ht="15.75">
      <c r="B156" s="664"/>
      <c r="C156" s="664"/>
      <c r="D156" s="438" t="s">
        <v>384</v>
      </c>
      <c r="F156" s="806" t="s">
        <v>973</v>
      </c>
      <c r="G156" s="807"/>
      <c r="H156" s="96"/>
      <c r="I156" s="96"/>
      <c r="J156" s="96"/>
      <c r="K156" s="96"/>
      <c r="L156" s="96"/>
      <c r="M156" s="96"/>
      <c r="N156" s="802"/>
      <c r="O156" s="802" t="s">
        <v>971</v>
      </c>
    </row>
    <row r="157" spans="1:28" s="164" customFormat="1" ht="15.75" thickBot="1">
      <c r="A157" s="96"/>
      <c r="B157" s="96"/>
      <c r="C157" s="50"/>
      <c r="D157" s="174"/>
      <c r="E157" s="493">
        <f>COUNTIF(E158:E161,$R$3)</f>
        <v>1</v>
      </c>
      <c r="F157" s="796" t="s">
        <v>830</v>
      </c>
      <c r="G157" s="1378" t="s">
        <v>831</v>
      </c>
      <c r="H157" s="1379"/>
      <c r="I157" s="1379"/>
      <c r="J157" s="1379"/>
      <c r="K157" s="1379"/>
      <c r="L157" s="1380"/>
      <c r="M157" s="447"/>
      <c r="N157"/>
      <c r="O157"/>
      <c r="P157"/>
      <c r="Q157" s="140"/>
      <c r="R157" s="140"/>
      <c r="S157" s="140"/>
      <c r="T157" s="140"/>
      <c r="U157" s="140"/>
      <c r="V157" s="140"/>
      <c r="W157" s="140"/>
      <c r="X157" s="140"/>
      <c r="Y157" s="140"/>
      <c r="Z157" s="96"/>
      <c r="AA157" s="96"/>
      <c r="AB157" s="140"/>
    </row>
    <row r="158" spans="1:28" s="164" customFormat="1" ht="14.25">
      <c r="A158" s="96"/>
      <c r="B158" s="96"/>
      <c r="C158" s="50"/>
      <c r="D158" s="439" t="s">
        <v>300</v>
      </c>
      <c r="E158" s="440"/>
      <c r="F158" s="797" t="s">
        <v>840</v>
      </c>
      <c r="G158" s="1409" t="s">
        <v>1258</v>
      </c>
      <c r="H158" s="1409"/>
      <c r="I158" s="1409"/>
      <c r="J158" s="1409"/>
      <c r="K158" s="1409"/>
      <c r="L158" s="1410"/>
      <c r="M158" s="96"/>
      <c r="N158"/>
      <c r="O158"/>
      <c r="P158" s="140"/>
      <c r="Q158" s="140"/>
      <c r="R158" s="140"/>
      <c r="S158" s="140"/>
      <c r="T158" s="140"/>
      <c r="U158" s="140"/>
      <c r="V158" s="140"/>
      <c r="W158" s="140"/>
      <c r="X158" s="140"/>
      <c r="Y158" s="140"/>
      <c r="Z158" s="96"/>
      <c r="AA158" s="96"/>
      <c r="AB158" s="140"/>
    </row>
    <row r="159" spans="1:28" s="164" customFormat="1" ht="14.25">
      <c r="A159" s="96"/>
      <c r="B159" s="96"/>
      <c r="C159" s="50"/>
      <c r="D159" s="439" t="s">
        <v>301</v>
      </c>
      <c r="E159" s="441"/>
      <c r="F159" s="797" t="s">
        <v>842</v>
      </c>
      <c r="G159" s="1409" t="s">
        <v>637</v>
      </c>
      <c r="H159" s="1409"/>
      <c r="I159" s="1409"/>
      <c r="J159" s="1409"/>
      <c r="K159" s="1409"/>
      <c r="L159" s="1410"/>
      <c r="M159" s="96"/>
      <c r="N159"/>
      <c r="O159"/>
      <c r="P159" s="140"/>
      <c r="Q159" s="140"/>
      <c r="R159" s="140"/>
      <c r="S159" s="140"/>
      <c r="T159" s="140"/>
      <c r="U159" s="140"/>
      <c r="V159" s="140"/>
      <c r="W159" s="140"/>
      <c r="X159" s="140"/>
      <c r="Y159" s="140"/>
      <c r="Z159" s="96"/>
      <c r="AA159" s="96"/>
      <c r="AB159" s="140"/>
    </row>
    <row r="160" spans="1:28" s="164" customFormat="1" ht="14.25">
      <c r="A160" s="96"/>
      <c r="B160" s="96"/>
      <c r="C160" s="50"/>
      <c r="D160" s="439" t="s">
        <v>302</v>
      </c>
      <c r="E160" s="441" t="s">
        <v>390</v>
      </c>
      <c r="F160" s="797" t="s">
        <v>844</v>
      </c>
      <c r="G160" s="1409" t="s">
        <v>638</v>
      </c>
      <c r="H160" s="1409"/>
      <c r="I160" s="1409"/>
      <c r="J160" s="1409"/>
      <c r="K160" s="1409"/>
      <c r="L160" s="1410"/>
      <c r="M160" s="96"/>
      <c r="N160"/>
      <c r="O160"/>
      <c r="P160" s="140"/>
      <c r="Q160" s="140"/>
      <c r="R160" s="140"/>
      <c r="S160" s="140"/>
      <c r="T160" s="140"/>
      <c r="U160" s="140"/>
      <c r="V160" s="140"/>
      <c r="W160" s="140"/>
      <c r="X160" s="140"/>
      <c r="Y160" s="140"/>
      <c r="Z160" s="96"/>
      <c r="AA160" s="96"/>
      <c r="AB160" s="140"/>
    </row>
    <row r="161" spans="1:28" s="164" customFormat="1" ht="15" thickBot="1">
      <c r="A161" s="96"/>
      <c r="B161" s="96"/>
      <c r="C161" s="50"/>
      <c r="D161" s="439" t="s">
        <v>303</v>
      </c>
      <c r="E161" s="442"/>
      <c r="F161" s="797" t="s">
        <v>846</v>
      </c>
      <c r="G161" s="1409" t="s">
        <v>639</v>
      </c>
      <c r="H161" s="1409"/>
      <c r="I161" s="1409"/>
      <c r="J161" s="1409"/>
      <c r="K161" s="1409"/>
      <c r="L161" s="1410"/>
      <c r="M161" s="96"/>
      <c r="N161"/>
      <c r="O161"/>
      <c r="P161" s="140"/>
      <c r="Q161" s="140"/>
      <c r="R161" s="140"/>
      <c r="S161" s="140"/>
      <c r="T161" s="140"/>
      <c r="U161" s="140"/>
      <c r="V161" s="140"/>
      <c r="W161" s="140"/>
      <c r="X161" s="140"/>
      <c r="Y161" s="140"/>
      <c r="Z161" s="96"/>
      <c r="AA161" s="96"/>
      <c r="AB161" s="140"/>
    </row>
    <row r="162" spans="1:28" s="164" customFormat="1">
      <c r="A162" s="96"/>
      <c r="B162" s="96"/>
      <c r="C162" s="96"/>
      <c r="D162" s="96"/>
      <c r="P162" s="96"/>
      <c r="Q162" s="140"/>
      <c r="R162" s="140"/>
      <c r="S162" s="140"/>
      <c r="T162" s="140"/>
      <c r="U162" s="140"/>
      <c r="V162" s="140"/>
      <c r="W162" s="140"/>
      <c r="X162" s="140"/>
      <c r="Y162" s="140"/>
      <c r="Z162" s="140"/>
      <c r="AA162" s="96"/>
      <c r="AB162" s="96"/>
    </row>
    <row r="163" spans="1:28" s="164" customFormat="1">
      <c r="A163" s="96"/>
      <c r="B163" s="96"/>
      <c r="C163" s="96"/>
      <c r="D163" s="96"/>
      <c r="E163" s="96"/>
      <c r="F163" s="96"/>
      <c r="G163" s="96"/>
      <c r="H163" s="96"/>
      <c r="I163" s="96"/>
      <c r="J163" s="96"/>
      <c r="K163" s="96"/>
      <c r="L163" s="96"/>
      <c r="M163" s="96"/>
      <c r="N163" s="140"/>
      <c r="O163" s="140"/>
      <c r="P163" s="140"/>
      <c r="Q163" s="140"/>
      <c r="R163" s="140"/>
      <c r="S163" s="140"/>
      <c r="T163" s="140"/>
      <c r="U163" s="140"/>
      <c r="V163" s="140"/>
      <c r="W163" s="140"/>
      <c r="X163" s="140"/>
      <c r="Y163" s="140"/>
      <c r="Z163" s="140"/>
      <c r="AA163" s="96"/>
      <c r="AB163" s="96"/>
    </row>
    <row r="164" spans="1:28" s="164" customFormat="1">
      <c r="A164" s="96"/>
      <c r="B164" s="96"/>
      <c r="C164" s="96"/>
      <c r="D164" s="96"/>
      <c r="E164" s="96"/>
      <c r="F164" s="96"/>
      <c r="G164" s="96"/>
      <c r="H164" s="96"/>
      <c r="I164" s="96"/>
      <c r="J164" s="96"/>
      <c r="K164" s="96"/>
      <c r="L164" s="96"/>
      <c r="M164" s="96"/>
      <c r="N164" s="140"/>
      <c r="O164" s="140"/>
      <c r="P164" s="140"/>
      <c r="Q164" s="140"/>
      <c r="R164" s="140"/>
      <c r="S164" s="140"/>
      <c r="T164" s="140"/>
      <c r="U164" s="140"/>
      <c r="V164" s="140"/>
      <c r="W164" s="140"/>
      <c r="X164" s="140"/>
      <c r="Y164" s="140"/>
      <c r="Z164" s="140"/>
      <c r="AA164" s="96"/>
      <c r="AB164" s="96"/>
    </row>
    <row r="165" spans="1:28" s="164" customFormat="1">
      <c r="A165" s="96"/>
      <c r="B165" s="96"/>
      <c r="C165" s="96"/>
      <c r="D165" s="96"/>
      <c r="E165" s="96"/>
      <c r="F165" s="96"/>
      <c r="G165" s="96"/>
      <c r="H165" s="96"/>
      <c r="I165" s="96"/>
      <c r="J165" s="96"/>
      <c r="K165" s="96"/>
      <c r="L165" s="96"/>
      <c r="M165" s="96"/>
      <c r="N165" s="140"/>
      <c r="O165" s="140"/>
      <c r="P165" s="140"/>
      <c r="Q165" s="140"/>
      <c r="R165" s="140"/>
      <c r="S165" s="140"/>
      <c r="T165" s="140"/>
      <c r="U165" s="140"/>
      <c r="V165" s="140"/>
      <c r="W165" s="140"/>
      <c r="X165" s="140"/>
      <c r="Y165" s="140"/>
      <c r="Z165" s="140"/>
      <c r="AA165" s="96"/>
      <c r="AB165" s="96"/>
    </row>
    <row r="166" spans="1:28" s="164" customFormat="1">
      <c r="A166" s="96"/>
      <c r="B166" s="96"/>
      <c r="C166" s="96"/>
      <c r="D166" s="96"/>
      <c r="E166" s="96"/>
      <c r="F166" s="96"/>
      <c r="G166" s="96"/>
      <c r="H166" s="96"/>
      <c r="I166" s="96"/>
      <c r="J166" s="96"/>
      <c r="K166" s="96"/>
      <c r="L166" s="96"/>
      <c r="M166" s="96"/>
      <c r="N166" s="140"/>
      <c r="O166" s="140"/>
      <c r="P166" s="140"/>
      <c r="Q166" s="140"/>
      <c r="R166" s="140"/>
      <c r="S166" s="140"/>
      <c r="T166" s="140"/>
      <c r="U166" s="140"/>
      <c r="V166" s="140"/>
      <c r="W166" s="140"/>
      <c r="X166" s="140"/>
      <c r="Y166" s="140"/>
      <c r="Z166" s="140"/>
      <c r="AA166" s="96"/>
      <c r="AB166" s="96"/>
    </row>
    <row r="167" spans="1:28" s="164" customFormat="1">
      <c r="A167" s="96"/>
      <c r="B167" s="96"/>
      <c r="C167" s="96"/>
      <c r="D167" s="96"/>
      <c r="E167" s="96"/>
      <c r="F167" s="96"/>
      <c r="G167" s="96"/>
      <c r="H167" s="96"/>
      <c r="I167" s="96"/>
      <c r="J167" s="96"/>
      <c r="K167" s="96"/>
      <c r="L167" s="96"/>
      <c r="M167" s="96"/>
      <c r="N167" s="140"/>
      <c r="O167" s="140"/>
      <c r="P167" s="140"/>
      <c r="Q167" s="140"/>
      <c r="R167" s="140"/>
      <c r="S167" s="140"/>
      <c r="T167" s="140"/>
      <c r="U167" s="140"/>
      <c r="V167" s="140"/>
      <c r="W167" s="140"/>
      <c r="X167" s="140"/>
      <c r="Y167" s="140"/>
      <c r="Z167" s="140"/>
      <c r="AA167" s="96"/>
      <c r="AB167" s="96"/>
    </row>
    <row r="168" spans="1:28" s="164" customFormat="1">
      <c r="A168" s="96"/>
      <c r="B168" s="96"/>
      <c r="C168" s="96"/>
      <c r="D168" s="96"/>
      <c r="E168" s="96"/>
      <c r="F168" s="96"/>
      <c r="G168" s="96"/>
      <c r="H168" s="96"/>
      <c r="I168" s="96"/>
      <c r="J168" s="96"/>
      <c r="K168" s="96"/>
      <c r="L168" s="96"/>
      <c r="M168" s="96"/>
      <c r="N168" s="140"/>
      <c r="O168" s="140"/>
      <c r="P168" s="140"/>
      <c r="Q168" s="140"/>
      <c r="R168" s="140"/>
      <c r="S168" s="140"/>
      <c r="T168" s="140"/>
      <c r="U168" s="140"/>
      <c r="V168" s="140"/>
      <c r="W168" s="140"/>
      <c r="X168" s="140"/>
      <c r="Y168" s="140"/>
      <c r="Z168" s="140"/>
      <c r="AA168" s="96"/>
      <c r="AB168" s="96"/>
    </row>
    <row r="169" spans="1:28" s="164" customFormat="1">
      <c r="A169" s="96"/>
      <c r="B169" s="96"/>
      <c r="C169" s="96"/>
      <c r="D169" s="96"/>
      <c r="E169" s="96"/>
      <c r="F169" s="96"/>
      <c r="G169" s="96"/>
      <c r="H169" s="96"/>
      <c r="I169" s="96"/>
      <c r="J169" s="96"/>
      <c r="K169" s="96"/>
      <c r="L169" s="96"/>
      <c r="M169" s="96"/>
      <c r="N169" s="140"/>
      <c r="O169" s="140"/>
      <c r="P169" s="140"/>
      <c r="Q169" s="140"/>
      <c r="R169" s="140"/>
      <c r="S169" s="140"/>
      <c r="T169" s="140"/>
      <c r="U169" s="140"/>
      <c r="V169" s="140"/>
      <c r="W169" s="140"/>
      <c r="X169" s="140"/>
      <c r="Y169" s="140"/>
      <c r="Z169" s="140"/>
      <c r="AA169" s="96"/>
      <c r="AB169" s="96"/>
    </row>
    <row r="170" spans="1:28" s="164" customFormat="1">
      <c r="A170" s="96"/>
      <c r="B170" s="96"/>
      <c r="C170" s="96"/>
      <c r="D170" s="96"/>
      <c r="E170" s="96"/>
      <c r="F170" s="96"/>
      <c r="G170" s="96"/>
      <c r="H170" s="96"/>
      <c r="I170" s="96"/>
      <c r="J170" s="96"/>
      <c r="K170" s="96"/>
      <c r="L170" s="96"/>
      <c r="M170" s="96"/>
      <c r="N170" s="140"/>
      <c r="O170" s="140"/>
      <c r="P170" s="140"/>
      <c r="Q170" s="140"/>
      <c r="R170" s="140"/>
      <c r="S170" s="140"/>
      <c r="T170" s="140"/>
      <c r="U170" s="140"/>
      <c r="V170" s="140"/>
      <c r="W170" s="140"/>
      <c r="X170" s="140"/>
      <c r="Y170" s="140"/>
      <c r="Z170" s="140"/>
      <c r="AA170" s="96"/>
      <c r="AB170" s="96"/>
    </row>
    <row r="171" spans="1:28" s="164" customFormat="1">
      <c r="A171" s="96"/>
      <c r="B171" s="96"/>
      <c r="C171" s="96"/>
      <c r="D171" s="96"/>
      <c r="E171" s="96"/>
      <c r="F171" s="96"/>
      <c r="G171" s="96"/>
      <c r="H171" s="96"/>
      <c r="I171" s="96"/>
      <c r="J171" s="96"/>
      <c r="K171" s="96"/>
      <c r="L171" s="96"/>
      <c r="M171" s="96"/>
      <c r="N171" s="140"/>
      <c r="O171" s="140"/>
      <c r="P171" s="140"/>
      <c r="Q171" s="140"/>
      <c r="R171" s="140"/>
      <c r="S171" s="140"/>
      <c r="T171" s="140"/>
      <c r="U171" s="140"/>
      <c r="V171" s="140"/>
      <c r="W171" s="140"/>
      <c r="X171" s="140"/>
      <c r="Y171" s="140"/>
      <c r="Z171" s="140"/>
      <c r="AA171" s="96"/>
      <c r="AB171" s="96"/>
    </row>
    <row r="172" spans="1:28" s="164" customFormat="1">
      <c r="A172" s="96"/>
      <c r="B172" s="96"/>
      <c r="C172" s="96"/>
      <c r="D172" s="96"/>
      <c r="E172" s="96"/>
      <c r="F172" s="96"/>
      <c r="G172" s="96"/>
      <c r="H172" s="96"/>
      <c r="I172" s="96"/>
      <c r="J172" s="96"/>
      <c r="K172" s="96"/>
      <c r="L172" s="96"/>
      <c r="M172" s="96"/>
      <c r="N172" s="140"/>
      <c r="O172" s="140"/>
      <c r="P172" s="140"/>
      <c r="Q172" s="140"/>
      <c r="R172" s="140"/>
      <c r="S172" s="140"/>
      <c r="T172" s="140"/>
      <c r="U172" s="140"/>
      <c r="V172" s="140"/>
      <c r="W172" s="140"/>
      <c r="X172" s="140"/>
      <c r="Y172" s="140"/>
      <c r="Z172" s="140"/>
      <c r="AA172" s="96"/>
      <c r="AB172" s="96"/>
    </row>
  </sheetData>
  <sheetProtection algorithmName="SHA-512" hashValue="0UjmnOePJlv0kagY8qa4ImfoRhzbIUQmUeWR2NfdHqZFVlxC2nB5pkAQwNIR/DF4uR9sIYFA7foKkon9LZT2lA==" saltValue="g97J/jbUNVwfV0Tk2c+77g==" spinCount="100000" sheet="1" formatCells="0"/>
  <mergeCells count="28">
    <mergeCell ref="F36:H36"/>
    <mergeCell ref="F37:H37"/>
    <mergeCell ref="F38:H38"/>
    <mergeCell ref="F39:H39"/>
    <mergeCell ref="F40:H40"/>
    <mergeCell ref="I38:L38"/>
    <mergeCell ref="D53:D54"/>
    <mergeCell ref="F84:H84"/>
    <mergeCell ref="J83:L83"/>
    <mergeCell ref="J84:L84"/>
    <mergeCell ref="E57:H57"/>
    <mergeCell ref="I56:L56"/>
    <mergeCell ref="I57:L57"/>
    <mergeCell ref="I58:L58"/>
    <mergeCell ref="F73:H73"/>
    <mergeCell ref="F74:H74"/>
    <mergeCell ref="J73:L73"/>
    <mergeCell ref="J72:L72"/>
    <mergeCell ref="J74:L74"/>
    <mergeCell ref="G159:L159"/>
    <mergeCell ref="G160:L160"/>
    <mergeCell ref="G161:L161"/>
    <mergeCell ref="J99:K99"/>
    <mergeCell ref="G157:L157"/>
    <mergeCell ref="G158:L158"/>
    <mergeCell ref="F102:H102"/>
    <mergeCell ref="F104:H104"/>
    <mergeCell ref="F99:G99"/>
  </mergeCells>
  <phoneticPr fontId="3"/>
  <conditionalFormatting sqref="D23">
    <cfRule type="expression" dxfId="41" priority="21" stopIfTrue="1">
      <formula>AND(OR(D23&lt;1,D23&gt;5),D23&lt;&gt;0)</formula>
    </cfRule>
  </conditionalFormatting>
  <conditionalFormatting sqref="D89">
    <cfRule type="expression" dxfId="40" priority="24" stopIfTrue="1">
      <formula>AND(OR(D89&lt;1,D89&gt;5),D89&lt;&gt;0)</formula>
    </cfRule>
  </conditionalFormatting>
  <conditionalFormatting sqref="D112">
    <cfRule type="expression" dxfId="39" priority="19" stopIfTrue="1">
      <formula>AND(OR(D112&lt;1,D112&gt;5),D112&lt;&gt;0)</formula>
    </cfRule>
  </conditionalFormatting>
  <conditionalFormatting sqref="D121">
    <cfRule type="expression" dxfId="38" priority="18" stopIfTrue="1">
      <formula>AND(OR(D121&lt;1,D121&gt;5),D121&lt;&gt;0)</formula>
    </cfRule>
  </conditionalFormatting>
  <conditionalFormatting sqref="D131">
    <cfRule type="expression" dxfId="37" priority="17" stopIfTrue="1">
      <formula>AND(OR(D131&lt;1,D131&gt;5),D131&lt;&gt;0)</formula>
    </cfRule>
  </conditionalFormatting>
  <conditionalFormatting sqref="D140">
    <cfRule type="expression" dxfId="36" priority="16" stopIfTrue="1">
      <formula>AND(OR(D140&lt;1,D140&gt;5),D140&lt;&gt;0)</formula>
    </cfRule>
  </conditionalFormatting>
  <conditionalFormatting sqref="D149">
    <cfRule type="expression" dxfId="35" priority="14" stopIfTrue="1">
      <formula>AND(OR(D149&lt;1,D149&gt;5),D149&lt;&gt;0)</formula>
    </cfRule>
  </conditionalFormatting>
  <conditionalFormatting sqref="D69:E69 D14 D35:E35 D53">
    <cfRule type="expression" dxfId="34" priority="20" stopIfTrue="1">
      <formula>AND(OR(D14&lt;1,D14&gt;5),D14&lt;&gt;0)</formula>
    </cfRule>
  </conditionalFormatting>
  <conditionalFormatting sqref="D79:E79">
    <cfRule type="expression" dxfId="33" priority="9" stopIfTrue="1">
      <formula>AND(OR(D79&lt;1,D79&gt;5),D79&lt;&gt;0)</formula>
    </cfRule>
  </conditionalFormatting>
  <conditionalFormatting sqref="D99:E99">
    <cfRule type="expression" dxfId="32" priority="3" stopIfTrue="1">
      <formula>AND(OR(D99&lt;1,D99&gt;5),D99&lt;&gt;0)</formula>
    </cfRule>
  </conditionalFormatting>
  <conditionalFormatting sqref="E45:E50">
    <cfRule type="expression" dxfId="31" priority="12" stopIfTrue="1">
      <formula>$E$210="対象外"</formula>
    </cfRule>
  </conditionalFormatting>
  <conditionalFormatting sqref="E69">
    <cfRule type="expression" dxfId="30" priority="11">
      <formula>$G$69=0</formula>
    </cfRule>
  </conditionalFormatting>
  <conditionalFormatting sqref="E79">
    <cfRule type="expression" dxfId="29" priority="8">
      <formula>$G$79=0</formula>
    </cfRule>
  </conditionalFormatting>
  <conditionalFormatting sqref="E99">
    <cfRule type="expression" dxfId="28" priority="2">
      <formula>$H$99=0</formula>
    </cfRule>
  </conditionalFormatting>
  <conditionalFormatting sqref="E158:E161">
    <cfRule type="expression" dxfId="27" priority="13" stopIfTrue="1">
      <formula>$E$210="対象外"</formula>
    </cfRule>
  </conditionalFormatting>
  <conditionalFormatting sqref="I69">
    <cfRule type="expression" dxfId="26" priority="10">
      <formula>$K$69=0</formula>
    </cfRule>
    <cfRule type="expression" dxfId="25" priority="51" stopIfTrue="1">
      <formula>AND(OR(I69&lt;1,I69&gt;5),I69&lt;&gt;0)</formula>
    </cfRule>
  </conditionalFormatting>
  <conditionalFormatting sqref="I79">
    <cfRule type="expression" dxfId="24" priority="6">
      <formula>$K$79=0</formula>
    </cfRule>
    <cfRule type="expression" dxfId="23" priority="7" stopIfTrue="1">
      <formula>AND(OR(I79&lt;1,I79&gt;5),I79&lt;&gt;0)</formula>
    </cfRule>
  </conditionalFormatting>
  <conditionalFormatting sqref="I99">
    <cfRule type="expression" dxfId="22" priority="1">
      <formula>$L$99=0</formula>
    </cfRule>
    <cfRule type="expression" dxfId="21" priority="27" stopIfTrue="1">
      <formula>AND(OR(I99&lt;1,I99&gt;5),I99&lt;&gt;0)</formula>
    </cfRule>
  </conditionalFormatting>
  <dataValidations count="8">
    <dataValidation type="list" allowBlank="1" showInputMessage="1" showErrorMessage="1" sqref="I69" xr:uid="{28499B2E-A3C2-4EF1-87C7-0B28D53902FF}">
      <formula1>$R$70:$R$75</formula1>
    </dataValidation>
    <dataValidation type="list" allowBlank="1" showInputMessage="1" showErrorMessage="1" sqref="I99" xr:uid="{B03DA339-7D14-42E0-BEF0-7016A6D8B1C4}">
      <formula1>$R$100:$R$105</formula1>
    </dataValidation>
    <dataValidation type="list" allowBlank="1" showInputMessage="1" showErrorMessage="1" sqref="D89 D140 D23 D14 D112 D121 D131" xr:uid="{03AE37F0-A6E5-4E03-8B11-D69461413153}">
      <formula1>N15:N20</formula1>
    </dataValidation>
    <dataValidation allowBlank="1" showInputMessage="1" sqref="D149" xr:uid="{A20DDF42-2AB0-41EE-B704-B45E9C91FB8B}"/>
    <dataValidation type="list" allowBlank="1" showInputMessage="1" showErrorMessage="1" sqref="E158:E161 E45:E50" xr:uid="{484D2F88-1CC8-46CD-B8E5-76A075DD8413}">
      <formula1>$R$2:$R$4</formula1>
    </dataValidation>
    <dataValidation type="list" allowBlank="1" showInputMessage="1" showErrorMessage="1" sqref="G156" xr:uid="{646C2E68-B945-481E-A006-FDABFB833FFE}">
      <formula1>O155:O156</formula1>
    </dataValidation>
    <dataValidation type="list" allowBlank="1" showInputMessage="1" showErrorMessage="1" sqref="E79 I79 E69 E99" xr:uid="{E22BF47F-2C54-44C3-8295-FCDC85E58002}">
      <formula1>N70:N75</formula1>
    </dataValidation>
    <dataValidation type="list" allowBlank="1" showInputMessage="1" showErrorMessage="1" sqref="F42" xr:uid="{3DB68B25-6710-415C-9E29-7A30D0003D9A}">
      <formula1>$R$5:$R$6</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30" max="12"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52E6-571C-4F01-95CC-17147489F82E}">
  <sheetPr>
    <pageSetUpPr autoPageBreaks="0" fitToPage="1"/>
  </sheetPr>
  <dimension ref="A1:AB255"/>
  <sheetViews>
    <sheetView showGridLines="0" zoomScaleNormal="100" zoomScaleSheetLayoutView="85" workbookViewId="0">
      <selection activeCell="E21" sqref="E21"/>
    </sheetView>
  </sheetViews>
  <sheetFormatPr defaultColWidth="9" defaultRowHeight="13.5"/>
  <cols>
    <col min="1" max="1" width="0.75" style="96" customWidth="1"/>
    <col min="2" max="2" width="2" style="96" customWidth="1"/>
    <col min="3" max="3" width="2.875" style="96" customWidth="1"/>
    <col min="4" max="4" width="14.25" style="96" customWidth="1"/>
    <col min="5" max="10" width="14.75" style="96" customWidth="1"/>
    <col min="11" max="12" width="10.875" style="96" customWidth="1"/>
    <col min="13" max="13" width="1.75" style="96" customWidth="1"/>
    <col min="14" max="16" width="6.5" style="140" hidden="1" customWidth="1"/>
    <col min="17" max="17" width="6.875" style="140" hidden="1" customWidth="1"/>
    <col min="18" max="19" width="7.625" style="140" hidden="1" customWidth="1"/>
    <col min="20" max="22" width="7.625" style="140" customWidth="1"/>
    <col min="23" max="26" width="8.875" style="140" customWidth="1"/>
    <col min="27" max="16384" width="9" style="96"/>
  </cols>
  <sheetData>
    <row r="1" spans="1:27" customFormat="1">
      <c r="I1" s="483" t="s">
        <v>319</v>
      </c>
      <c r="J1" s="484" t="str">
        <f>メイン!C10</f>
        <v>Aプロジェクト</v>
      </c>
      <c r="K1" s="485"/>
      <c r="L1" s="484"/>
      <c r="N1" s="140"/>
      <c r="O1" s="140"/>
      <c r="P1" s="140"/>
      <c r="Q1" s="140"/>
      <c r="R1" s="140"/>
    </row>
    <row r="2" spans="1:27" customFormat="1" ht="14.25" hidden="1">
      <c r="N2" s="448">
        <v>1</v>
      </c>
      <c r="O2" s="448" t="s">
        <v>320</v>
      </c>
      <c r="P2" s="448" t="s">
        <v>321</v>
      </c>
      <c r="Q2" s="140"/>
      <c r="R2" s="369" t="s">
        <v>312</v>
      </c>
    </row>
    <row r="3" spans="1:27" customFormat="1" ht="14.25" hidden="1">
      <c r="N3" s="448">
        <v>2</v>
      </c>
      <c r="O3" s="448" t="s">
        <v>322</v>
      </c>
      <c r="P3" s="448" t="s">
        <v>323</v>
      </c>
      <c r="Q3" s="140"/>
      <c r="R3" s="369" t="s">
        <v>324</v>
      </c>
    </row>
    <row r="4" spans="1:27" customFormat="1" ht="14.25" hidden="1">
      <c r="N4" s="448">
        <v>3</v>
      </c>
      <c r="O4" s="448" t="s">
        <v>325</v>
      </c>
      <c r="P4" s="448" t="s">
        <v>326</v>
      </c>
      <c r="Q4" s="140"/>
      <c r="R4" s="444" t="s">
        <v>327</v>
      </c>
    </row>
    <row r="5" spans="1:27" customFormat="1" ht="14.25" hidden="1">
      <c r="N5" s="448">
        <v>4</v>
      </c>
      <c r="O5" s="448" t="s">
        <v>328</v>
      </c>
      <c r="P5" s="448" t="s">
        <v>329</v>
      </c>
      <c r="Q5" s="140"/>
      <c r="R5" s="140"/>
    </row>
    <row r="6" spans="1:27" customFormat="1" ht="14.25" hidden="1">
      <c r="N6" s="448">
        <v>5</v>
      </c>
      <c r="O6" s="448" t="s">
        <v>330</v>
      </c>
      <c r="P6" s="448" t="s">
        <v>331</v>
      </c>
    </row>
    <row r="7" spans="1:27" customFormat="1" hidden="1">
      <c r="G7" s="96"/>
    </row>
    <row r="8" spans="1:27" customFormat="1" hidden="1"/>
    <row r="9" spans="1:27" s="7" customFormat="1" ht="18.75" thickBot="1">
      <c r="A9" s="670"/>
      <c r="B9" s="665" t="s">
        <v>1213</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50" customFormat="1" ht="16.5" thickBot="1">
      <c r="B12" s="666" t="s">
        <v>1078</v>
      </c>
      <c r="C12" s="666"/>
      <c r="D12" s="163"/>
      <c r="E12" s="664"/>
      <c r="F12" s="675"/>
      <c r="G12" s="675"/>
      <c r="H12" s="675"/>
      <c r="I12" s="459"/>
      <c r="J12" s="664"/>
      <c r="K12" s="664"/>
      <c r="L12" s="676"/>
      <c r="M12" s="664"/>
      <c r="N12" s="62"/>
      <c r="O12" s="62"/>
    </row>
    <row r="13" spans="1:27" s="50" customFormat="1" ht="21" customHeight="1" thickBot="1">
      <c r="B13" s="666"/>
      <c r="C13" s="666"/>
      <c r="D13" s="1031">
        <f>IF(E26=R3,N18,IF(E25=R3,N17,IF(E24=R3,N16,IF(OR(E23=R3,E22=R3,E21=R3),N15,N14))))</f>
        <v>2</v>
      </c>
      <c r="E13" s="453" t="s">
        <v>1229</v>
      </c>
      <c r="F13" s="453"/>
      <c r="G13" s="453"/>
      <c r="H13" s="453"/>
      <c r="I13" s="453"/>
      <c r="J13" s="453"/>
      <c r="K13" s="453"/>
      <c r="L13" s="454"/>
      <c r="M13" s="664"/>
      <c r="N13" s="448" t="s">
        <v>336</v>
      </c>
      <c r="O13" s="448" t="s">
        <v>337</v>
      </c>
    </row>
    <row r="14" spans="1:27" s="50" customFormat="1" ht="27" customHeight="1">
      <c r="B14" s="666"/>
      <c r="C14" s="666"/>
      <c r="D14" s="435" t="str">
        <f>IF(ROUNDDOWN(D13,0)=$N$2,$P$2,$O$2)</f>
        <v>　レベル　1</v>
      </c>
      <c r="E14" s="460" t="s">
        <v>1305</v>
      </c>
      <c r="F14" s="500"/>
      <c r="G14" s="500"/>
      <c r="H14" s="500"/>
      <c r="I14" s="500"/>
      <c r="J14" s="500"/>
      <c r="K14" s="500"/>
      <c r="L14" s="508"/>
      <c r="M14" s="664"/>
      <c r="N14" s="449">
        <v>1</v>
      </c>
      <c r="O14" s="728" t="s">
        <v>717</v>
      </c>
    </row>
    <row r="15" spans="1:27" s="50" customFormat="1" ht="54" customHeight="1">
      <c r="B15" s="666"/>
      <c r="C15" s="666"/>
      <c r="D15" s="436" t="str">
        <f>IF(ROUNDDOWN(D13,0)=$N$3,$P$3,$O$3)</f>
        <v>■レベル　2</v>
      </c>
      <c r="E15" s="1417" t="s">
        <v>820</v>
      </c>
      <c r="F15" s="1418"/>
      <c r="G15" s="1418"/>
      <c r="H15" s="1418"/>
      <c r="I15" s="1418"/>
      <c r="J15" s="1418"/>
      <c r="K15" s="1418"/>
      <c r="L15" s="1419"/>
      <c r="M15" s="664"/>
      <c r="N15" s="449">
        <v>2</v>
      </c>
      <c r="O15" s="728" t="s">
        <v>718</v>
      </c>
    </row>
    <row r="16" spans="1:27" s="50" customFormat="1" ht="28.9" customHeight="1">
      <c r="B16" s="666"/>
      <c r="C16" s="666"/>
      <c r="D16" s="436" t="str">
        <f>IF(ROUNDDOWN(D13,0)=$N$4,$P$4,$O$4)</f>
        <v>　レベル　3</v>
      </c>
      <c r="E16" s="1417" t="s">
        <v>821</v>
      </c>
      <c r="F16" s="1418"/>
      <c r="G16" s="1418"/>
      <c r="H16" s="1418"/>
      <c r="I16" s="1418"/>
      <c r="J16" s="1418"/>
      <c r="K16" s="1418"/>
      <c r="L16" s="1419"/>
      <c r="M16" s="664"/>
      <c r="N16" s="449">
        <v>3</v>
      </c>
      <c r="O16" s="728" t="s">
        <v>719</v>
      </c>
    </row>
    <row r="17" spans="2:15" s="50" customFormat="1" ht="28.15" customHeight="1">
      <c r="B17" s="666"/>
      <c r="C17" s="666"/>
      <c r="D17" s="436" t="str">
        <f>IF(ROUNDDOWN(D13,0)=$N$5,$P$5,$O$5)</f>
        <v>　レベル　4</v>
      </c>
      <c r="E17" s="1424" t="s">
        <v>822</v>
      </c>
      <c r="F17" s="1431"/>
      <c r="G17" s="1431"/>
      <c r="H17" s="1431"/>
      <c r="I17" s="1431"/>
      <c r="J17" s="1431"/>
      <c r="K17" s="1431"/>
      <c r="L17" s="1432"/>
      <c r="M17" s="664"/>
      <c r="N17" s="449">
        <v>4</v>
      </c>
      <c r="O17" s="728" t="s">
        <v>720</v>
      </c>
    </row>
    <row r="18" spans="2:15" s="50" customFormat="1" ht="40.15" customHeight="1">
      <c r="B18" s="666"/>
      <c r="C18" s="666"/>
      <c r="D18" s="437" t="str">
        <f>IF(ROUNDDOWN(D13,0)=$N$6,$P$6,$O$6)</f>
        <v>　レベル　5</v>
      </c>
      <c r="E18" s="1391" t="s">
        <v>823</v>
      </c>
      <c r="F18" s="1392"/>
      <c r="G18" s="1392"/>
      <c r="H18" s="1392"/>
      <c r="I18" s="1392"/>
      <c r="J18" s="1392"/>
      <c r="K18" s="1392"/>
      <c r="L18" s="1393"/>
      <c r="M18" s="664"/>
      <c r="N18" s="449">
        <v>5</v>
      </c>
      <c r="O18" s="728" t="s">
        <v>721</v>
      </c>
    </row>
    <row r="19" spans="2:15" s="50" customFormat="1" ht="15.75">
      <c r="B19" s="666"/>
      <c r="C19" s="666"/>
      <c r="D19" s="438" t="s">
        <v>341</v>
      </c>
      <c r="E19" s="1002"/>
      <c r="F19" s="494"/>
      <c r="G19" s="494"/>
      <c r="H19" s="679"/>
      <c r="I19"/>
      <c r="J19"/>
      <c r="K19"/>
      <c r="L19"/>
      <c r="M19" s="664"/>
      <c r="N19" s="449" t="s">
        <v>312</v>
      </c>
      <c r="O19" s="728" t="s">
        <v>738</v>
      </c>
    </row>
    <row r="20" spans="2:15" s="50" customFormat="1" ht="16.5" thickBot="1">
      <c r="B20" s="666"/>
      <c r="C20" s="666"/>
      <c r="D20" s="438" t="s">
        <v>716</v>
      </c>
      <c r="E20" s="735" t="str">
        <f>VLOOKUP(D13,N14:O19,2)</f>
        <v>★★☆☆☆</v>
      </c>
      <c r="F20" s="675"/>
      <c r="G20" s="675"/>
      <c r="H20" s="675"/>
      <c r="I20" s="459"/>
      <c r="K20" s="664"/>
      <c r="M20" s="664"/>
      <c r="N20" s="62"/>
      <c r="O20" s="62"/>
    </row>
    <row r="21" spans="2:15" s="50" customFormat="1" ht="16.5" thickBot="1">
      <c r="B21" s="666"/>
      <c r="C21" s="666"/>
      <c r="D21" s="438"/>
      <c r="E21" s="762" t="s">
        <v>324</v>
      </c>
      <c r="F21" s="1462" t="s">
        <v>1073</v>
      </c>
      <c r="G21" s="1463"/>
      <c r="H21" s="1463"/>
      <c r="I21" s="1463"/>
      <c r="J21" s="1463"/>
      <c r="K21" s="1463"/>
      <c r="L21" s="1464"/>
      <c r="M21" s="664"/>
      <c r="N21" s="62"/>
      <c r="O21" s="62"/>
    </row>
    <row r="22" spans="2:15" s="50" customFormat="1" ht="16.5" thickBot="1">
      <c r="B22" s="666"/>
      <c r="C22" s="666"/>
      <c r="D22" s="438"/>
      <c r="E22" s="762" t="s">
        <v>1079</v>
      </c>
      <c r="F22" s="1462" t="s">
        <v>1074</v>
      </c>
      <c r="G22" s="1463"/>
      <c r="H22" s="1463"/>
      <c r="I22" s="1463"/>
      <c r="J22" s="1463"/>
      <c r="K22" s="1463"/>
      <c r="L22" s="1464"/>
      <c r="M22" s="664"/>
      <c r="N22" s="62"/>
      <c r="O22" s="62"/>
    </row>
    <row r="23" spans="2:15" s="50" customFormat="1" ht="16.5" thickBot="1">
      <c r="B23" s="666"/>
      <c r="C23" s="666"/>
      <c r="D23" s="438"/>
      <c r="E23" s="762" t="s">
        <v>1079</v>
      </c>
      <c r="F23" s="1462" t="s">
        <v>1075</v>
      </c>
      <c r="G23" s="1463"/>
      <c r="H23" s="1463"/>
      <c r="I23" s="1463"/>
      <c r="J23" s="1463"/>
      <c r="K23" s="1463"/>
      <c r="L23" s="1464"/>
      <c r="M23" s="664"/>
      <c r="N23" s="62"/>
      <c r="O23" s="62"/>
    </row>
    <row r="24" spans="2:15" s="50" customFormat="1" ht="16.5" thickBot="1">
      <c r="B24" s="666"/>
      <c r="C24" s="666"/>
      <c r="D24" s="438"/>
      <c r="E24" s="762"/>
      <c r="F24" s="1462" t="s">
        <v>1076</v>
      </c>
      <c r="G24" s="1463"/>
      <c r="H24" s="1463"/>
      <c r="I24" s="1463"/>
      <c r="J24" s="1463"/>
      <c r="K24" s="1463"/>
      <c r="L24" s="1464"/>
      <c r="M24" s="664"/>
      <c r="N24" s="62"/>
      <c r="O24" s="62"/>
    </row>
    <row r="25" spans="2:15" s="50" customFormat="1" ht="16.5" thickBot="1">
      <c r="B25" s="666"/>
      <c r="C25" s="666"/>
      <c r="D25" s="438"/>
      <c r="E25" s="762"/>
      <c r="F25" s="1462" t="s">
        <v>1077</v>
      </c>
      <c r="G25" s="1463"/>
      <c r="H25" s="1463"/>
      <c r="I25" s="1463"/>
      <c r="J25" s="1463"/>
      <c r="K25" s="1463"/>
      <c r="L25" s="1464"/>
      <c r="M25" s="664"/>
      <c r="N25" s="62"/>
      <c r="O25" s="62"/>
    </row>
    <row r="26" spans="2:15" s="50" customFormat="1" ht="16.5" thickBot="1">
      <c r="B26" s="666"/>
      <c r="C26" s="666"/>
      <c r="D26" s="438"/>
      <c r="E26" s="1465"/>
      <c r="F26" s="1466" t="s">
        <v>1080</v>
      </c>
      <c r="G26" s="1466"/>
      <c r="H26" s="1466"/>
      <c r="I26" s="1466"/>
      <c r="J26" s="1466"/>
      <c r="K26" s="1466"/>
      <c r="L26" s="1466"/>
      <c r="M26" s="664"/>
      <c r="N26" s="62"/>
      <c r="O26" s="62"/>
    </row>
    <row r="27" spans="2:15" s="50" customFormat="1" ht="15.6" customHeight="1" thickBot="1">
      <c r="B27" s="666"/>
      <c r="C27" s="666"/>
      <c r="D27" s="438"/>
      <c r="E27" s="1465"/>
      <c r="F27" s="1466"/>
      <c r="G27" s="1466"/>
      <c r="H27" s="1466"/>
      <c r="I27" s="1466"/>
      <c r="J27" s="1466"/>
      <c r="K27" s="1466"/>
      <c r="L27" s="1466"/>
      <c r="M27" s="664"/>
      <c r="N27" s="62"/>
      <c r="O27" s="62"/>
    </row>
    <row r="28" spans="2:15" s="50" customFormat="1" ht="15.75">
      <c r="B28" s="666"/>
      <c r="C28" s="666"/>
      <c r="D28" s="438"/>
      <c r="E28" s="735"/>
      <c r="F28" s="675"/>
      <c r="G28" s="675"/>
      <c r="H28" s="675"/>
      <c r="I28" s="459"/>
      <c r="J28" s="676" t="s">
        <v>775</v>
      </c>
      <c r="K28" s="664"/>
      <c r="M28" s="664"/>
      <c r="N28" s="62"/>
      <c r="O28" s="62"/>
    </row>
    <row r="29" spans="2:15" s="50" customFormat="1" ht="15.75">
      <c r="B29" s="666"/>
      <c r="C29" s="666"/>
      <c r="D29" s="438"/>
      <c r="E29" s="1461" t="s">
        <v>778</v>
      </c>
      <c r="F29" s="1461"/>
      <c r="G29" s="1461"/>
      <c r="H29" s="1461"/>
      <c r="I29" s="1461"/>
      <c r="J29" s="1461"/>
      <c r="K29" s="664"/>
      <c r="L29" s="62"/>
      <c r="M29" s="664"/>
      <c r="N29" s="62"/>
      <c r="O29" s="62"/>
    </row>
    <row r="30" spans="2:15" s="50" customFormat="1" ht="15.6" customHeight="1">
      <c r="B30" s="666"/>
      <c r="C30" s="666"/>
      <c r="D30" s="513"/>
      <c r="E30" s="734" t="s">
        <v>783</v>
      </c>
      <c r="F30" s="734" t="s">
        <v>784</v>
      </c>
      <c r="G30" s="734" t="s">
        <v>785</v>
      </c>
      <c r="H30" s="734" t="s">
        <v>786</v>
      </c>
      <c r="I30" s="734" t="s">
        <v>787</v>
      </c>
      <c r="J30" s="734" t="s">
        <v>160</v>
      </c>
      <c r="K30" s="664"/>
      <c r="L30" s="62"/>
      <c r="M30" s="62"/>
    </row>
    <row r="31" spans="2:15" s="50" customFormat="1" ht="15.75">
      <c r="B31" s="666"/>
      <c r="C31" s="666"/>
      <c r="D31" s="438" t="s">
        <v>824</v>
      </c>
      <c r="E31" s="503">
        <v>10</v>
      </c>
      <c r="F31" s="503">
        <v>20</v>
      </c>
      <c r="G31" s="503">
        <v>10</v>
      </c>
      <c r="H31" s="503">
        <v>5</v>
      </c>
      <c r="I31" s="503">
        <v>5</v>
      </c>
      <c r="J31" s="754">
        <f>SUM(E31:I31)</f>
        <v>50</v>
      </c>
      <c r="K31" s="664"/>
      <c r="L31" s="62"/>
      <c r="M31" s="62"/>
    </row>
    <row r="32" spans="2:15" s="50" customFormat="1" ht="15.75">
      <c r="B32" s="666"/>
      <c r="C32" s="666"/>
      <c r="D32" s="438" t="s">
        <v>728</v>
      </c>
      <c r="E32" s="753">
        <v>5</v>
      </c>
      <c r="F32" s="753">
        <v>5</v>
      </c>
      <c r="G32" s="753">
        <v>5</v>
      </c>
      <c r="H32" s="753">
        <v>5</v>
      </c>
      <c r="I32" s="753">
        <v>5</v>
      </c>
      <c r="J32" s="754">
        <f>SUM(E32:I32)</f>
        <v>25</v>
      </c>
      <c r="K32" s="664"/>
      <c r="L32" s="62"/>
      <c r="M32" s="62"/>
    </row>
    <row r="33" spans="2:13" s="50" customFormat="1" ht="15.75">
      <c r="B33" s="666"/>
      <c r="C33" s="666"/>
      <c r="D33" s="438" t="s">
        <v>780</v>
      </c>
      <c r="E33" s="752">
        <f>-(E31-E32)/E31</f>
        <v>-0.5</v>
      </c>
      <c r="F33" s="752">
        <f t="shared" ref="F33:J33" si="0">-(F31-F32)/F31</f>
        <v>-0.75</v>
      </c>
      <c r="G33" s="752">
        <f t="shared" si="0"/>
        <v>-0.5</v>
      </c>
      <c r="H33" s="752">
        <f t="shared" si="0"/>
        <v>0</v>
      </c>
      <c r="I33" s="752">
        <f t="shared" si="0"/>
        <v>0</v>
      </c>
      <c r="J33" s="752">
        <f t="shared" si="0"/>
        <v>-0.5</v>
      </c>
      <c r="K33" s="664"/>
      <c r="L33" s="62"/>
      <c r="M33" s="62"/>
    </row>
    <row r="34" spans="2:13" s="50" customFormat="1" ht="15.75" hidden="1">
      <c r="B34" s="666"/>
      <c r="C34" s="666"/>
      <c r="D34" s="438"/>
      <c r="E34" s="1461" t="s">
        <v>771</v>
      </c>
      <c r="F34" s="1461"/>
      <c r="G34" s="1461"/>
      <c r="H34" s="1461"/>
      <c r="I34" s="1461"/>
      <c r="J34" s="1461"/>
      <c r="K34" s="664"/>
      <c r="L34" s="62"/>
      <c r="M34" s="62"/>
    </row>
    <row r="35" spans="2:13" s="50" customFormat="1" ht="15.75">
      <c r="B35" s="666"/>
      <c r="C35" s="666"/>
      <c r="D35" s="438"/>
      <c r="E35" s="734" t="s">
        <v>789</v>
      </c>
      <c r="F35" s="734" t="s">
        <v>790</v>
      </c>
      <c r="G35" s="734" t="s">
        <v>791</v>
      </c>
      <c r="H35" s="734" t="s">
        <v>792</v>
      </c>
      <c r="I35" s="734" t="s">
        <v>788</v>
      </c>
      <c r="J35" s="734" t="s">
        <v>160</v>
      </c>
      <c r="K35" s="664"/>
      <c r="L35" s="62"/>
      <c r="M35" s="62"/>
    </row>
    <row r="36" spans="2:13" s="50" customFormat="1" ht="15.75">
      <c r="B36" s="666"/>
      <c r="C36" s="666"/>
      <c r="D36" s="438" t="s">
        <v>824</v>
      </c>
      <c r="E36" s="503">
        <v>20</v>
      </c>
      <c r="F36" s="503">
        <v>30</v>
      </c>
      <c r="G36" s="749">
        <v>40</v>
      </c>
      <c r="H36" s="749">
        <v>20</v>
      </c>
      <c r="I36" s="749">
        <v>10</v>
      </c>
      <c r="J36" s="754">
        <f>SUM(E36:I36)</f>
        <v>120</v>
      </c>
      <c r="K36" s="664"/>
      <c r="L36" s="62"/>
      <c r="M36" s="62"/>
    </row>
    <row r="37" spans="2:13" s="50" customFormat="1" ht="15.75">
      <c r="B37" s="666"/>
      <c r="C37" s="666"/>
      <c r="D37" s="438" t="s">
        <v>728</v>
      </c>
      <c r="E37" s="753">
        <v>5</v>
      </c>
      <c r="F37" s="753">
        <v>5</v>
      </c>
      <c r="G37" s="753">
        <v>5</v>
      </c>
      <c r="H37" s="753">
        <v>5</v>
      </c>
      <c r="I37" s="753">
        <v>5</v>
      </c>
      <c r="J37" s="754">
        <f>SUM(E37:I37)</f>
        <v>25</v>
      </c>
      <c r="K37" s="664"/>
      <c r="L37" s="62"/>
      <c r="M37" s="62"/>
    </row>
    <row r="38" spans="2:13" s="50" customFormat="1" ht="15.75">
      <c r="B38" s="666"/>
      <c r="C38" s="666"/>
      <c r="D38" s="438" t="s">
        <v>780</v>
      </c>
      <c r="E38" s="752">
        <f>-(E36-E37)/E36</f>
        <v>-0.75</v>
      </c>
      <c r="F38" s="752">
        <f t="shared" ref="F38" si="1">-(F36-F37)/F36</f>
        <v>-0.83333333333333337</v>
      </c>
      <c r="G38" s="752">
        <f>(G36-G37)/G36</f>
        <v>0.875</v>
      </c>
      <c r="H38" s="752">
        <f t="shared" ref="H38:J38" si="2">-(H36-H37)/H36</f>
        <v>-0.75</v>
      </c>
      <c r="I38" s="752">
        <f t="shared" si="2"/>
        <v>-0.5</v>
      </c>
      <c r="J38" s="752">
        <f t="shared" si="2"/>
        <v>-0.79166666666666663</v>
      </c>
      <c r="K38" s="664"/>
      <c r="L38" s="62"/>
      <c r="M38" s="62"/>
    </row>
    <row r="39" spans="2:13" s="50" customFormat="1" ht="15.75" hidden="1">
      <c r="B39" s="666"/>
      <c r="C39" s="666"/>
      <c r="D39" s="438"/>
      <c r="E39" s="1461" t="s">
        <v>772</v>
      </c>
      <c r="F39" s="1461"/>
      <c r="G39" s="1461"/>
      <c r="H39" s="1461"/>
      <c r="I39" s="1461"/>
      <c r="J39" s="1461"/>
      <c r="K39" s="664"/>
      <c r="L39" s="62"/>
      <c r="M39" s="62"/>
    </row>
    <row r="40" spans="2:13" s="50" customFormat="1" ht="15.75">
      <c r="B40" s="666"/>
      <c r="C40" s="666"/>
      <c r="D40" s="438"/>
      <c r="E40" s="734" t="s">
        <v>794</v>
      </c>
      <c r="F40" s="734" t="s">
        <v>793</v>
      </c>
      <c r="G40" s="734"/>
      <c r="H40" s="734"/>
      <c r="I40" s="734"/>
      <c r="J40" s="734" t="s">
        <v>160</v>
      </c>
      <c r="K40" s="664"/>
      <c r="L40" s="62"/>
      <c r="M40" s="62"/>
    </row>
    <row r="41" spans="2:13" s="50" customFormat="1" ht="15.75">
      <c r="B41" s="666"/>
      <c r="C41" s="666"/>
      <c r="D41" s="438" t="s">
        <v>824</v>
      </c>
      <c r="E41" s="750">
        <v>70</v>
      </c>
      <c r="F41" s="750">
        <v>35</v>
      </c>
      <c r="G41" s="751"/>
      <c r="H41" s="751"/>
      <c r="I41" s="751"/>
      <c r="J41" s="754">
        <f>SUM(E41:I41)</f>
        <v>105</v>
      </c>
      <c r="K41" s="664"/>
      <c r="L41" s="62"/>
      <c r="M41" s="62"/>
    </row>
    <row r="42" spans="2:13" s="50" customFormat="1" ht="15.75">
      <c r="B42" s="666"/>
      <c r="C42" s="666"/>
      <c r="D42" s="438" t="s">
        <v>728</v>
      </c>
      <c r="E42" s="750">
        <v>5</v>
      </c>
      <c r="F42" s="750">
        <v>5</v>
      </c>
      <c r="G42" s="751"/>
      <c r="H42" s="751"/>
      <c r="I42" s="751"/>
      <c r="J42" s="754">
        <f>SUM(E42:I42)</f>
        <v>10</v>
      </c>
      <c r="K42" s="664"/>
      <c r="L42" s="62"/>
      <c r="M42" s="62"/>
    </row>
    <row r="43" spans="2:13" s="50" customFormat="1" ht="15.75">
      <c r="B43" s="666"/>
      <c r="C43" s="666"/>
      <c r="D43" s="438" t="s">
        <v>780</v>
      </c>
      <c r="E43" s="752">
        <f>-(E41-E42)/E41</f>
        <v>-0.9285714285714286</v>
      </c>
      <c r="F43" s="752">
        <f t="shared" ref="F43" si="3">-(F41-F42)/F41</f>
        <v>-0.8571428571428571</v>
      </c>
      <c r="G43" s="752"/>
      <c r="H43" s="752"/>
      <c r="I43" s="752"/>
      <c r="J43" s="752">
        <f t="shared" ref="J43" si="4">-(J41-J42)/J41</f>
        <v>-0.90476190476190477</v>
      </c>
      <c r="K43" s="664"/>
      <c r="L43" s="62"/>
      <c r="M43" s="62"/>
    </row>
    <row r="44" spans="2:13" s="50" customFormat="1" ht="15.75" hidden="1">
      <c r="B44" s="666"/>
      <c r="C44" s="666"/>
      <c r="D44" s="438"/>
      <c r="E44" s="1470" t="s">
        <v>773</v>
      </c>
      <c r="F44" s="1470"/>
      <c r="G44" s="1470"/>
      <c r="H44" s="1470"/>
      <c r="I44" s="1470"/>
      <c r="J44" s="1470"/>
      <c r="K44" s="664"/>
      <c r="L44" s="62"/>
      <c r="M44" s="62"/>
    </row>
    <row r="45" spans="2:13" s="50" customFormat="1" ht="15.75">
      <c r="B45" s="666"/>
      <c r="C45" s="666"/>
      <c r="D45" s="438"/>
      <c r="E45" s="734" t="s">
        <v>795</v>
      </c>
      <c r="F45" s="734" t="s">
        <v>796</v>
      </c>
      <c r="G45" s="734" t="s">
        <v>797</v>
      </c>
      <c r="H45" s="734" t="s">
        <v>798</v>
      </c>
      <c r="I45" s="734"/>
      <c r="J45" s="734"/>
      <c r="K45" s="664"/>
      <c r="L45" s="62"/>
      <c r="M45" s="62"/>
    </row>
    <row r="46" spans="2:13" s="50" customFormat="1" ht="15.75">
      <c r="B46" s="666"/>
      <c r="C46" s="666"/>
      <c r="D46" s="438" t="s">
        <v>824</v>
      </c>
      <c r="E46" s="503">
        <v>10</v>
      </c>
      <c r="F46" s="503">
        <v>10</v>
      </c>
      <c r="G46" s="503">
        <v>20</v>
      </c>
      <c r="H46" s="503">
        <v>5</v>
      </c>
      <c r="I46" s="729"/>
      <c r="J46" s="754">
        <f>SUM(E46:I46)</f>
        <v>45</v>
      </c>
      <c r="K46" s="664"/>
      <c r="L46" s="62"/>
      <c r="M46" s="62"/>
    </row>
    <row r="47" spans="2:13" s="50" customFormat="1" ht="15.75">
      <c r="B47" s="666"/>
      <c r="C47" s="666"/>
      <c r="D47" s="438" t="s">
        <v>728</v>
      </c>
      <c r="E47" s="753">
        <v>5</v>
      </c>
      <c r="F47" s="753">
        <v>5</v>
      </c>
      <c r="G47" s="753">
        <v>5</v>
      </c>
      <c r="H47" s="753">
        <v>5</v>
      </c>
      <c r="I47" s="752"/>
      <c r="J47" s="754">
        <f>SUM(E47:I47)</f>
        <v>20</v>
      </c>
      <c r="K47" s="664"/>
      <c r="L47" s="62"/>
      <c r="M47" s="62"/>
    </row>
    <row r="48" spans="2:13" s="50" customFormat="1" ht="15.75">
      <c r="B48" s="666"/>
      <c r="C48" s="666"/>
      <c r="D48" s="438" t="s">
        <v>780</v>
      </c>
      <c r="E48" s="752">
        <f>-(E46-E47)/E46</f>
        <v>-0.5</v>
      </c>
      <c r="F48" s="752">
        <f t="shared" ref="F48:H48" si="5">-(F46-F47)/F46</f>
        <v>-0.5</v>
      </c>
      <c r="G48" s="752">
        <f t="shared" si="5"/>
        <v>-0.75</v>
      </c>
      <c r="H48" s="752">
        <f t="shared" si="5"/>
        <v>0</v>
      </c>
      <c r="I48" s="752"/>
      <c r="J48" s="752">
        <f t="shared" ref="J48" si="6">-(J46-J47)/J46</f>
        <v>-0.55555555555555558</v>
      </c>
      <c r="K48" s="664"/>
      <c r="L48" s="62"/>
      <c r="M48" s="62"/>
    </row>
    <row r="49" spans="2:13" s="50" customFormat="1" ht="15.75" hidden="1">
      <c r="B49" s="666"/>
      <c r="C49" s="666"/>
      <c r="D49" s="438"/>
      <c r="E49" s="1470" t="s">
        <v>779</v>
      </c>
      <c r="F49" s="1470"/>
      <c r="G49" s="1470"/>
      <c r="H49" s="1470"/>
      <c r="I49" s="1470"/>
      <c r="J49" s="1470"/>
      <c r="K49" s="664"/>
      <c r="L49" s="62"/>
      <c r="M49" s="62"/>
    </row>
    <row r="50" spans="2:13" s="50" customFormat="1" ht="15.75">
      <c r="B50" s="666"/>
      <c r="C50" s="666"/>
      <c r="D50" s="438"/>
      <c r="E50" s="756" t="s">
        <v>799</v>
      </c>
      <c r="F50" s="734"/>
      <c r="G50" s="734"/>
      <c r="H50" s="734"/>
      <c r="I50" s="734"/>
      <c r="J50" s="734"/>
      <c r="K50" s="664"/>
      <c r="L50" s="62"/>
      <c r="M50" s="62"/>
    </row>
    <row r="51" spans="2:13" s="50" customFormat="1" ht="15.75">
      <c r="B51" s="666"/>
      <c r="C51" s="666"/>
      <c r="D51" s="438" t="s">
        <v>824</v>
      </c>
      <c r="E51" s="503"/>
      <c r="F51" s="754"/>
      <c r="G51" s="754"/>
      <c r="H51" s="754"/>
      <c r="I51" s="729"/>
      <c r="J51" s="754">
        <f>SUM(E51:I51)</f>
        <v>0</v>
      </c>
      <c r="K51" s="664"/>
      <c r="L51" s="62"/>
      <c r="M51" s="62"/>
    </row>
    <row r="52" spans="2:13" s="50" customFormat="1" ht="15.75">
      <c r="B52" s="666"/>
      <c r="C52" s="666"/>
      <c r="D52" s="438" t="s">
        <v>728</v>
      </c>
      <c r="E52" s="753"/>
      <c r="F52" s="755"/>
      <c r="G52" s="755"/>
      <c r="H52" s="755"/>
      <c r="I52" s="752"/>
      <c r="J52" s="754">
        <f>SUM(E52:I52)</f>
        <v>0</v>
      </c>
      <c r="K52" s="664"/>
      <c r="L52" s="62"/>
      <c r="M52" s="62"/>
    </row>
    <row r="53" spans="2:13" s="50" customFormat="1" ht="15.75">
      <c r="B53" s="666"/>
      <c r="C53" s="666"/>
      <c r="D53" s="438" t="s">
        <v>780</v>
      </c>
      <c r="E53" s="752" t="e">
        <f>-(E51-E52)/E51</f>
        <v>#DIV/0!</v>
      </c>
      <c r="F53" s="752"/>
      <c r="G53" s="752"/>
      <c r="H53" s="752"/>
      <c r="I53" s="752"/>
      <c r="J53" s="752" t="e">
        <f t="shared" ref="J53" si="7">-(J51-J52)/J51</f>
        <v>#DIV/0!</v>
      </c>
      <c r="K53" s="664"/>
      <c r="L53" s="62"/>
      <c r="M53" s="62"/>
    </row>
    <row r="54" spans="2:13" s="50" customFormat="1" ht="15.75" hidden="1">
      <c r="B54" s="666"/>
      <c r="C54" s="666"/>
      <c r="D54" s="438"/>
      <c r="E54" s="1471" t="s">
        <v>774</v>
      </c>
      <c r="F54" s="1471"/>
      <c r="G54" s="1471"/>
      <c r="H54" s="1471"/>
      <c r="I54" s="1471"/>
      <c r="J54" s="1471"/>
      <c r="K54" s="664"/>
      <c r="L54" s="62"/>
      <c r="M54" s="62"/>
    </row>
    <row r="55" spans="2:13" s="50" customFormat="1" ht="15.75">
      <c r="B55" s="666"/>
      <c r="C55" s="666"/>
      <c r="D55" s="438"/>
      <c r="E55" s="734"/>
      <c r="F55" s="734"/>
      <c r="G55" s="734"/>
      <c r="H55" s="734"/>
      <c r="I55" s="734"/>
      <c r="J55" s="734" t="s">
        <v>160</v>
      </c>
      <c r="K55" s="664"/>
      <c r="L55" s="62"/>
      <c r="M55" s="62"/>
    </row>
    <row r="56" spans="2:13" s="50" customFormat="1" ht="15.75">
      <c r="B56" s="666"/>
      <c r="C56" s="666"/>
      <c r="D56" s="438" t="s">
        <v>824</v>
      </c>
      <c r="E56" s="729"/>
      <c r="F56" s="729"/>
      <c r="G56" s="729"/>
      <c r="H56" s="729"/>
      <c r="I56" s="729"/>
      <c r="J56" s="754">
        <f>J31+J36+J41+J46+J51</f>
        <v>320</v>
      </c>
      <c r="K56" s="664"/>
      <c r="L56" s="62"/>
      <c r="M56" s="62"/>
    </row>
    <row r="57" spans="2:13" s="50" customFormat="1" ht="15.75">
      <c r="B57" s="666"/>
      <c r="C57" s="666"/>
      <c r="D57" s="438" t="s">
        <v>728</v>
      </c>
      <c r="E57" s="729"/>
      <c r="F57" s="729"/>
      <c r="G57" s="729"/>
      <c r="H57" s="729"/>
      <c r="I57" s="729"/>
      <c r="J57" s="754">
        <f>J32+J37+J42+J47+J52</f>
        <v>80</v>
      </c>
      <c r="K57" s="664"/>
      <c r="L57" s="62"/>
      <c r="M57" s="62"/>
    </row>
    <row r="58" spans="2:13" s="50" customFormat="1" ht="15.75">
      <c r="B58" s="666"/>
      <c r="C58" s="666"/>
      <c r="D58" s="438" t="s">
        <v>780</v>
      </c>
      <c r="E58" s="752"/>
      <c r="F58" s="752"/>
      <c r="G58" s="752"/>
      <c r="H58" s="752"/>
      <c r="I58" s="752"/>
      <c r="J58" s="752">
        <f t="shared" ref="J58" si="8">-(J56-J57)/J56</f>
        <v>-0.75</v>
      </c>
      <c r="K58" s="664"/>
      <c r="L58" s="62"/>
      <c r="M58" s="62"/>
    </row>
    <row r="59" spans="2:13" s="50" customFormat="1" ht="15.75" hidden="1">
      <c r="B59" s="666"/>
      <c r="C59" s="666"/>
      <c r="D59" s="438"/>
      <c r="E59" s="761"/>
      <c r="F59" s="761"/>
      <c r="G59" s="761"/>
      <c r="H59" s="761"/>
      <c r="I59" s="761"/>
      <c r="J59" s="761"/>
      <c r="K59" s="664"/>
      <c r="L59" s="62"/>
      <c r="M59" s="62"/>
    </row>
    <row r="60" spans="2:13" s="50" customFormat="1" ht="16.5" thickBot="1">
      <c r="B60" s="666"/>
      <c r="C60" s="666"/>
      <c r="D60" s="163"/>
      <c r="F60" s="1472" t="s">
        <v>1081</v>
      </c>
      <c r="G60" s="1472"/>
      <c r="H60" s="1472"/>
      <c r="I60" s="459"/>
      <c r="J60" s="664"/>
      <c r="K60" s="664"/>
      <c r="L60" s="676"/>
      <c r="M60" s="62"/>
    </row>
    <row r="61" spans="2:13" s="50" customFormat="1" ht="16.5" thickBot="1">
      <c r="B61" s="666"/>
      <c r="C61" s="666"/>
      <c r="D61" s="163"/>
      <c r="E61" s="762" t="s">
        <v>324</v>
      </c>
      <c r="F61" s="1467" t="s">
        <v>1061</v>
      </c>
      <c r="G61" s="1468"/>
      <c r="H61" s="1469"/>
      <c r="I61" s="459"/>
      <c r="J61" s="664"/>
      <c r="K61" s="664"/>
      <c r="L61" s="676"/>
      <c r="M61" s="62"/>
    </row>
    <row r="62" spans="2:13" s="50" customFormat="1" ht="16.5" thickBot="1">
      <c r="B62" s="666"/>
      <c r="C62" s="666"/>
      <c r="D62" s="163"/>
      <c r="E62" s="762" t="s">
        <v>1079</v>
      </c>
      <c r="F62" s="1467" t="s">
        <v>1062</v>
      </c>
      <c r="G62" s="1468"/>
      <c r="H62" s="1469"/>
      <c r="I62" s="459"/>
      <c r="J62" s="664"/>
      <c r="K62" s="664"/>
      <c r="L62" s="676"/>
      <c r="M62" s="62"/>
    </row>
    <row r="63" spans="2:13" s="50" customFormat="1" ht="16.5" thickBot="1">
      <c r="B63" s="666"/>
      <c r="C63" s="666"/>
      <c r="D63" s="163"/>
      <c r="E63" s="762" t="s">
        <v>1079</v>
      </c>
      <c r="F63" s="1467" t="s">
        <v>1064</v>
      </c>
      <c r="G63" s="1468"/>
      <c r="H63" s="1469"/>
      <c r="I63" s="459"/>
      <c r="J63" s="664"/>
      <c r="K63" s="664"/>
      <c r="L63" s="676"/>
      <c r="M63" s="62"/>
    </row>
    <row r="64" spans="2:13" s="50" customFormat="1" ht="16.5" thickBot="1">
      <c r="B64" s="666"/>
      <c r="C64" s="666"/>
      <c r="D64" s="163"/>
      <c r="E64" s="762" t="s">
        <v>1079</v>
      </c>
      <c r="F64" s="1467" t="s">
        <v>1065</v>
      </c>
      <c r="G64" s="1468"/>
      <c r="H64" s="1469"/>
      <c r="I64" s="459"/>
      <c r="J64" s="664"/>
      <c r="K64" s="664"/>
      <c r="L64" s="676"/>
      <c r="M64" s="62"/>
    </row>
    <row r="65" spans="2:16" s="50" customFormat="1" ht="16.5" thickBot="1">
      <c r="B65" s="666"/>
      <c r="C65" s="666"/>
      <c r="D65" s="163"/>
      <c r="E65" s="762" t="s">
        <v>324</v>
      </c>
      <c r="F65" s="1467" t="s">
        <v>1066</v>
      </c>
      <c r="G65" s="1468"/>
      <c r="H65" s="1469"/>
      <c r="I65" s="459"/>
      <c r="J65" s="664"/>
      <c r="K65" s="664"/>
      <c r="L65" s="676"/>
      <c r="M65" s="62"/>
    </row>
    <row r="66" spans="2:16" s="50" customFormat="1" ht="16.5" thickBot="1">
      <c r="B66" s="666"/>
      <c r="C66" s="666"/>
      <c r="D66" s="163"/>
      <c r="E66" s="762" t="s">
        <v>324</v>
      </c>
      <c r="F66" s="1467" t="s">
        <v>1067</v>
      </c>
      <c r="G66" s="1468"/>
      <c r="H66" s="1469"/>
      <c r="I66" s="459"/>
      <c r="J66" s="664"/>
      <c r="K66" s="664"/>
      <c r="L66" s="676"/>
      <c r="M66" s="62"/>
    </row>
    <row r="67" spans="2:16" s="50" customFormat="1" ht="16.5" thickBot="1">
      <c r="B67" s="666"/>
      <c r="C67" s="666"/>
      <c r="D67" s="163"/>
      <c r="E67" s="762" t="s">
        <v>324</v>
      </c>
      <c r="F67" s="1467" t="s">
        <v>1068</v>
      </c>
      <c r="G67" s="1468"/>
      <c r="H67" s="1469"/>
      <c r="I67" s="459"/>
      <c r="J67" s="664"/>
      <c r="K67" s="664"/>
      <c r="L67" s="676"/>
      <c r="M67" s="62"/>
    </row>
    <row r="68" spans="2:16" s="50" customFormat="1" ht="16.5" thickBot="1">
      <c r="B68" s="666"/>
      <c r="C68" s="666"/>
      <c r="D68" s="163"/>
      <c r="E68" s="762" t="s">
        <v>1079</v>
      </c>
      <c r="F68" s="1467" t="s">
        <v>1069</v>
      </c>
      <c r="G68" s="1468"/>
      <c r="H68" s="1469"/>
      <c r="I68" s="459"/>
      <c r="J68" s="664"/>
      <c r="K68" s="664"/>
      <c r="L68" s="676"/>
      <c r="M68" s="62"/>
    </row>
    <row r="69" spans="2:16" s="50" customFormat="1" ht="16.5" thickBot="1">
      <c r="B69" s="666"/>
      <c r="C69" s="666"/>
      <c r="E69" s="762" t="s">
        <v>324</v>
      </c>
      <c r="F69" s="1473" t="s">
        <v>1070</v>
      </c>
      <c r="G69" s="1473"/>
      <c r="H69" s="1473"/>
      <c r="I69" s="459"/>
      <c r="J69" s="664"/>
      <c r="K69" s="664"/>
      <c r="L69" s="676"/>
      <c r="M69" s="664"/>
      <c r="N69" s="62"/>
      <c r="O69" s="62"/>
    </row>
    <row r="70" spans="2:16" s="50" customFormat="1" ht="16.5" thickBot="1">
      <c r="B70" s="666"/>
      <c r="C70" s="666"/>
      <c r="E70" s="762" t="s">
        <v>1079</v>
      </c>
      <c r="F70" s="1473" t="s">
        <v>1071</v>
      </c>
      <c r="G70" s="1473"/>
      <c r="H70" s="1473"/>
      <c r="I70" s="459"/>
      <c r="J70" s="664"/>
      <c r="K70" s="664"/>
      <c r="L70" s="676"/>
      <c r="M70" s="664"/>
      <c r="N70" s="62"/>
      <c r="O70" s="62"/>
    </row>
    <row r="71" spans="2:16" s="50" customFormat="1" ht="15.75">
      <c r="B71" s="666"/>
      <c r="C71" s="666"/>
      <c r="D71" s="163"/>
      <c r="F71" s="675"/>
      <c r="G71" s="675"/>
      <c r="H71" s="675"/>
      <c r="I71" s="459"/>
      <c r="J71" s="664"/>
      <c r="K71" s="664"/>
      <c r="L71" s="676"/>
      <c r="M71" s="664"/>
      <c r="N71" s="62"/>
      <c r="O71" s="62"/>
    </row>
    <row r="72" spans="2:16" s="50" customFormat="1" ht="16.5" hidden="1" thickBot="1">
      <c r="B72" s="666"/>
      <c r="C72" s="666"/>
      <c r="D72" s="445">
        <f>L81</f>
        <v>3</v>
      </c>
      <c r="E72" s="453" t="s">
        <v>1229</v>
      </c>
      <c r="F72" s="453"/>
      <c r="G72" s="453"/>
      <c r="H72" s="453"/>
      <c r="I72" s="453"/>
      <c r="J72" s="453"/>
      <c r="K72" s="453"/>
      <c r="L72" s="454"/>
      <c r="M72" s="664"/>
      <c r="N72" s="62"/>
      <c r="O72" s="62"/>
    </row>
    <row r="73" spans="2:16" s="49" customFormat="1" ht="15.75" hidden="1">
      <c r="B73" s="664"/>
      <c r="C73" s="666"/>
      <c r="D73" s="435" t="str">
        <f>IF(ROUNDDOWN(D72,0)=$N$2,$P$2,$O$2)</f>
        <v>　レベル　1</v>
      </c>
      <c r="E73" s="1474" t="s">
        <v>640</v>
      </c>
      <c r="F73" s="1475"/>
      <c r="G73" s="1475"/>
      <c r="H73" s="1475"/>
      <c r="I73" s="1475"/>
      <c r="J73" s="1475"/>
      <c r="K73" s="1475"/>
      <c r="L73" s="1476"/>
      <c r="M73" s="62"/>
      <c r="N73" s="448" t="s">
        <v>336</v>
      </c>
      <c r="O73" s="448" t="s">
        <v>337</v>
      </c>
    </row>
    <row r="74" spans="2:16" s="49" customFormat="1" ht="15.75" hidden="1">
      <c r="B74" s="664"/>
      <c r="C74" s="666"/>
      <c r="D74" s="436" t="str">
        <f>IF(ROUNDDOWN(D72,0)=$N$3,$P$3,$O$3)</f>
        <v>　レベル　2</v>
      </c>
      <c r="E74" s="1477"/>
      <c r="F74" s="1478"/>
      <c r="G74" s="1478"/>
      <c r="H74" s="1478"/>
      <c r="I74" s="1478"/>
      <c r="J74" s="1478"/>
      <c r="K74" s="1478"/>
      <c r="L74" s="1479"/>
      <c r="M74" s="664"/>
      <c r="N74" s="449">
        <v>1</v>
      </c>
      <c r="O74" s="452"/>
    </row>
    <row r="75" spans="2:16" s="49" customFormat="1" ht="15.75" hidden="1">
      <c r="B75" s="664"/>
      <c r="C75" s="666"/>
      <c r="D75" s="436" t="str">
        <f>IF(ROUNDDOWN(D72,0)=$N$4,$P$4,$O$4)</f>
        <v>■レベル　3</v>
      </c>
      <c r="E75" s="1477"/>
      <c r="F75" s="1478"/>
      <c r="G75" s="1478"/>
      <c r="H75" s="1478"/>
      <c r="I75" s="1478"/>
      <c r="J75" s="1478"/>
      <c r="K75" s="1478"/>
      <c r="L75" s="1479"/>
      <c r="M75" s="62"/>
      <c r="N75" s="449">
        <v>2</v>
      </c>
      <c r="O75" s="452"/>
    </row>
    <row r="76" spans="2:16" s="49" customFormat="1" ht="15.75" hidden="1">
      <c r="B76" s="664"/>
      <c r="C76" s="666"/>
      <c r="D76" s="436" t="str">
        <f>IF(ROUNDDOWN(D72,0)=$N$5,$P$5,$O$5)</f>
        <v>　レベル　4</v>
      </c>
      <c r="E76" s="1477"/>
      <c r="F76" s="1478"/>
      <c r="G76" s="1478"/>
      <c r="H76" s="1478"/>
      <c r="I76" s="1478"/>
      <c r="J76" s="1478"/>
      <c r="K76" s="1478"/>
      <c r="L76" s="1479"/>
      <c r="M76" s="664"/>
      <c r="N76" s="449">
        <v>3</v>
      </c>
      <c r="O76" s="452"/>
    </row>
    <row r="77" spans="2:16" s="49" customFormat="1" ht="15.75" hidden="1">
      <c r="B77" s="664"/>
      <c r="C77" s="666"/>
      <c r="D77" s="437" t="str">
        <f>IF(ROUNDDOWN(D72,0)=$N$6,$P$6,$O$6)</f>
        <v>　レベル　5</v>
      </c>
      <c r="E77" s="1480"/>
      <c r="F77" s="1481"/>
      <c r="G77" s="1481"/>
      <c r="H77" s="1481"/>
      <c r="I77" s="1481"/>
      <c r="J77" s="1481"/>
      <c r="K77" s="1481"/>
      <c r="L77" s="1482"/>
      <c r="M77" s="62"/>
      <c r="N77" s="449">
        <v>4</v>
      </c>
      <c r="O77" s="452"/>
    </row>
    <row r="78" spans="2:16" s="49" customFormat="1" ht="15.75" hidden="1">
      <c r="B78" s="664"/>
      <c r="C78" s="666"/>
      <c r="D78" s="438" t="s">
        <v>341</v>
      </c>
      <c r="E78" s="688"/>
      <c r="F78" s="494"/>
      <c r="G78" s="494"/>
      <c r="H78" s="679"/>
      <c r="I78"/>
      <c r="J78"/>
      <c r="K78"/>
      <c r="L78"/>
      <c r="M78" s="664"/>
      <c r="N78" s="449">
        <v>5</v>
      </c>
      <c r="O78" s="452"/>
    </row>
    <row r="79" spans="2:16" s="49" customFormat="1" ht="15.75" hidden="1">
      <c r="B79" s="664"/>
      <c r="C79" s="666"/>
      <c r="D79" s="513" t="s">
        <v>641</v>
      </c>
      <c r="E79" s="57"/>
      <c r="H79" s="338"/>
      <c r="I79" s="338" t="s">
        <v>642</v>
      </c>
      <c r="J79" s="338"/>
      <c r="K79" s="514"/>
      <c r="L79" s="515"/>
      <c r="M79" s="62"/>
      <c r="N79" s="451">
        <v>0</v>
      </c>
      <c r="O79" s="452"/>
    </row>
    <row r="80" spans="2:16" s="49" customFormat="1" ht="16.5" hidden="1" thickBot="1">
      <c r="B80" s="664"/>
      <c r="C80" s="666"/>
      <c r="D80"/>
      <c r="E80" s="516"/>
      <c r="F80" s="517" t="s">
        <v>204</v>
      </c>
      <c r="G80" s="518" t="s">
        <v>643</v>
      </c>
      <c r="H80" s="519" t="s">
        <v>206</v>
      </c>
      <c r="I80" s="517" t="s">
        <v>160</v>
      </c>
      <c r="J80" s="516" t="s">
        <v>644</v>
      </c>
      <c r="K80" s="526" t="s">
        <v>645</v>
      </c>
      <c r="L80" s="338"/>
      <c r="M80" s="515"/>
      <c r="N80"/>
      <c r="O80"/>
      <c r="P80"/>
    </row>
    <row r="81" spans="1:16" s="49" customFormat="1" ht="16.5" hidden="1" thickBot="1">
      <c r="B81" s="664"/>
      <c r="C81" s="666"/>
      <c r="D81"/>
      <c r="E81" s="520" t="s">
        <v>646</v>
      </c>
      <c r="F81" s="521">
        <f>SUM(F86:F91)</f>
        <v>30</v>
      </c>
      <c r="G81" s="521">
        <f t="shared" ref="G81:H81" si="9">SUM(G86:G91)</f>
        <v>20</v>
      </c>
      <c r="H81" s="521">
        <f t="shared" si="9"/>
        <v>60</v>
      </c>
      <c r="I81" s="522">
        <f>F81+G81+H81</f>
        <v>110</v>
      </c>
      <c r="J81" s="523">
        <v>1</v>
      </c>
      <c r="K81" s="438" t="s">
        <v>647</v>
      </c>
      <c r="L81" s="524">
        <f>IF(I81=0,0,ROUNDDOWN(IF(J82=N83,0,IF(J82&lt;0.5,5,IF(J82&gt;1.25,1,IF(J82&gt;1,-8*J82+11,3+(1-J82)*4)))),1))</f>
        <v>3</v>
      </c>
      <c r="N81"/>
      <c r="O81"/>
      <c r="P81"/>
    </row>
    <row r="82" spans="1:16" s="49" customFormat="1" ht="15.75" hidden="1">
      <c r="B82" s="664"/>
      <c r="C82" s="666"/>
      <c r="D82"/>
      <c r="E82" s="520" t="s">
        <v>648</v>
      </c>
      <c r="F82" s="521">
        <f>IF(I86="",$N$83,SUM(I86:I91))</f>
        <v>30</v>
      </c>
      <c r="G82" s="521">
        <f t="shared" ref="G82:H82" si="10">IF(J86="",$N$83,SUM(J86:J91))</f>
        <v>20</v>
      </c>
      <c r="H82" s="521">
        <f t="shared" si="10"/>
        <v>60</v>
      </c>
      <c r="I82" s="522">
        <f>F82+G82+H82</f>
        <v>110</v>
      </c>
      <c r="J82" s="525">
        <f>IF(I81=0,N83,I82/I81)</f>
        <v>1</v>
      </c>
      <c r="K82" s="338"/>
      <c r="L82"/>
      <c r="N82"/>
      <c r="O82"/>
      <c r="P82"/>
    </row>
    <row r="83" spans="1:16" s="49" customFormat="1" ht="15.75" hidden="1">
      <c r="B83" s="664"/>
      <c r="C83" s="666"/>
      <c r="D83"/>
      <c r="E83"/>
      <c r="F83"/>
      <c r="G83"/>
      <c r="H83"/>
      <c r="I83" s="338" t="s">
        <v>642</v>
      </c>
      <c r="J83"/>
      <c r="K83"/>
      <c r="L83"/>
      <c r="M83" s="338"/>
      <c r="N83" s="59" t="s">
        <v>219</v>
      </c>
      <c r="O83"/>
      <c r="P83"/>
    </row>
    <row r="84" spans="1:16" customFormat="1" ht="15.75" hidden="1">
      <c r="C84" s="666"/>
      <c r="E84" s="537"/>
      <c r="F84" s="532" t="s">
        <v>646</v>
      </c>
      <c r="G84" s="532"/>
      <c r="H84" s="533"/>
      <c r="I84" s="531" t="s">
        <v>648</v>
      </c>
      <c r="J84" s="532"/>
      <c r="K84" s="533"/>
    </row>
    <row r="85" spans="1:16" s="49" customFormat="1" ht="15.75" hidden="1">
      <c r="B85" s="664"/>
      <c r="C85" s="666"/>
      <c r="D85"/>
      <c r="E85" s="536"/>
      <c r="F85" s="534" t="s">
        <v>204</v>
      </c>
      <c r="G85" s="528" t="s">
        <v>643</v>
      </c>
      <c r="H85" s="529" t="s">
        <v>206</v>
      </c>
      <c r="I85" s="527" t="s">
        <v>204</v>
      </c>
      <c r="J85" s="528" t="s">
        <v>643</v>
      </c>
      <c r="K85" s="529" t="s">
        <v>206</v>
      </c>
      <c r="L85"/>
      <c r="M85" s="96"/>
      <c r="N85"/>
      <c r="O85"/>
      <c r="P85"/>
    </row>
    <row r="86" spans="1:16" s="49" customFormat="1" ht="15.75" hidden="1">
      <c r="B86" s="664"/>
      <c r="C86" s="666"/>
      <c r="D86"/>
      <c r="E86" s="535" t="s">
        <v>649</v>
      </c>
      <c r="F86" s="505">
        <v>30</v>
      </c>
      <c r="G86" s="505">
        <v>20</v>
      </c>
      <c r="H86" s="505">
        <v>60</v>
      </c>
      <c r="I86" s="505">
        <v>30</v>
      </c>
      <c r="J86" s="505">
        <v>20</v>
      </c>
      <c r="K86" s="505">
        <v>60</v>
      </c>
      <c r="L86"/>
      <c r="M86" s="96"/>
      <c r="N86"/>
      <c r="O86"/>
      <c r="P86"/>
    </row>
    <row r="87" spans="1:16" s="49" customFormat="1" ht="15.75" hidden="1">
      <c r="B87" s="664"/>
      <c r="C87" s="666"/>
      <c r="D87"/>
      <c r="E87" s="530" t="s">
        <v>650</v>
      </c>
      <c r="F87" s="503"/>
      <c r="G87" s="503"/>
      <c r="H87" s="503"/>
      <c r="I87" s="503"/>
      <c r="J87" s="503"/>
      <c r="K87" s="503"/>
      <c r="L87"/>
      <c r="M87" s="96"/>
      <c r="N87"/>
      <c r="O87"/>
      <c r="P87"/>
    </row>
    <row r="88" spans="1:16" s="49" customFormat="1" ht="15.75" hidden="1">
      <c r="B88" s="664"/>
      <c r="C88" s="666"/>
      <c r="D88"/>
      <c r="E88" s="530" t="s">
        <v>651</v>
      </c>
      <c r="F88" s="505"/>
      <c r="G88" s="505"/>
      <c r="H88" s="505"/>
      <c r="I88" s="505"/>
      <c r="J88" s="505"/>
      <c r="K88" s="505"/>
      <c r="L88"/>
      <c r="M88" s="96"/>
      <c r="N88"/>
      <c r="O88"/>
      <c r="P88"/>
    </row>
    <row r="89" spans="1:16" s="49" customFormat="1" ht="15.75" hidden="1">
      <c r="B89" s="664"/>
      <c r="C89" s="666"/>
      <c r="D89"/>
      <c r="E89" s="530" t="s">
        <v>652</v>
      </c>
      <c r="F89" s="503"/>
      <c r="G89" s="503"/>
      <c r="H89" s="503"/>
      <c r="I89" s="503"/>
      <c r="J89" s="503"/>
      <c r="K89" s="503"/>
      <c r="L89"/>
      <c r="M89" s="96"/>
      <c r="N89"/>
      <c r="O89"/>
      <c r="P89"/>
    </row>
    <row r="90" spans="1:16" s="49" customFormat="1" ht="15.75" hidden="1">
      <c r="B90" s="664"/>
      <c r="C90" s="666"/>
      <c r="D90"/>
      <c r="E90" s="530" t="s">
        <v>653</v>
      </c>
      <c r="F90" s="505"/>
      <c r="G90" s="505"/>
      <c r="H90" s="505"/>
      <c r="I90" s="505"/>
      <c r="J90" s="505"/>
      <c r="K90" s="505"/>
      <c r="L90"/>
      <c r="M90" s="96"/>
      <c r="N90"/>
      <c r="O90"/>
      <c r="P90"/>
    </row>
    <row r="91" spans="1:16" s="49" customFormat="1" ht="15.75" hidden="1">
      <c r="B91" s="664"/>
      <c r="C91" s="666"/>
      <c r="D91"/>
      <c r="E91" s="530" t="s">
        <v>654</v>
      </c>
      <c r="F91" s="503"/>
      <c r="G91" s="503"/>
      <c r="H91" s="503"/>
      <c r="I91" s="503"/>
      <c r="J91" s="503"/>
      <c r="K91" s="503"/>
      <c r="L91"/>
      <c r="M91" s="96"/>
      <c r="N91"/>
      <c r="O91"/>
      <c r="P91"/>
    </row>
    <row r="92" spans="1:16" s="49" customFormat="1" ht="15.75" hidden="1">
      <c r="B92" s="664"/>
      <c r="C92"/>
      <c r="D92"/>
      <c r="E92"/>
      <c r="F92"/>
      <c r="G92"/>
      <c r="H92"/>
      <c r="I92"/>
      <c r="J92"/>
      <c r="K92"/>
      <c r="L92"/>
      <c r="M92" s="96"/>
      <c r="N92"/>
      <c r="O92"/>
      <c r="P92"/>
    </row>
    <row r="93" spans="1:16" s="49" customFormat="1" ht="15.75">
      <c r="B93" s="685" t="s">
        <v>1031</v>
      </c>
      <c r="C93" s="666"/>
      <c r="D93"/>
      <c r="E93"/>
      <c r="F93"/>
      <c r="G93"/>
      <c r="H93"/>
      <c r="I93"/>
      <c r="J93"/>
      <c r="K93"/>
      <c r="L93"/>
      <c r="M93"/>
      <c r="N93"/>
      <c r="O93"/>
      <c r="P93"/>
    </row>
    <row r="94" spans="1:16" s="49" customFormat="1" ht="15.75">
      <c r="A94" s="664"/>
      <c r="C94" s="666" t="s">
        <v>1032</v>
      </c>
      <c r="D94"/>
      <c r="E94"/>
      <c r="F94"/>
      <c r="G94"/>
      <c r="H94"/>
      <c r="I94"/>
      <c r="J94"/>
      <c r="K94"/>
      <c r="L94"/>
      <c r="M94"/>
      <c r="N94"/>
      <c r="O94"/>
      <c r="P94"/>
    </row>
    <row r="95" spans="1:16" s="49" customFormat="1" ht="16.5" thickBot="1">
      <c r="A95" s="664"/>
      <c r="B95" s="163"/>
      <c r="C95" s="666"/>
      <c r="D95" s="163" t="s">
        <v>1033</v>
      </c>
      <c r="E95" s="664"/>
      <c r="F95" s="675"/>
      <c r="G95" s="675"/>
      <c r="H95" s="675"/>
      <c r="I95" s="459"/>
      <c r="J95" s="664"/>
      <c r="K95" s="664"/>
      <c r="L95" s="676"/>
      <c r="M95" s="664"/>
      <c r="N95" s="62"/>
      <c r="O95" s="62"/>
    </row>
    <row r="96" spans="1:16" s="49" customFormat="1" ht="16.5" thickBot="1">
      <c r="B96" s="664"/>
      <c r="C96" s="666"/>
      <c r="D96" s="434">
        <v>3</v>
      </c>
      <c r="E96" s="453" t="s">
        <v>1229</v>
      </c>
      <c r="F96" s="453"/>
      <c r="G96" s="453"/>
      <c r="H96" s="453"/>
      <c r="I96" s="453"/>
      <c r="J96" s="453"/>
      <c r="K96" s="453"/>
      <c r="L96" s="454"/>
      <c r="M96" s="62"/>
      <c r="N96" s="448" t="s">
        <v>336</v>
      </c>
      <c r="O96" s="448" t="s">
        <v>337</v>
      </c>
    </row>
    <row r="97" spans="1:15" s="49" customFormat="1" ht="15.75">
      <c r="B97" s="664"/>
      <c r="C97" s="666"/>
      <c r="D97" s="435" t="str">
        <f>IF(ROUNDDOWN(D96,0)=$N$2,$P$2,$O$2)</f>
        <v>　レベル　1</v>
      </c>
      <c r="E97" s="460" t="s">
        <v>655</v>
      </c>
      <c r="F97" s="500"/>
      <c r="G97" s="500"/>
      <c r="H97" s="500"/>
      <c r="I97" s="500"/>
      <c r="J97" s="500"/>
      <c r="K97" s="500"/>
      <c r="L97" s="508"/>
      <c r="M97" s="664"/>
      <c r="N97" s="449">
        <v>1</v>
      </c>
      <c r="O97" s="452"/>
    </row>
    <row r="98" spans="1:15" s="49" customFormat="1" ht="15.75">
      <c r="B98" s="664"/>
      <c r="C98" s="666"/>
      <c r="D98" s="436" t="str">
        <f>IF(ROUNDDOWN(D96,0)=$N$3,$P$3,$O$3)</f>
        <v>　レベル　2</v>
      </c>
      <c r="E98" s="463" t="s">
        <v>414</v>
      </c>
      <c r="F98" s="501"/>
      <c r="G98" s="501"/>
      <c r="H98" s="501"/>
      <c r="I98" s="501"/>
      <c r="J98" s="501"/>
      <c r="K98" s="501"/>
      <c r="L98" s="509"/>
      <c r="M98" s="62"/>
      <c r="N98" s="449" t="s">
        <v>312</v>
      </c>
      <c r="O98" s="452"/>
    </row>
    <row r="99" spans="1:15" s="49" customFormat="1" ht="15.75">
      <c r="B99" s="664"/>
      <c r="C99" s="666"/>
      <c r="D99" s="436" t="str">
        <f>IF(ROUNDDOWN(D96,0)=$N$4,$P$4,$O$4)</f>
        <v>■レベル　3</v>
      </c>
      <c r="E99" s="463" t="s">
        <v>656</v>
      </c>
      <c r="F99" s="501"/>
      <c r="G99" s="501"/>
      <c r="H99" s="501"/>
      <c r="I99" s="501"/>
      <c r="J99" s="501"/>
      <c r="K99" s="501"/>
      <c r="L99" s="509"/>
      <c r="M99" s="664"/>
      <c r="N99" s="449">
        <v>3</v>
      </c>
      <c r="O99" s="452"/>
    </row>
    <row r="100" spans="1:15" s="49" customFormat="1" ht="15.75">
      <c r="B100" s="664"/>
      <c r="C100" s="666"/>
      <c r="D100" s="436" t="str">
        <f>IF(ROUNDDOWN(D96,0)=$N$5,$P$5,$O$5)</f>
        <v>　レベル　4</v>
      </c>
      <c r="E100" s="466" t="s">
        <v>657</v>
      </c>
      <c r="F100" s="502"/>
      <c r="G100" s="502"/>
      <c r="H100" s="502"/>
      <c r="I100" s="502"/>
      <c r="J100" s="502"/>
      <c r="K100" s="502"/>
      <c r="L100" s="510"/>
      <c r="M100" s="62"/>
      <c r="N100" s="449">
        <v>4</v>
      </c>
      <c r="O100" s="452"/>
    </row>
    <row r="101" spans="1:15" s="49" customFormat="1" ht="15.75">
      <c r="B101" s="664"/>
      <c r="C101" s="666"/>
      <c r="D101" s="437" t="str">
        <f>IF(ROUNDDOWN(D96,0)=$N$6,$P$6,$O$6)</f>
        <v>　レベル　5</v>
      </c>
      <c r="E101" s="469" t="s">
        <v>658</v>
      </c>
      <c r="F101" s="480"/>
      <c r="G101" s="480"/>
      <c r="H101" s="480"/>
      <c r="I101" s="480"/>
      <c r="J101" s="480"/>
      <c r="K101" s="480"/>
      <c r="L101" s="511"/>
      <c r="M101" s="664"/>
      <c r="N101" s="449">
        <v>5</v>
      </c>
      <c r="O101" s="452"/>
    </row>
    <row r="102" spans="1:15" s="49" customFormat="1" ht="15.75">
      <c r="B102" s="664"/>
      <c r="C102" s="666"/>
      <c r="D102" s="438" t="s">
        <v>341</v>
      </c>
      <c r="E102" s="1002"/>
      <c r="F102" s="494"/>
      <c r="G102" s="494"/>
      <c r="H102" s="679"/>
      <c r="I102"/>
      <c r="J102"/>
      <c r="K102"/>
      <c r="L102"/>
      <c r="M102" s="62"/>
      <c r="N102" s="449" t="s">
        <v>312</v>
      </c>
      <c r="O102" s="452"/>
    </row>
    <row r="103" spans="1:15" customFormat="1"/>
    <row r="104" spans="1:15" s="49" customFormat="1" ht="16.5" thickBot="1">
      <c r="A104" s="664"/>
      <c r="B104" s="163"/>
      <c r="C104" s="666"/>
      <c r="D104" s="163" t="s">
        <v>1034</v>
      </c>
      <c r="E104" s="664"/>
      <c r="F104" s="675"/>
      <c r="G104" s="675"/>
      <c r="H104" s="675"/>
      <c r="I104" s="459"/>
      <c r="J104" s="664"/>
      <c r="K104" s="664"/>
      <c r="L104" s="676"/>
      <c r="M104" s="664"/>
      <c r="N104" s="62"/>
      <c r="O104" s="62"/>
    </row>
    <row r="105" spans="1:15" s="49" customFormat="1" ht="16.5" thickBot="1">
      <c r="B105" s="664"/>
      <c r="C105" s="666"/>
      <c r="D105" s="434">
        <v>3</v>
      </c>
      <c r="E105" s="453" t="s">
        <v>1229</v>
      </c>
      <c r="F105" s="453"/>
      <c r="G105" s="453"/>
      <c r="H105" s="453"/>
      <c r="I105" s="453"/>
      <c r="J105" s="453"/>
      <c r="K105" s="453"/>
      <c r="L105" s="454"/>
      <c r="M105" s="62"/>
      <c r="N105" s="448" t="s">
        <v>336</v>
      </c>
      <c r="O105" s="448" t="s">
        <v>337</v>
      </c>
    </row>
    <row r="106" spans="1:15" s="49" customFormat="1" ht="15.75">
      <c r="B106" s="664"/>
      <c r="C106" s="666"/>
      <c r="D106" s="435" t="str">
        <f>IF(ROUNDDOWN(D105,0)=$N$2,$P$2,$O$2)</f>
        <v>　レベル　1</v>
      </c>
      <c r="E106" s="460" t="s">
        <v>659</v>
      </c>
      <c r="F106" s="500"/>
      <c r="G106" s="500"/>
      <c r="H106" s="500"/>
      <c r="I106" s="500"/>
      <c r="J106" s="500"/>
      <c r="K106" s="500"/>
      <c r="L106" s="508"/>
      <c r="M106" s="664"/>
      <c r="N106" s="449">
        <v>1</v>
      </c>
      <c r="O106" s="452"/>
    </row>
    <row r="107" spans="1:15" s="49" customFormat="1" ht="15.75">
      <c r="B107" s="664"/>
      <c r="C107" s="666"/>
      <c r="D107" s="436" t="str">
        <f>IF(ROUNDDOWN(D105,0)=$N$3,$P$3,$O$3)</f>
        <v>　レベル　2</v>
      </c>
      <c r="E107" s="463" t="s">
        <v>414</v>
      </c>
      <c r="F107" s="501"/>
      <c r="G107" s="501"/>
      <c r="H107" s="501"/>
      <c r="I107" s="501"/>
      <c r="J107" s="501"/>
      <c r="K107" s="501"/>
      <c r="L107" s="509"/>
      <c r="M107" s="62"/>
      <c r="N107" s="449" t="s">
        <v>312</v>
      </c>
      <c r="O107" s="452"/>
    </row>
    <row r="108" spans="1:15" s="49" customFormat="1" ht="15.75">
      <c r="B108" s="664"/>
      <c r="C108" s="666"/>
      <c r="D108" s="436" t="str">
        <f>IF(ROUNDDOWN(D105,0)=$N$4,$P$4,$O$4)</f>
        <v>■レベル　3</v>
      </c>
      <c r="E108" s="463" t="s">
        <v>660</v>
      </c>
      <c r="F108" s="501"/>
      <c r="G108" s="501"/>
      <c r="H108" s="501"/>
      <c r="I108" s="501"/>
      <c r="J108" s="501"/>
      <c r="K108" s="501"/>
      <c r="L108" s="509"/>
      <c r="M108" s="664"/>
      <c r="N108" s="449">
        <v>3</v>
      </c>
      <c r="O108" s="452"/>
    </row>
    <row r="109" spans="1:15" s="49" customFormat="1" ht="15.75">
      <c r="B109" s="664"/>
      <c r="C109" s="666"/>
      <c r="D109" s="436" t="str">
        <f>IF(ROUNDDOWN(D105,0)=$N$5,$P$5,$O$5)</f>
        <v>　レベル　4</v>
      </c>
      <c r="E109" s="466" t="s">
        <v>414</v>
      </c>
      <c r="F109" s="502"/>
      <c r="G109" s="502"/>
      <c r="H109" s="502"/>
      <c r="I109" s="502"/>
      <c r="J109" s="502"/>
      <c r="K109" s="502"/>
      <c r="L109" s="510"/>
      <c r="M109" s="62"/>
      <c r="N109" s="449" t="s">
        <v>312</v>
      </c>
      <c r="O109" s="452"/>
    </row>
    <row r="110" spans="1:15" s="49" customFormat="1" ht="15.75">
      <c r="B110" s="664"/>
      <c r="C110" s="666"/>
      <c r="D110" s="437" t="str">
        <f>IF(ROUNDDOWN(D105,0)=$N$6,$P$6,$O$6)</f>
        <v>　レベル　5</v>
      </c>
      <c r="E110" s="469" t="s">
        <v>661</v>
      </c>
      <c r="F110" s="480"/>
      <c r="G110" s="480"/>
      <c r="H110" s="480"/>
      <c r="I110" s="480"/>
      <c r="J110" s="480"/>
      <c r="K110" s="480"/>
      <c r="L110" s="511"/>
      <c r="M110" s="664"/>
      <c r="N110" s="449">
        <v>5</v>
      </c>
      <c r="O110" s="452"/>
    </row>
    <row r="111" spans="1:15" s="49" customFormat="1" ht="15.75">
      <c r="B111" s="664"/>
      <c r="C111" s="666"/>
      <c r="D111" s="438" t="s">
        <v>341</v>
      </c>
      <c r="E111" s="1002"/>
      <c r="F111" s="494"/>
      <c r="G111" s="494"/>
      <c r="H111" s="679"/>
      <c r="I111"/>
      <c r="J111"/>
      <c r="K111"/>
      <c r="L111"/>
      <c r="M111" s="62"/>
      <c r="N111" s="449" t="s">
        <v>312</v>
      </c>
      <c r="O111" s="452"/>
    </row>
    <row r="112" spans="1:15" customFormat="1"/>
    <row r="113" spans="1:15" s="50" customFormat="1" ht="15.75">
      <c r="C113" s="666" t="s">
        <v>1035</v>
      </c>
      <c r="D113" s="672"/>
      <c r="H113" s="677"/>
      <c r="I113" s="96"/>
      <c r="J113" s="96"/>
      <c r="K113" s="96"/>
      <c r="L113" s="96"/>
      <c r="M113" s="96"/>
    </row>
    <row r="114" spans="1:15" s="49" customFormat="1" ht="16.5" thickBot="1">
      <c r="A114" s="664"/>
      <c r="B114" s="163"/>
      <c r="C114" s="666"/>
      <c r="D114" s="163" t="s">
        <v>662</v>
      </c>
      <c r="E114" s="664"/>
      <c r="F114" s="675"/>
      <c r="G114" s="675"/>
      <c r="H114" s="675"/>
      <c r="I114" s="459"/>
      <c r="J114" s="664"/>
      <c r="K114" s="664"/>
      <c r="L114" s="676"/>
      <c r="M114" s="664"/>
      <c r="N114" s="62"/>
      <c r="O114" s="62"/>
    </row>
    <row r="115" spans="1:15" s="49" customFormat="1" ht="16.5" thickBot="1">
      <c r="B115" s="664"/>
      <c r="C115" s="666"/>
      <c r="D115" s="434">
        <v>3</v>
      </c>
      <c r="E115" s="453" t="s">
        <v>1229</v>
      </c>
      <c r="F115" s="453"/>
      <c r="G115" s="453"/>
      <c r="H115" s="453"/>
      <c r="I115" s="453"/>
      <c r="J115" s="453"/>
      <c r="K115" s="453"/>
      <c r="L115" s="454"/>
      <c r="M115" s="62"/>
      <c r="N115" s="448" t="s">
        <v>336</v>
      </c>
      <c r="O115" s="448" t="s">
        <v>337</v>
      </c>
    </row>
    <row r="116" spans="1:15" s="49" customFormat="1" ht="15.75">
      <c r="B116" s="664"/>
      <c r="C116" s="666"/>
      <c r="D116" s="435" t="str">
        <f>IF(ROUNDDOWN(D115,0)=$N$2,$P$2,$O$2)</f>
        <v>　レベル　1</v>
      </c>
      <c r="E116" s="460" t="s">
        <v>663</v>
      </c>
      <c r="F116" s="500"/>
      <c r="G116" s="500"/>
      <c r="H116" s="500"/>
      <c r="I116" s="500"/>
      <c r="J116" s="500"/>
      <c r="K116" s="500"/>
      <c r="L116" s="508"/>
      <c r="M116" s="664"/>
      <c r="N116" s="449">
        <v>1</v>
      </c>
      <c r="O116" s="452"/>
    </row>
    <row r="117" spans="1:15" s="49" customFormat="1" ht="15.75">
      <c r="B117" s="664"/>
      <c r="C117" s="666"/>
      <c r="D117" s="436" t="str">
        <f>IF(ROUNDDOWN(D115,0)=$N$3,$P$3,$O$3)</f>
        <v>　レベル　2</v>
      </c>
      <c r="E117" s="463" t="s">
        <v>414</v>
      </c>
      <c r="F117" s="501"/>
      <c r="G117" s="501"/>
      <c r="H117" s="501"/>
      <c r="I117" s="501"/>
      <c r="J117" s="501"/>
      <c r="K117" s="501"/>
      <c r="L117" s="509"/>
      <c r="M117" s="62"/>
      <c r="N117" s="449" t="s">
        <v>312</v>
      </c>
      <c r="O117" s="452"/>
    </row>
    <row r="118" spans="1:15" s="49" customFormat="1" ht="15.75">
      <c r="B118" s="664"/>
      <c r="C118" s="666"/>
      <c r="D118" s="436" t="str">
        <f>IF(ROUNDDOWN(D115,0)=$N$4,$P$4,$O$4)</f>
        <v>■レベル　3</v>
      </c>
      <c r="E118" s="463" t="s">
        <v>664</v>
      </c>
      <c r="F118" s="501"/>
      <c r="G118" s="501"/>
      <c r="H118" s="501"/>
      <c r="I118" s="501"/>
      <c r="J118" s="501"/>
      <c r="K118" s="501"/>
      <c r="L118" s="509"/>
      <c r="M118" s="664"/>
      <c r="N118" s="449">
        <v>3</v>
      </c>
      <c r="O118" s="452"/>
    </row>
    <row r="119" spans="1:15" s="49" customFormat="1" ht="15.75">
      <c r="B119" s="664"/>
      <c r="C119" s="666"/>
      <c r="D119" s="436" t="str">
        <f>IF(ROUNDDOWN(D115,0)=$N$5,$P$5,$O$5)</f>
        <v>　レベル　4</v>
      </c>
      <c r="E119" s="466" t="s">
        <v>665</v>
      </c>
      <c r="F119" s="502"/>
      <c r="G119" s="502"/>
      <c r="H119" s="502"/>
      <c r="I119" s="502"/>
      <c r="J119" s="502"/>
      <c r="K119" s="502"/>
      <c r="L119" s="510"/>
      <c r="M119" s="62"/>
      <c r="N119" s="449">
        <v>4</v>
      </c>
      <c r="O119" s="452"/>
    </row>
    <row r="120" spans="1:15" s="49" customFormat="1" ht="15.75">
      <c r="B120" s="664"/>
      <c r="C120" s="666"/>
      <c r="D120" s="437" t="str">
        <f>IF(ROUNDDOWN(D115,0)=$N$6,$P$6,$O$6)</f>
        <v>　レベル　5</v>
      </c>
      <c r="E120" s="469" t="s">
        <v>666</v>
      </c>
      <c r="F120" s="480"/>
      <c r="G120" s="480"/>
      <c r="H120" s="480"/>
      <c r="I120" s="480"/>
      <c r="J120" s="480"/>
      <c r="K120" s="480"/>
      <c r="L120" s="511"/>
      <c r="M120" s="664"/>
      <c r="N120" s="449">
        <v>5</v>
      </c>
      <c r="O120" s="452"/>
    </row>
    <row r="121" spans="1:15" s="49" customFormat="1" ht="15.75">
      <c r="B121" s="664"/>
      <c r="C121" s="666"/>
      <c r="D121" s="438" t="s">
        <v>341</v>
      </c>
      <c r="E121" s="1002"/>
      <c r="F121" s="494"/>
      <c r="G121" s="494"/>
      <c r="H121" s="679"/>
      <c r="I121"/>
      <c r="J121"/>
      <c r="K121"/>
      <c r="L121"/>
      <c r="M121" s="62"/>
      <c r="N121" s="449" t="s">
        <v>312</v>
      </c>
      <c r="O121" s="452"/>
    </row>
    <row r="122" spans="1:15" customFormat="1"/>
    <row r="123" spans="1:15" s="49" customFormat="1" ht="16.5" thickBot="1">
      <c r="B123" s="664"/>
      <c r="C123" s="666"/>
      <c r="D123" s="163" t="s">
        <v>667</v>
      </c>
      <c r="E123" s="664"/>
      <c r="F123" s="675"/>
      <c r="G123" s="675"/>
      <c r="H123" s="675"/>
      <c r="I123" s="459"/>
      <c r="J123" s="664"/>
      <c r="K123" s="664"/>
      <c r="L123" s="676"/>
      <c r="M123" s="664"/>
      <c r="N123" s="62"/>
      <c r="O123" s="62"/>
    </row>
    <row r="124" spans="1:15" s="49" customFormat="1" ht="16.5" thickBot="1">
      <c r="B124" s="664"/>
      <c r="C124" s="666"/>
      <c r="D124" s="434">
        <v>3</v>
      </c>
      <c r="E124" s="453" t="s">
        <v>1229</v>
      </c>
      <c r="F124" s="453"/>
      <c r="G124" s="453"/>
      <c r="H124" s="453"/>
      <c r="I124" s="453"/>
      <c r="J124" s="453"/>
      <c r="K124" s="453"/>
      <c r="L124" s="454"/>
      <c r="M124" s="62"/>
      <c r="N124" s="448" t="s">
        <v>336</v>
      </c>
      <c r="O124" s="448" t="s">
        <v>337</v>
      </c>
    </row>
    <row r="125" spans="1:15" s="49" customFormat="1" ht="15.75">
      <c r="B125" s="664"/>
      <c r="C125" s="666"/>
      <c r="D125" s="435" t="str">
        <f>IF(ROUNDDOWN(D124,0)=$N$2,$P$2,$O$2)</f>
        <v>　レベル　1</v>
      </c>
      <c r="E125" s="460" t="s">
        <v>668</v>
      </c>
      <c r="F125" s="500"/>
      <c r="G125" s="500"/>
      <c r="H125" s="500"/>
      <c r="I125" s="500"/>
      <c r="J125" s="500"/>
      <c r="K125" s="500"/>
      <c r="L125" s="508"/>
      <c r="M125" s="664"/>
      <c r="N125" s="449">
        <v>1</v>
      </c>
      <c r="O125" s="452"/>
    </row>
    <row r="126" spans="1:15" s="49" customFormat="1" ht="15.75">
      <c r="B126" s="664"/>
      <c r="C126" s="666"/>
      <c r="D126" s="436" t="str">
        <f>IF(ROUNDDOWN(D124,0)=$N$3,$P$3,$O$3)</f>
        <v>　レベル　2</v>
      </c>
      <c r="E126" s="463" t="s">
        <v>414</v>
      </c>
      <c r="F126" s="501"/>
      <c r="G126" s="501"/>
      <c r="H126" s="501"/>
      <c r="I126" s="501"/>
      <c r="J126" s="501"/>
      <c r="K126" s="501"/>
      <c r="L126" s="509"/>
      <c r="M126" s="62"/>
      <c r="N126" s="449" t="s">
        <v>312</v>
      </c>
      <c r="O126" s="452"/>
    </row>
    <row r="127" spans="1:15" s="49" customFormat="1" ht="15.75">
      <c r="B127" s="664"/>
      <c r="C127" s="666"/>
      <c r="D127" s="436" t="str">
        <f>IF(ROUNDDOWN(D124,0)=$N$4,$P$4,$O$4)</f>
        <v>■レベル　3</v>
      </c>
      <c r="E127" s="463" t="s">
        <v>669</v>
      </c>
      <c r="F127" s="501"/>
      <c r="G127" s="501"/>
      <c r="H127" s="501"/>
      <c r="I127" s="501"/>
      <c r="J127" s="501"/>
      <c r="K127" s="501"/>
      <c r="L127" s="509"/>
      <c r="M127" s="664"/>
      <c r="N127" s="449">
        <v>3</v>
      </c>
      <c r="O127" s="452"/>
    </row>
    <row r="128" spans="1:15" s="49" customFormat="1" ht="15.75">
      <c r="B128" s="664"/>
      <c r="C128" s="666"/>
      <c r="D128" s="436" t="str">
        <f>IF(ROUNDDOWN(D124,0)=$N$5,$P$5,$O$5)</f>
        <v>　レベル　4</v>
      </c>
      <c r="E128" s="466" t="s">
        <v>414</v>
      </c>
      <c r="F128" s="502"/>
      <c r="G128" s="502"/>
      <c r="H128" s="502"/>
      <c r="I128" s="502"/>
      <c r="J128" s="502"/>
      <c r="K128" s="502"/>
      <c r="L128" s="510"/>
      <c r="M128" s="62"/>
      <c r="N128" s="449" t="s">
        <v>312</v>
      </c>
      <c r="O128" s="452"/>
    </row>
    <row r="129" spans="1:15" s="49" customFormat="1" ht="15.75">
      <c r="B129" s="664"/>
      <c r="C129" s="666"/>
      <c r="D129" s="437" t="str">
        <f>IF(ROUNDDOWN(D124,0)=$N$6,$P$6,$O$6)</f>
        <v>　レベル　5</v>
      </c>
      <c r="E129" s="469" t="s">
        <v>670</v>
      </c>
      <c r="F129" s="480"/>
      <c r="G129" s="480"/>
      <c r="H129" s="480"/>
      <c r="I129" s="480"/>
      <c r="J129" s="480"/>
      <c r="K129" s="480"/>
      <c r="L129" s="511"/>
      <c r="M129" s="664"/>
      <c r="N129" s="449">
        <v>5</v>
      </c>
      <c r="O129" s="452"/>
    </row>
    <row r="130" spans="1:15" s="49" customFormat="1" ht="15.75">
      <c r="B130" s="664"/>
      <c r="C130" s="666"/>
      <c r="D130" s="438" t="s">
        <v>341</v>
      </c>
      <c r="E130" s="1002"/>
      <c r="F130" s="494"/>
      <c r="G130" s="494"/>
      <c r="H130" s="679"/>
      <c r="I130"/>
      <c r="J130"/>
      <c r="K130"/>
      <c r="L130"/>
      <c r="M130" s="62"/>
      <c r="N130" s="449" t="s">
        <v>312</v>
      </c>
      <c r="O130" s="452"/>
    </row>
    <row r="131" spans="1:15" customFormat="1"/>
    <row r="132" spans="1:15" s="50" customFormat="1" ht="15.75">
      <c r="B132" s="666" t="s">
        <v>1036</v>
      </c>
      <c r="C132" s="666"/>
      <c r="D132" s="672"/>
      <c r="H132" s="677"/>
      <c r="I132" s="96"/>
      <c r="J132" s="96"/>
      <c r="K132" s="96"/>
      <c r="L132" s="96"/>
      <c r="M132" s="96"/>
    </row>
    <row r="133" spans="1:15" s="50" customFormat="1" ht="16.5" thickBot="1">
      <c r="C133" s="666" t="s">
        <v>671</v>
      </c>
      <c r="D133" s="672"/>
      <c r="F133" s="687"/>
      <c r="H133" s="677"/>
      <c r="I133" s="96"/>
      <c r="J133" s="96"/>
      <c r="K133" s="96"/>
      <c r="L133" s="96"/>
      <c r="M133" s="96"/>
    </row>
    <row r="134" spans="1:15" s="50" customFormat="1" ht="16.5" thickBot="1">
      <c r="B134" s="666"/>
      <c r="C134" s="666"/>
      <c r="D134" s="1031">
        <f>AVERAGE(J134:J136)</f>
        <v>3</v>
      </c>
      <c r="F134" s="719" t="s">
        <v>672</v>
      </c>
      <c r="G134" s="539" t="str">
        <f>スコア!C26</f>
        <v>1.2.1 水と緑</v>
      </c>
      <c r="H134" s="539"/>
      <c r="I134" s="539"/>
      <c r="J134" s="538">
        <f>スコア!V26</f>
        <v>3</v>
      </c>
      <c r="K134" s="96"/>
      <c r="L134" s="96"/>
      <c r="M134" s="96"/>
    </row>
    <row r="135" spans="1:15" s="50" customFormat="1" ht="15.75">
      <c r="B135" s="666"/>
      <c r="C135" s="666"/>
      <c r="F135" s="720"/>
      <c r="G135" s="542" t="str">
        <f>スコア!D34</f>
        <v>1.2.2.3 風通しの確保</v>
      </c>
      <c r="H135" s="542"/>
      <c r="I135" s="541"/>
      <c r="J135" s="538">
        <f>スコア!V34</f>
        <v>3</v>
      </c>
      <c r="K135" s="96"/>
      <c r="L135" s="96"/>
      <c r="M135" s="96"/>
    </row>
    <row r="136" spans="1:15" s="50" customFormat="1" ht="15.75">
      <c r="B136" s="666"/>
      <c r="C136" s="666"/>
      <c r="F136" s="721" t="s">
        <v>673</v>
      </c>
      <c r="G136" s="540" t="str">
        <f>スコア!B101</f>
        <v>1.1 都市・街区エネルギーの効率化</v>
      </c>
      <c r="H136" s="542"/>
      <c r="I136" s="541"/>
      <c r="J136" s="538">
        <f>スコア!V101</f>
        <v>3</v>
      </c>
      <c r="K136" s="96"/>
      <c r="L136" s="96"/>
      <c r="M136" s="96"/>
    </row>
    <row r="137" spans="1:15" customFormat="1"/>
    <row r="138" spans="1:15" s="49" customFormat="1" ht="19.5">
      <c r="C138" s="666" t="s">
        <v>957</v>
      </c>
      <c r="E138" s="50"/>
      <c r="F138" s="50"/>
      <c r="G138" s="682"/>
      <c r="H138" s="682"/>
      <c r="M138" s="96"/>
    </row>
    <row r="139" spans="1:15" s="49" customFormat="1" ht="16.5" thickBot="1">
      <c r="A139" s="664"/>
      <c r="B139" s="163"/>
      <c r="C139" s="666"/>
      <c r="D139" s="163" t="s">
        <v>1037</v>
      </c>
      <c r="E139" s="664"/>
      <c r="F139" s="675"/>
      <c r="G139" s="675"/>
      <c r="H139" s="675"/>
      <c r="I139" s="459"/>
      <c r="J139" s="664"/>
      <c r="K139" s="664"/>
      <c r="L139" s="738" t="s">
        <v>765</v>
      </c>
      <c r="M139" s="664"/>
      <c r="N139" s="62"/>
      <c r="O139" s="62"/>
    </row>
    <row r="140" spans="1:15" s="49" customFormat="1" ht="16.5" thickBot="1">
      <c r="B140" s="664"/>
      <c r="C140" s="666"/>
      <c r="D140" s="434">
        <v>3</v>
      </c>
      <c r="E140" s="453" t="s">
        <v>1229</v>
      </c>
      <c r="F140" s="453"/>
      <c r="G140" s="453"/>
      <c r="H140" s="453"/>
      <c r="I140" s="453"/>
      <c r="J140" s="453"/>
      <c r="K140" s="453"/>
      <c r="L140" s="454"/>
      <c r="M140" s="62"/>
      <c r="N140" s="448" t="s">
        <v>336</v>
      </c>
      <c r="O140" s="448" t="s">
        <v>337</v>
      </c>
    </row>
    <row r="141" spans="1:15" s="49" customFormat="1" ht="15.75">
      <c r="B141" s="664"/>
      <c r="C141" s="666"/>
      <c r="D141" s="435" t="str">
        <f>IF(ROUNDDOWN(D140,0)=$N$2,$P$2,$O$2)</f>
        <v>　レベル　1</v>
      </c>
      <c r="E141" s="460" t="s">
        <v>674</v>
      </c>
      <c r="F141" s="500"/>
      <c r="G141" s="500"/>
      <c r="H141" s="500"/>
      <c r="I141" s="500"/>
      <c r="J141" s="500"/>
      <c r="K141" s="500"/>
      <c r="L141" s="508"/>
      <c r="M141" s="664"/>
      <c r="N141" s="449">
        <v>1</v>
      </c>
      <c r="O141" s="452"/>
    </row>
    <row r="142" spans="1:15" s="49" customFormat="1" ht="15.75">
      <c r="B142" s="664"/>
      <c r="C142" s="666"/>
      <c r="D142" s="436" t="str">
        <f>IF(ROUNDDOWN(D140,0)=$N$3,$P$3,$O$3)</f>
        <v>　レベル　2</v>
      </c>
      <c r="E142" s="463" t="s">
        <v>414</v>
      </c>
      <c r="F142" s="501"/>
      <c r="G142" s="501"/>
      <c r="H142" s="501"/>
      <c r="I142" s="501"/>
      <c r="J142" s="501"/>
      <c r="K142" s="501"/>
      <c r="L142" s="509"/>
      <c r="M142" s="62"/>
      <c r="N142" s="449" t="s">
        <v>312</v>
      </c>
      <c r="O142" s="452"/>
    </row>
    <row r="143" spans="1:15" s="49" customFormat="1" ht="15.75">
      <c r="B143" s="664"/>
      <c r="C143" s="666"/>
      <c r="D143" s="436" t="str">
        <f>IF(ROUNDDOWN(D140,0)=$N$4,$P$4,$O$4)</f>
        <v>■レベル　3</v>
      </c>
      <c r="E143" s="463" t="s">
        <v>675</v>
      </c>
      <c r="F143" s="501"/>
      <c r="G143" s="501"/>
      <c r="H143" s="501"/>
      <c r="I143" s="501"/>
      <c r="J143" s="501"/>
      <c r="K143" s="501"/>
      <c r="L143" s="509"/>
      <c r="M143" s="664"/>
      <c r="N143" s="449">
        <v>3</v>
      </c>
      <c r="O143" s="452"/>
    </row>
    <row r="144" spans="1:15" s="49" customFormat="1" ht="15.75">
      <c r="B144" s="664"/>
      <c r="C144" s="666"/>
      <c r="D144" s="436" t="str">
        <f>IF(ROUNDDOWN(D140,0)=$N$5,$P$5,$O$5)</f>
        <v>　レベル　4</v>
      </c>
      <c r="E144" s="466" t="s">
        <v>676</v>
      </c>
      <c r="F144" s="502"/>
      <c r="G144" s="502"/>
      <c r="H144" s="502"/>
      <c r="I144" s="502"/>
      <c r="J144" s="502"/>
      <c r="K144" s="502"/>
      <c r="L144" s="510"/>
      <c r="M144" s="62"/>
      <c r="N144" s="449">
        <v>4</v>
      </c>
      <c r="O144" s="452"/>
    </row>
    <row r="145" spans="1:15" s="49" customFormat="1" ht="15.75">
      <c r="B145" s="664"/>
      <c r="C145" s="666"/>
      <c r="D145" s="437" t="str">
        <f>IF(ROUNDDOWN(D140,0)=$N$6,$P$6,$O$6)</f>
        <v>　レベル　5</v>
      </c>
      <c r="E145" s="469" t="s">
        <v>677</v>
      </c>
      <c r="F145" s="480"/>
      <c r="G145" s="480"/>
      <c r="H145" s="480"/>
      <c r="I145" s="480"/>
      <c r="J145" s="480"/>
      <c r="K145" s="480"/>
      <c r="L145" s="511"/>
      <c r="M145" s="664"/>
      <c r="N145" s="449">
        <v>5</v>
      </c>
      <c r="O145" s="452"/>
    </row>
    <row r="146" spans="1:15" s="49" customFormat="1" ht="15.75">
      <c r="B146" s="664"/>
      <c r="C146" s="666"/>
      <c r="D146" s="438" t="s">
        <v>341</v>
      </c>
      <c r="E146" s="1002"/>
      <c r="F146" s="494"/>
      <c r="G146" s="494"/>
      <c r="H146" s="679"/>
      <c r="I146" s="737" t="s">
        <v>715</v>
      </c>
      <c r="J146"/>
      <c r="K146"/>
      <c r="L146"/>
      <c r="M146" s="62"/>
      <c r="N146" s="451">
        <v>0</v>
      </c>
      <c r="O146" s="452"/>
    </row>
    <row r="147" spans="1:15" customFormat="1"/>
    <row r="148" spans="1:15" s="49" customFormat="1" ht="16.5" thickBot="1">
      <c r="A148" s="664"/>
      <c r="B148" s="163"/>
      <c r="C148" s="666"/>
      <c r="D148" s="163" t="s">
        <v>1038</v>
      </c>
      <c r="E148" s="664"/>
      <c r="F148" s="675"/>
      <c r="G148" s="675"/>
      <c r="H148" s="675"/>
      <c r="I148" s="459"/>
      <c r="J148" s="664"/>
      <c r="K148" s="664"/>
      <c r="L148" s="738" t="s">
        <v>764</v>
      </c>
      <c r="M148" s="664"/>
      <c r="N148" s="62"/>
      <c r="O148" s="62"/>
    </row>
    <row r="149" spans="1:15" s="49" customFormat="1" ht="16.5" thickBot="1">
      <c r="B149" s="664"/>
      <c r="C149" s="666"/>
      <c r="D149" s="434">
        <v>3</v>
      </c>
      <c r="E149" s="453" t="s">
        <v>1229</v>
      </c>
      <c r="F149" s="453"/>
      <c r="G149" s="453"/>
      <c r="H149" s="453"/>
      <c r="I149" s="453"/>
      <c r="J149" s="453"/>
      <c r="K149" s="453"/>
      <c r="L149" s="454"/>
      <c r="M149" s="62"/>
      <c r="N149" s="448" t="s">
        <v>336</v>
      </c>
      <c r="O149" s="448" t="s">
        <v>337</v>
      </c>
    </row>
    <row r="150" spans="1:15" s="49" customFormat="1" ht="15.75">
      <c r="B150" s="664"/>
      <c r="C150" s="666"/>
      <c r="D150" s="435" t="str">
        <f>IF(ROUNDDOWN(D149,0)=$N$2,$P$2,$O$2)</f>
        <v>　レベル　1</v>
      </c>
      <c r="E150" s="460" t="s">
        <v>414</v>
      </c>
      <c r="F150" s="500"/>
      <c r="G150" s="500"/>
      <c r="H150" s="500"/>
      <c r="I150" s="500"/>
      <c r="J150" s="500"/>
      <c r="K150" s="500"/>
      <c r="L150" s="508"/>
      <c r="M150" s="664"/>
      <c r="N150" s="449" t="s">
        <v>312</v>
      </c>
      <c r="O150" s="452"/>
    </row>
    <row r="151" spans="1:15" s="49" customFormat="1" ht="15.75">
      <c r="B151" s="664"/>
      <c r="C151" s="666"/>
      <c r="D151" s="436" t="str">
        <f>IF(ROUNDDOWN(D149,0)=$N$3,$P$3,$O$3)</f>
        <v>　レベル　2</v>
      </c>
      <c r="E151" s="463" t="s">
        <v>414</v>
      </c>
      <c r="F151" s="501"/>
      <c r="G151" s="501"/>
      <c r="H151" s="501"/>
      <c r="I151" s="501"/>
      <c r="J151" s="501"/>
      <c r="K151" s="501"/>
      <c r="L151" s="509"/>
      <c r="M151" s="62"/>
      <c r="N151" s="449" t="s">
        <v>312</v>
      </c>
      <c r="O151" s="452"/>
    </row>
    <row r="152" spans="1:15" s="49" customFormat="1" ht="15.75">
      <c r="B152" s="664"/>
      <c r="C152" s="666"/>
      <c r="D152" s="436" t="str">
        <f>IF(ROUNDDOWN(D149,0)=$N$4,$P$4,$O$4)</f>
        <v>■レベル　3</v>
      </c>
      <c r="E152" s="463" t="s">
        <v>754</v>
      </c>
      <c r="F152" s="501"/>
      <c r="G152" s="501"/>
      <c r="H152" s="501"/>
      <c r="I152" s="501"/>
      <c r="J152" s="501"/>
      <c r="K152" s="501"/>
      <c r="L152" s="509"/>
      <c r="M152" s="664"/>
      <c r="N152" s="449">
        <v>3</v>
      </c>
      <c r="O152" s="452"/>
    </row>
    <row r="153" spans="1:15" s="49" customFormat="1" ht="15.75">
      <c r="B153" s="664"/>
      <c r="C153" s="666"/>
      <c r="D153" s="436" t="str">
        <f>IF(ROUNDDOWN(D149,0)=$N$5,$P$5,$O$5)</f>
        <v>　レベル　4</v>
      </c>
      <c r="E153" s="466" t="s">
        <v>414</v>
      </c>
      <c r="F153" s="502"/>
      <c r="G153" s="502"/>
      <c r="H153" s="502"/>
      <c r="I153" s="502"/>
      <c r="J153" s="502"/>
      <c r="K153" s="502"/>
      <c r="L153" s="510"/>
      <c r="M153" s="62"/>
      <c r="N153" s="449" t="s">
        <v>312</v>
      </c>
      <c r="O153" s="452"/>
    </row>
    <row r="154" spans="1:15" s="49" customFormat="1" ht="15.75">
      <c r="B154" s="664"/>
      <c r="C154" s="666"/>
      <c r="D154" s="437" t="str">
        <f>IF(ROUNDDOWN(D149,0)=$N$6,$P$6,$O$6)</f>
        <v>　レベル　5</v>
      </c>
      <c r="E154" s="469" t="s">
        <v>755</v>
      </c>
      <c r="F154" s="480"/>
      <c r="G154" s="480"/>
      <c r="H154" s="480"/>
      <c r="I154" s="480"/>
      <c r="J154" s="480"/>
      <c r="K154" s="480"/>
      <c r="L154" s="511"/>
      <c r="M154" s="664"/>
      <c r="N154" s="449">
        <v>5</v>
      </c>
      <c r="O154" s="452"/>
    </row>
    <row r="155" spans="1:15" s="49" customFormat="1" ht="15.75">
      <c r="B155" s="664"/>
      <c r="C155" s="666"/>
      <c r="D155" s="438" t="s">
        <v>341</v>
      </c>
      <c r="E155" s="1002"/>
      <c r="F155" s="494"/>
      <c r="G155" s="494"/>
      <c r="H155" s="679"/>
      <c r="I155" s="737" t="s">
        <v>715</v>
      </c>
      <c r="J155"/>
      <c r="K155"/>
      <c r="L155"/>
      <c r="M155" s="62"/>
      <c r="N155" s="451">
        <v>0</v>
      </c>
      <c r="O155" s="452"/>
    </row>
    <row r="156" spans="1:15" customFormat="1"/>
    <row r="157" spans="1:15" s="49" customFormat="1" ht="16.5" thickBot="1">
      <c r="A157" s="664"/>
      <c r="B157" s="163"/>
      <c r="C157" s="666"/>
      <c r="D157" s="163" t="s">
        <v>976</v>
      </c>
      <c r="E157" s="447"/>
      <c r="F157" s="495"/>
      <c r="G157" s="495"/>
      <c r="H157" s="495"/>
      <c r="I157" s="459"/>
      <c r="J157" s="447"/>
      <c r="K157" s="447"/>
      <c r="L157" s="447"/>
      <c r="M157" s="447"/>
      <c r="N157" s="447"/>
      <c r="O157" s="62"/>
    </row>
    <row r="158" spans="1:15" s="49" customFormat="1" ht="16.5" thickBot="1">
      <c r="B158" s="664"/>
      <c r="C158" s="666"/>
      <c r="D158" s="1031">
        <f>IF(E166&gt;=O163,N163,IF(E166&gt;=O162,N162,IF(E166&gt;=O161,N161,IF(E166&gt;=O160,N160,N159))))</f>
        <v>3</v>
      </c>
      <c r="E158" s="453" t="s">
        <v>1229</v>
      </c>
      <c r="F158" s="453"/>
      <c r="G158" s="453"/>
      <c r="H158" s="453"/>
      <c r="I158" s="453"/>
      <c r="J158" s="453"/>
      <c r="K158" s="453"/>
      <c r="L158" s="454"/>
      <c r="M158" s="62"/>
      <c r="N158" s="448" t="s">
        <v>336</v>
      </c>
      <c r="O158" s="448" t="s">
        <v>337</v>
      </c>
    </row>
    <row r="159" spans="1:15" s="49" customFormat="1" ht="15.75">
      <c r="B159" s="664"/>
      <c r="C159" s="666"/>
      <c r="D159" s="435" t="str">
        <f>IF(ROUNDDOWN(D158,0)=$N$2,$P$2,$O$2)</f>
        <v>　レベル　1</v>
      </c>
      <c r="E159" s="460" t="s">
        <v>414</v>
      </c>
      <c r="F159" s="461"/>
      <c r="G159" s="461"/>
      <c r="H159" s="461"/>
      <c r="I159" s="461"/>
      <c r="J159" s="461"/>
      <c r="K159" s="461"/>
      <c r="L159" s="462"/>
      <c r="M159" s="664"/>
      <c r="N159" s="449" t="s">
        <v>312</v>
      </c>
      <c r="O159" s="448" t="s">
        <v>312</v>
      </c>
    </row>
    <row r="160" spans="1:15" s="49" customFormat="1" ht="15.75">
      <c r="B160" s="664"/>
      <c r="C160" s="666"/>
      <c r="D160" s="436" t="str">
        <f>IF(ROUNDDOWN(D158,0)=$N$3,$P$3,$O$3)</f>
        <v>　レベル　2</v>
      </c>
      <c r="E160" s="463" t="s">
        <v>473</v>
      </c>
      <c r="F160" s="464"/>
      <c r="G160" s="464"/>
      <c r="H160" s="464"/>
      <c r="I160" s="464"/>
      <c r="J160" s="464"/>
      <c r="K160" s="464"/>
      <c r="L160" s="465"/>
      <c r="M160" s="62"/>
      <c r="N160" s="449">
        <v>2</v>
      </c>
      <c r="O160" s="448">
        <v>0</v>
      </c>
    </row>
    <row r="161" spans="1:27" s="49" customFormat="1" ht="15.75">
      <c r="B161" s="664"/>
      <c r="C161" s="666"/>
      <c r="D161" s="436" t="str">
        <f>IF(ROUNDDOWN(D158,0)=$N$4,$P$4,$O$4)</f>
        <v>■レベル　3</v>
      </c>
      <c r="E161" s="463" t="s">
        <v>520</v>
      </c>
      <c r="F161" s="464"/>
      <c r="G161" s="464"/>
      <c r="H161" s="464"/>
      <c r="I161" s="464"/>
      <c r="J161" s="464"/>
      <c r="K161" s="464"/>
      <c r="L161" s="465"/>
      <c r="M161" s="664"/>
      <c r="N161" s="449">
        <v>3</v>
      </c>
      <c r="O161" s="448">
        <v>1</v>
      </c>
    </row>
    <row r="162" spans="1:27" s="49" customFormat="1" ht="15.75">
      <c r="B162" s="664"/>
      <c r="C162" s="666"/>
      <c r="D162" s="436" t="str">
        <f>IF(ROUNDDOWN(D158,0)=$N$5,$P$5,$O$5)</f>
        <v>　レベル　4</v>
      </c>
      <c r="E162" s="466" t="s">
        <v>515</v>
      </c>
      <c r="F162" s="467"/>
      <c r="G162" s="467"/>
      <c r="H162" s="467"/>
      <c r="I162" s="467"/>
      <c r="J162" s="467"/>
      <c r="K162" s="467"/>
      <c r="L162" s="468"/>
      <c r="M162" s="62"/>
      <c r="N162" s="449">
        <v>4</v>
      </c>
      <c r="O162" s="448">
        <v>2</v>
      </c>
    </row>
    <row r="163" spans="1:27" s="49" customFormat="1" ht="15.75">
      <c r="B163" s="664"/>
      <c r="C163" s="666"/>
      <c r="D163" s="437" t="str">
        <f>IF(ROUNDDOWN(D158,0)=$N$6,$P$6,$O$6)</f>
        <v>　レベル　5</v>
      </c>
      <c r="E163" s="469" t="s">
        <v>414</v>
      </c>
      <c r="F163" s="470"/>
      <c r="G163" s="470"/>
      <c r="H163" s="470"/>
      <c r="I163" s="470"/>
      <c r="J163" s="470"/>
      <c r="K163" s="470"/>
      <c r="L163" s="471"/>
      <c r="M163" s="664"/>
      <c r="N163" s="449" t="s">
        <v>312</v>
      </c>
      <c r="O163" s="448" t="s">
        <v>312</v>
      </c>
    </row>
    <row r="164" spans="1:27" s="49" customFormat="1" ht="15.75">
      <c r="B164" s="664"/>
      <c r="C164" s="666"/>
      <c r="D164" s="438" t="s">
        <v>341</v>
      </c>
      <c r="E164" s="1002"/>
      <c r="F164" s="494"/>
      <c r="G164" s="494"/>
      <c r="H164" s="679"/>
      <c r="I164" s="737"/>
      <c r="J164"/>
      <c r="K164"/>
      <c r="L164"/>
      <c r="M164" s="664"/>
      <c r="N164" s="449" t="s">
        <v>312</v>
      </c>
      <c r="O164" s="448"/>
    </row>
    <row r="165" spans="1:27" s="49" customFormat="1" ht="15.75">
      <c r="B165" s="664"/>
      <c r="C165" s="666"/>
      <c r="D165" s="438" t="s">
        <v>384</v>
      </c>
      <c r="E165" s="447"/>
      <c r="F165" s="495"/>
      <c r="G165" s="495"/>
      <c r="H165" s="495"/>
      <c r="I165" s="495"/>
      <c r="J165" s="447"/>
      <c r="K165" s="447"/>
      <c r="L165" s="447"/>
      <c r="M165" s="447"/>
    </row>
    <row r="166" spans="1:27" s="164" customFormat="1" ht="16.5" thickBot="1">
      <c r="A166" s="96"/>
      <c r="B166" s="96"/>
      <c r="C166" s="666"/>
      <c r="D166" s="174" t="s">
        <v>385</v>
      </c>
      <c r="E166" s="493">
        <f>COUNTIF(E167:E168,$R$3)</f>
        <v>1</v>
      </c>
      <c r="F166" s="1388" t="s">
        <v>830</v>
      </c>
      <c r="G166" s="1380"/>
      <c r="H166" s="1378" t="s">
        <v>831</v>
      </c>
      <c r="I166" s="1379"/>
      <c r="J166" s="1379"/>
      <c r="K166" s="1379"/>
      <c r="L166" s="1380"/>
      <c r="M166" s="447"/>
      <c r="N166"/>
      <c r="O166"/>
      <c r="P166" s="140"/>
      <c r="Q166" s="140"/>
      <c r="R166" s="140"/>
      <c r="S166" s="140"/>
      <c r="T166" s="140"/>
      <c r="U166" s="140"/>
      <c r="V166" s="140"/>
      <c r="W166" s="140"/>
      <c r="X166" s="140"/>
      <c r="Y166" s="140"/>
      <c r="Z166" s="96"/>
      <c r="AA166" s="96"/>
    </row>
    <row r="167" spans="1:27" s="164" customFormat="1" ht="25.9" customHeight="1">
      <c r="A167" s="96"/>
      <c r="B167" s="96"/>
      <c r="C167" s="666"/>
      <c r="D167" s="140"/>
      <c r="E167" s="544" t="s">
        <v>390</v>
      </c>
      <c r="F167" s="1412" t="s">
        <v>958</v>
      </c>
      <c r="G167" s="1410"/>
      <c r="H167" s="1409" t="s">
        <v>959</v>
      </c>
      <c r="I167" s="1409"/>
      <c r="J167" s="1409"/>
      <c r="K167" s="1409"/>
      <c r="L167" s="1410"/>
      <c r="M167" s="96"/>
      <c r="N167"/>
      <c r="O167"/>
      <c r="P167" s="96"/>
      <c r="Q167" s="96"/>
      <c r="R167" s="140"/>
      <c r="S167" s="140"/>
      <c r="T167" s="140"/>
      <c r="U167" s="140"/>
      <c r="V167" s="140"/>
      <c r="W167" s="140"/>
      <c r="X167" s="140"/>
      <c r="Y167" s="140"/>
      <c r="Z167" s="96"/>
      <c r="AA167" s="96"/>
    </row>
    <row r="168" spans="1:27" s="164" customFormat="1" ht="25.9" customHeight="1" thickBot="1">
      <c r="A168" s="96"/>
      <c r="B168" s="96"/>
      <c r="C168" s="666"/>
      <c r="D168" s="140"/>
      <c r="E168" s="545"/>
      <c r="F168" s="1412" t="s">
        <v>960</v>
      </c>
      <c r="G168" s="1410"/>
      <c r="H168" s="1409" t="s">
        <v>961</v>
      </c>
      <c r="I168" s="1409"/>
      <c r="J168" s="1409"/>
      <c r="K168" s="1409"/>
      <c r="L168" s="1410"/>
      <c r="M168" s="96"/>
      <c r="N168"/>
      <c r="O168"/>
      <c r="P168" s="140"/>
      <c r="Q168" s="140"/>
      <c r="R168" s="140"/>
      <c r="S168" s="140"/>
      <c r="T168" s="140"/>
      <c r="U168" s="140"/>
      <c r="V168" s="140"/>
      <c r="W168" s="140"/>
      <c r="X168" s="140"/>
      <c r="Y168" s="140"/>
      <c r="Z168" s="96"/>
      <c r="AA168" s="96"/>
    </row>
    <row r="169" spans="1:27" customFormat="1"/>
    <row r="170" spans="1:27" s="49" customFormat="1" ht="15.75">
      <c r="A170" s="664"/>
      <c r="C170" s="666" t="s">
        <v>977</v>
      </c>
      <c r="D170" s="163"/>
      <c r="E170" s="664"/>
      <c r="F170" s="664"/>
      <c r="G170" s="664"/>
      <c r="H170" s="664"/>
      <c r="I170" s="664"/>
      <c r="J170" s="664"/>
      <c r="K170" s="664"/>
      <c r="L170" s="174"/>
      <c r="M170" s="664"/>
      <c r="N170" s="96"/>
    </row>
    <row r="171" spans="1:27" s="49" customFormat="1" ht="16.5" thickBot="1">
      <c r="A171" s="664"/>
      <c r="B171" s="163"/>
      <c r="C171" s="666"/>
      <c r="D171" s="163" t="s">
        <v>678</v>
      </c>
      <c r="E171" s="664"/>
      <c r="F171" s="675"/>
      <c r="G171" s="675"/>
      <c r="H171" s="675"/>
      <c r="I171" s="459"/>
      <c r="J171" s="664"/>
      <c r="K171" s="664"/>
      <c r="L171" s="727"/>
      <c r="M171" s="664"/>
      <c r="N171" s="62"/>
      <c r="O171" s="62"/>
    </row>
    <row r="172" spans="1:27" s="49" customFormat="1" ht="16.5" thickBot="1">
      <c r="B172" s="664"/>
      <c r="C172" s="666"/>
      <c r="D172" s="434">
        <v>3</v>
      </c>
      <c r="E172" s="453" t="s">
        <v>1229</v>
      </c>
      <c r="F172" s="453"/>
      <c r="G172" s="453"/>
      <c r="H172" s="453"/>
      <c r="I172" s="453"/>
      <c r="J172" s="453"/>
      <c r="K172" s="453"/>
      <c r="L172" s="454"/>
      <c r="M172" s="62"/>
      <c r="N172" s="448" t="s">
        <v>336</v>
      </c>
      <c r="O172" s="448" t="s">
        <v>337</v>
      </c>
    </row>
    <row r="173" spans="1:27" s="49" customFormat="1" ht="15.75">
      <c r="B173" s="664"/>
      <c r="C173" s="666"/>
      <c r="D173" s="435" t="str">
        <f>IF(ROUNDDOWN(D172,0)=$N$2,$P$2,$O$2)</f>
        <v>　レベル　1</v>
      </c>
      <c r="E173" s="460" t="s">
        <v>613</v>
      </c>
      <c r="F173" s="500"/>
      <c r="G173" s="500"/>
      <c r="H173" s="500"/>
      <c r="I173" s="500"/>
      <c r="J173" s="500"/>
      <c r="K173" s="500"/>
      <c r="L173" s="508"/>
      <c r="M173" s="664"/>
      <c r="N173" s="449">
        <v>1</v>
      </c>
      <c r="O173" s="452"/>
    </row>
    <row r="174" spans="1:27" s="49" customFormat="1" ht="15.75">
      <c r="B174" s="664"/>
      <c r="C174" s="666"/>
      <c r="D174" s="436" t="str">
        <f>IF(ROUNDDOWN(D172,0)=$N$3,$P$3,$O$3)</f>
        <v>　レベル　2</v>
      </c>
      <c r="E174" s="463" t="s">
        <v>679</v>
      </c>
      <c r="F174" s="501"/>
      <c r="G174" s="501"/>
      <c r="H174" s="501"/>
      <c r="I174" s="501"/>
      <c r="J174" s="501"/>
      <c r="K174" s="501"/>
      <c r="L174" s="509"/>
      <c r="M174" s="62"/>
      <c r="N174" s="449">
        <v>2</v>
      </c>
      <c r="O174" s="452"/>
    </row>
    <row r="175" spans="1:27" s="49" customFormat="1" ht="15.75">
      <c r="B175" s="664"/>
      <c r="C175" s="666"/>
      <c r="D175" s="436" t="str">
        <f>IF(ROUNDDOWN(D172,0)=$N$4,$P$4,$O$4)</f>
        <v>■レベル　3</v>
      </c>
      <c r="E175" s="463" t="s">
        <v>680</v>
      </c>
      <c r="F175" s="501"/>
      <c r="G175" s="501"/>
      <c r="H175" s="501"/>
      <c r="I175" s="501"/>
      <c r="J175" s="501"/>
      <c r="K175" s="501"/>
      <c r="L175" s="509"/>
      <c r="M175" s="664"/>
      <c r="N175" s="449">
        <v>3</v>
      </c>
      <c r="O175" s="452"/>
    </row>
    <row r="176" spans="1:27" s="49" customFormat="1" ht="15.75">
      <c r="B176" s="664"/>
      <c r="C176" s="666"/>
      <c r="D176" s="436" t="str">
        <f>IF(ROUNDDOWN(D172,0)=$N$5,$P$5,$O$5)</f>
        <v>　レベル　4</v>
      </c>
      <c r="E176" s="466" t="s">
        <v>681</v>
      </c>
      <c r="F176" s="502"/>
      <c r="G176" s="502"/>
      <c r="H176" s="502"/>
      <c r="I176" s="502"/>
      <c r="J176" s="502"/>
      <c r="K176" s="502"/>
      <c r="L176" s="510"/>
      <c r="M176" s="62"/>
      <c r="N176" s="449">
        <v>4</v>
      </c>
      <c r="O176" s="452"/>
    </row>
    <row r="177" spans="1:28" s="49" customFormat="1" ht="15.75">
      <c r="B177" s="664"/>
      <c r="C177" s="666"/>
      <c r="D177" s="437" t="str">
        <f>IF(ROUNDDOWN(D172,0)=$N$6,$P$6,$O$6)</f>
        <v>　レベル　5</v>
      </c>
      <c r="E177" s="469" t="s">
        <v>682</v>
      </c>
      <c r="F177" s="480"/>
      <c r="G177" s="480"/>
      <c r="H177" s="480"/>
      <c r="I177" s="480"/>
      <c r="J177" s="480"/>
      <c r="K177" s="480"/>
      <c r="L177" s="511"/>
      <c r="M177" s="664"/>
      <c r="N177" s="449">
        <v>5</v>
      </c>
      <c r="O177" s="452"/>
    </row>
    <row r="178" spans="1:28" s="49" customFormat="1" ht="15.75">
      <c r="B178" s="664"/>
      <c r="C178" s="666"/>
      <c r="D178" s="438" t="s">
        <v>341</v>
      </c>
      <c r="E178" s="1002"/>
      <c r="F178" s="494"/>
      <c r="G178" s="494"/>
      <c r="H178" s="679"/>
      <c r="I178" s="737"/>
      <c r="J178"/>
      <c r="K178"/>
      <c r="L178"/>
      <c r="M178" s="62"/>
      <c r="N178" s="449" t="s">
        <v>312</v>
      </c>
      <c r="O178" s="452"/>
    </row>
    <row r="179" spans="1:28" customFormat="1"/>
    <row r="180" spans="1:28" s="49" customFormat="1" ht="16.5" thickBot="1">
      <c r="A180" s="664"/>
      <c r="B180" s="163"/>
      <c r="C180" s="666"/>
      <c r="D180" s="163" t="s">
        <v>683</v>
      </c>
      <c r="E180" s="664"/>
      <c r="F180" s="675"/>
      <c r="G180" s="675"/>
      <c r="H180" s="675"/>
      <c r="I180" s="459"/>
      <c r="J180" s="664"/>
      <c r="K180" s="664"/>
      <c r="L180" s="727" t="s">
        <v>756</v>
      </c>
      <c r="M180" s="664"/>
      <c r="N180" s="62"/>
      <c r="O180" s="62"/>
    </row>
    <row r="181" spans="1:28" s="49" customFormat="1" ht="16.5" thickBot="1">
      <c r="B181" s="664"/>
      <c r="C181" s="666"/>
      <c r="D181" s="434">
        <v>3</v>
      </c>
      <c r="E181" s="453" t="s">
        <v>1229</v>
      </c>
      <c r="F181" s="453"/>
      <c r="G181" s="453"/>
      <c r="H181" s="453"/>
      <c r="I181" s="453"/>
      <c r="J181" s="453"/>
      <c r="K181" s="453"/>
      <c r="L181" s="454"/>
      <c r="M181" s="62"/>
      <c r="N181" s="448" t="s">
        <v>336</v>
      </c>
      <c r="O181" s="448" t="s">
        <v>337</v>
      </c>
    </row>
    <row r="182" spans="1:28" s="49" customFormat="1" ht="15.75">
      <c r="B182" s="664"/>
      <c r="C182" s="666"/>
      <c r="D182" s="435" t="str">
        <f>IF(ROUNDDOWN(D181,0)=$N$2,$P$2,$O$2)</f>
        <v>　レベル　1</v>
      </c>
      <c r="E182" s="460" t="s">
        <v>613</v>
      </c>
      <c r="F182" s="500"/>
      <c r="G182" s="500"/>
      <c r="H182" s="500"/>
      <c r="I182" s="500"/>
      <c r="J182" s="500"/>
      <c r="K182" s="500"/>
      <c r="L182" s="508"/>
      <c r="M182" s="664"/>
      <c r="N182" s="449">
        <v>1</v>
      </c>
      <c r="O182" s="452"/>
    </row>
    <row r="183" spans="1:28" s="49" customFormat="1" ht="15.75">
      <c r="B183" s="664"/>
      <c r="C183" s="666"/>
      <c r="D183" s="436" t="str">
        <f>IF(ROUNDDOWN(D181,0)=$N$3,$P$3,$O$3)</f>
        <v>　レベル　2</v>
      </c>
      <c r="E183" s="463" t="s">
        <v>414</v>
      </c>
      <c r="F183" s="501"/>
      <c r="G183" s="501"/>
      <c r="H183" s="501"/>
      <c r="I183" s="501"/>
      <c r="J183" s="501"/>
      <c r="K183" s="501"/>
      <c r="L183" s="509"/>
      <c r="M183" s="62"/>
      <c r="N183" s="449" t="s">
        <v>312</v>
      </c>
      <c r="O183" s="452"/>
    </row>
    <row r="184" spans="1:28" s="49" customFormat="1" ht="15.75">
      <c r="B184" s="664"/>
      <c r="C184" s="666"/>
      <c r="D184" s="436" t="str">
        <f>IF(ROUNDDOWN(D181,0)=$N$4,$P$4,$O$4)</f>
        <v>■レベル　3</v>
      </c>
      <c r="E184" s="463" t="s">
        <v>684</v>
      </c>
      <c r="F184" s="501"/>
      <c r="G184" s="501"/>
      <c r="H184" s="501"/>
      <c r="I184" s="501"/>
      <c r="J184" s="501"/>
      <c r="K184" s="501"/>
      <c r="L184" s="509"/>
      <c r="M184" s="664"/>
      <c r="N184" s="449">
        <v>3</v>
      </c>
      <c r="O184" s="452"/>
    </row>
    <row r="185" spans="1:28" s="49" customFormat="1" ht="15.75">
      <c r="B185" s="664"/>
      <c r="C185" s="666"/>
      <c r="D185" s="436" t="str">
        <f>IF(ROUNDDOWN(D181,0)=$N$5,$P$5,$O$5)</f>
        <v>　レベル　4</v>
      </c>
      <c r="E185" s="466" t="s">
        <v>414</v>
      </c>
      <c r="F185" s="502"/>
      <c r="G185" s="502"/>
      <c r="H185" s="502"/>
      <c r="I185" s="502"/>
      <c r="J185" s="502"/>
      <c r="K185" s="502"/>
      <c r="L185" s="510"/>
      <c r="M185" s="62"/>
      <c r="N185" s="449" t="s">
        <v>312</v>
      </c>
      <c r="O185" s="452"/>
    </row>
    <row r="186" spans="1:28" s="49" customFormat="1" ht="15.75">
      <c r="B186" s="664"/>
      <c r="C186" s="666"/>
      <c r="D186" s="437" t="str">
        <f>IF(ROUNDDOWN(D181,0)=$N$6,$P$6,$O$6)</f>
        <v>　レベル　5</v>
      </c>
      <c r="E186" s="469" t="s">
        <v>414</v>
      </c>
      <c r="F186" s="480"/>
      <c r="G186" s="480"/>
      <c r="H186" s="480"/>
      <c r="I186" s="480"/>
      <c r="J186" s="480"/>
      <c r="K186" s="480"/>
      <c r="L186" s="511"/>
      <c r="M186" s="664"/>
      <c r="N186" s="449" t="s">
        <v>312</v>
      </c>
      <c r="O186" s="452"/>
    </row>
    <row r="187" spans="1:28" s="49" customFormat="1" ht="15.75">
      <c r="B187" s="664"/>
      <c r="C187" s="666"/>
      <c r="D187" s="438" t="s">
        <v>341</v>
      </c>
      <c r="E187" s="1002"/>
      <c r="F187" s="494"/>
      <c r="G187" s="494"/>
      <c r="H187" s="679"/>
      <c r="I187" s="737" t="s">
        <v>715</v>
      </c>
      <c r="J187"/>
      <c r="K187"/>
      <c r="L187"/>
      <c r="M187" s="62"/>
      <c r="N187" s="451">
        <v>0</v>
      </c>
      <c r="O187" s="452"/>
    </row>
    <row r="188" spans="1:28" customFormat="1"/>
    <row r="189" spans="1:28" s="164" customFormat="1" ht="16.5" thickBot="1">
      <c r="A189" s="96"/>
      <c r="B189" s="163"/>
      <c r="C189" s="666"/>
      <c r="D189" s="163" t="s">
        <v>685</v>
      </c>
      <c r="E189" s="447"/>
      <c r="F189" s="495"/>
      <c r="G189" s="495"/>
      <c r="H189" s="495"/>
      <c r="I189" s="459"/>
      <c r="J189" s="447"/>
      <c r="K189" s="447"/>
      <c r="L189" s="727" t="s">
        <v>714</v>
      </c>
      <c r="M189" s="447"/>
      <c r="N189" s="447"/>
      <c r="O189" s="62"/>
      <c r="P189" s="140"/>
      <c r="Q189" s="140"/>
      <c r="R189" s="140"/>
      <c r="S189" s="140"/>
      <c r="T189" s="140"/>
      <c r="U189" s="140"/>
      <c r="V189" s="140"/>
      <c r="W189" s="140"/>
      <c r="X189" s="140"/>
      <c r="Y189" s="140"/>
      <c r="Z189" s="140"/>
      <c r="AA189" s="96"/>
      <c r="AB189" s="96"/>
    </row>
    <row r="190" spans="1:28" s="164" customFormat="1" ht="16.5" thickBot="1">
      <c r="A190" s="96"/>
      <c r="B190" s="664"/>
      <c r="C190" s="666"/>
      <c r="D190" s="1031">
        <f>IF(G197=O197,0,IF(E198&gt;=O195,N195,IF(E198&gt;=O194,N194,IF(E198&gt;=O193,N193,IF(E198&gt;=O192,N192,N191)))))</f>
        <v>2</v>
      </c>
      <c r="E190" s="453" t="s">
        <v>1229</v>
      </c>
      <c r="F190" s="453"/>
      <c r="G190" s="453"/>
      <c r="H190" s="453"/>
      <c r="I190" s="453"/>
      <c r="J190" s="453"/>
      <c r="K190" s="453"/>
      <c r="L190" s="454"/>
      <c r="M190" s="62"/>
      <c r="N190" s="448" t="s">
        <v>336</v>
      </c>
      <c r="O190" s="448" t="s">
        <v>337</v>
      </c>
      <c r="P190" s="140"/>
      <c r="Q190" s="140"/>
      <c r="R190" s="140"/>
      <c r="S190" s="140"/>
      <c r="T190" s="140"/>
      <c r="U190" s="140"/>
      <c r="V190" s="140"/>
      <c r="W190" s="140"/>
      <c r="X190" s="140"/>
      <c r="Y190" s="140"/>
      <c r="Z190" s="140"/>
      <c r="AA190" s="96"/>
      <c r="AB190" s="96"/>
    </row>
    <row r="191" spans="1:28" s="164" customFormat="1" ht="15.75">
      <c r="A191" s="96"/>
      <c r="B191" s="664"/>
      <c r="C191" s="666"/>
      <c r="D191" s="435" t="str">
        <f>IF(ROUNDDOWN(D190,0)=$N$2,$P$2,$O$2)</f>
        <v>　レベル　1</v>
      </c>
      <c r="E191" s="460" t="s">
        <v>473</v>
      </c>
      <c r="F191" s="461"/>
      <c r="G191" s="461"/>
      <c r="H191" s="461"/>
      <c r="I191" s="461"/>
      <c r="J191" s="461"/>
      <c r="K191" s="461"/>
      <c r="L191" s="462"/>
      <c r="M191" s="664"/>
      <c r="N191" s="449">
        <v>1</v>
      </c>
      <c r="O191" s="448">
        <v>0</v>
      </c>
      <c r="P191" s="140"/>
      <c r="Q191" s="140"/>
      <c r="R191" s="140"/>
      <c r="S191" s="140"/>
      <c r="T191" s="140"/>
      <c r="U191" s="140"/>
      <c r="V191" s="140"/>
      <c r="W191" s="140"/>
      <c r="X191" s="140"/>
      <c r="Y191" s="140"/>
      <c r="Z191" s="140"/>
      <c r="AA191" s="96"/>
      <c r="AB191" s="96"/>
    </row>
    <row r="192" spans="1:28" s="164" customFormat="1" ht="15.75">
      <c r="A192" s="96"/>
      <c r="B192" s="664"/>
      <c r="C192" s="666"/>
      <c r="D192" s="436" t="str">
        <f>IF(ROUNDDOWN(D190,0)=$N$3,$P$3,$O$3)</f>
        <v>■レベル　2</v>
      </c>
      <c r="E192" s="463" t="s">
        <v>520</v>
      </c>
      <c r="F192" s="464"/>
      <c r="G192" s="464"/>
      <c r="H192" s="464"/>
      <c r="I192" s="464"/>
      <c r="J192" s="464"/>
      <c r="K192" s="464"/>
      <c r="L192" s="465"/>
      <c r="M192" s="62"/>
      <c r="N192" s="449">
        <v>2</v>
      </c>
      <c r="O192" s="448">
        <v>1</v>
      </c>
      <c r="P192" s="140"/>
      <c r="Q192" s="140"/>
      <c r="R192" s="140"/>
      <c r="S192" s="140"/>
      <c r="T192" s="140"/>
      <c r="U192" s="140"/>
      <c r="V192" s="140"/>
      <c r="W192" s="140"/>
      <c r="X192" s="140"/>
      <c r="Y192" s="140"/>
      <c r="Z192" s="140"/>
      <c r="AA192" s="96"/>
      <c r="AB192" s="96"/>
    </row>
    <row r="193" spans="1:28" s="164" customFormat="1" ht="15.75">
      <c r="A193" s="96"/>
      <c r="B193" s="664"/>
      <c r="C193" s="666"/>
      <c r="D193" s="436" t="str">
        <f>IF(ROUNDDOWN(D190,0)=$N$4,$P$4,$O$4)</f>
        <v>　レベル　3</v>
      </c>
      <c r="E193" s="463" t="s">
        <v>414</v>
      </c>
      <c r="F193" s="464"/>
      <c r="G193" s="464"/>
      <c r="H193" s="464"/>
      <c r="I193" s="464"/>
      <c r="J193" s="464"/>
      <c r="K193" s="464"/>
      <c r="L193" s="465"/>
      <c r="M193" s="664"/>
      <c r="N193" s="449" t="s">
        <v>312</v>
      </c>
      <c r="O193" s="448" t="s">
        <v>312</v>
      </c>
      <c r="P193" s="140"/>
      <c r="Q193" s="140"/>
      <c r="R193" s="140"/>
      <c r="S193" s="140"/>
      <c r="T193" s="140"/>
      <c r="U193" s="140"/>
      <c r="V193" s="140"/>
      <c r="W193" s="140"/>
      <c r="X193" s="140"/>
      <c r="Y193" s="140"/>
      <c r="Z193" s="140"/>
      <c r="AA193" s="96"/>
      <c r="AB193" s="96"/>
    </row>
    <row r="194" spans="1:28" s="164" customFormat="1" ht="15.75">
      <c r="A194" s="96"/>
      <c r="B194" s="664"/>
      <c r="C194" s="666"/>
      <c r="D194" s="436" t="str">
        <f>IF(ROUNDDOWN(D190,0)=$N$5,$P$5,$O$5)</f>
        <v>　レベル　4</v>
      </c>
      <c r="E194" s="466" t="s">
        <v>515</v>
      </c>
      <c r="F194" s="467"/>
      <c r="G194" s="467"/>
      <c r="H194" s="467"/>
      <c r="I194" s="467"/>
      <c r="J194" s="467"/>
      <c r="K194" s="467"/>
      <c r="L194" s="468"/>
      <c r="M194" s="62"/>
      <c r="N194" s="449">
        <v>4</v>
      </c>
      <c r="O194" s="448">
        <v>2</v>
      </c>
      <c r="P194" s="140"/>
      <c r="Q194" s="140"/>
      <c r="R194" s="140"/>
      <c r="S194" s="140"/>
      <c r="T194" s="140"/>
      <c r="U194" s="140"/>
      <c r="V194" s="140"/>
      <c r="W194" s="140"/>
      <c r="X194" s="140"/>
      <c r="Y194" s="140"/>
      <c r="Z194" s="140"/>
      <c r="AA194" s="96"/>
      <c r="AB194" s="96"/>
    </row>
    <row r="195" spans="1:28" s="164" customFormat="1" ht="15.75">
      <c r="A195" s="96"/>
      <c r="B195" s="664"/>
      <c r="C195" s="666"/>
      <c r="D195" s="437" t="str">
        <f>IF(ROUNDDOWN(D190,0)=$N$6,$P$6,$O$6)</f>
        <v>　レベル　5</v>
      </c>
      <c r="E195" s="469" t="s">
        <v>414</v>
      </c>
      <c r="F195" s="470"/>
      <c r="G195" s="470"/>
      <c r="H195" s="470"/>
      <c r="I195" s="470"/>
      <c r="J195" s="470"/>
      <c r="K195" s="470"/>
      <c r="L195" s="471"/>
      <c r="M195" s="664"/>
      <c r="N195" s="449" t="s">
        <v>312</v>
      </c>
      <c r="O195" s="448" t="s">
        <v>312</v>
      </c>
      <c r="P195" s="140"/>
      <c r="Q195" s="140"/>
      <c r="R195" s="140"/>
      <c r="S195" s="140"/>
      <c r="T195" s="140"/>
      <c r="U195" s="140"/>
      <c r="V195" s="140"/>
      <c r="W195" s="140"/>
      <c r="X195" s="140"/>
      <c r="Y195" s="140"/>
      <c r="Z195" s="140"/>
      <c r="AA195" s="96"/>
      <c r="AB195" s="96"/>
    </row>
    <row r="196" spans="1:28" s="164" customFormat="1" ht="15.75">
      <c r="A196" s="96"/>
      <c r="B196" s="664"/>
      <c r="C196" s="666"/>
      <c r="D196" s="438" t="s">
        <v>341</v>
      </c>
      <c r="E196" s="1002"/>
      <c r="F196" s="494"/>
      <c r="G196" s="494"/>
      <c r="H196" s="679"/>
      <c r="I196" s="737" t="s">
        <v>715</v>
      </c>
      <c r="J196"/>
      <c r="K196"/>
      <c r="L196"/>
      <c r="M196" s="664"/>
      <c r="N196" s="451">
        <v>0</v>
      </c>
      <c r="O196" s="448"/>
      <c r="P196" s="140"/>
      <c r="Q196" s="140"/>
      <c r="R196" s="140"/>
      <c r="S196" s="140"/>
      <c r="T196" s="140"/>
      <c r="U196" s="140"/>
      <c r="V196" s="140"/>
      <c r="W196" s="140"/>
      <c r="X196" s="140"/>
      <c r="Y196" s="140"/>
      <c r="Z196" s="140"/>
      <c r="AA196" s="96"/>
      <c r="AB196" s="96"/>
    </row>
    <row r="197" spans="1:28" s="164" customFormat="1" ht="15.75">
      <c r="A197" s="96"/>
      <c r="B197"/>
      <c r="C197" s="666"/>
      <c r="D197" s="438" t="s">
        <v>384</v>
      </c>
      <c r="E197" s="49"/>
      <c r="F197" s="806" t="s">
        <v>973</v>
      </c>
      <c r="G197" s="804"/>
      <c r="H197" s="96"/>
      <c r="I197" s="96"/>
      <c r="J197" s="96"/>
      <c r="K197" s="96"/>
      <c r="L197" s="96"/>
      <c r="M197" s="96"/>
      <c r="N197" s="802"/>
      <c r="O197" s="802" t="s">
        <v>971</v>
      </c>
      <c r="P197" s="140"/>
      <c r="Q197" s="140"/>
      <c r="R197" s="140"/>
      <c r="S197" s="140"/>
      <c r="T197" s="140"/>
      <c r="U197" s="140"/>
      <c r="V197" s="140"/>
      <c r="W197" s="140"/>
      <c r="X197" s="140"/>
      <c r="Y197" s="140"/>
      <c r="Z197" s="140"/>
      <c r="AA197" s="96"/>
      <c r="AB197" s="96"/>
    </row>
    <row r="198" spans="1:28" s="164" customFormat="1" ht="16.5" thickBot="1">
      <c r="A198" s="96"/>
      <c r="B198" s="664"/>
      <c r="C198" s="666"/>
      <c r="D198" s="174" t="s">
        <v>385</v>
      </c>
      <c r="E198" s="493">
        <f>COUNTIF(E199:E200,$R$3)</f>
        <v>1</v>
      </c>
      <c r="F198" s="1388" t="s">
        <v>830</v>
      </c>
      <c r="G198" s="1380"/>
      <c r="H198" s="1378" t="s">
        <v>831</v>
      </c>
      <c r="I198" s="1379"/>
      <c r="J198" s="1379"/>
      <c r="K198" s="1379"/>
      <c r="L198" s="1380"/>
      <c r="M198" s="447"/>
      <c r="N198"/>
      <c r="O198"/>
      <c r="P198"/>
      <c r="Q198" s="140"/>
      <c r="R198" s="140"/>
      <c r="S198" s="140"/>
      <c r="T198" s="140"/>
      <c r="U198" s="140"/>
      <c r="V198" s="140"/>
      <c r="W198" s="140"/>
      <c r="X198" s="140"/>
      <c r="Y198" s="140"/>
      <c r="Z198" s="140"/>
      <c r="AA198" s="96"/>
      <c r="AB198" s="96"/>
    </row>
    <row r="199" spans="1:28" s="164" customFormat="1" ht="26.45" customHeight="1">
      <c r="A199" s="96"/>
      <c r="B199" s="664"/>
      <c r="C199" s="666"/>
      <c r="D199" s="140"/>
      <c r="E199" s="440" t="s">
        <v>390</v>
      </c>
      <c r="F199" s="1412" t="s">
        <v>962</v>
      </c>
      <c r="G199" s="1410"/>
      <c r="H199" s="1409" t="s">
        <v>963</v>
      </c>
      <c r="I199" s="1409"/>
      <c r="J199" s="1409"/>
      <c r="K199" s="1409"/>
      <c r="L199" s="1410"/>
      <c r="M199" s="96"/>
      <c r="N199"/>
      <c r="O199"/>
      <c r="P199"/>
      <c r="Q199" s="140"/>
      <c r="R199" s="140"/>
      <c r="S199" s="140"/>
      <c r="T199" s="140"/>
      <c r="U199" s="140"/>
      <c r="V199" s="140"/>
      <c r="W199" s="140"/>
      <c r="X199" s="140"/>
      <c r="Y199" s="140"/>
      <c r="Z199" s="140"/>
      <c r="AA199" s="96"/>
      <c r="AB199" s="96"/>
    </row>
    <row r="200" spans="1:28" s="164" customFormat="1" ht="26.45" customHeight="1" thickBot="1">
      <c r="A200" s="96"/>
      <c r="B200" s="664"/>
      <c r="C200" s="666"/>
      <c r="D200" s="140"/>
      <c r="E200" s="442"/>
      <c r="F200" s="1412" t="s">
        <v>964</v>
      </c>
      <c r="G200" s="1410"/>
      <c r="H200" s="1409" t="s">
        <v>965</v>
      </c>
      <c r="I200" s="1409"/>
      <c r="J200" s="1409"/>
      <c r="K200" s="1409"/>
      <c r="L200" s="1410"/>
      <c r="M200" s="96"/>
      <c r="N200"/>
      <c r="O200"/>
      <c r="P200"/>
      <c r="Q200" s="140"/>
      <c r="R200" s="140"/>
      <c r="S200" s="140"/>
      <c r="T200" s="140"/>
      <c r="U200" s="140"/>
      <c r="V200" s="140"/>
      <c r="W200" s="140"/>
      <c r="X200" s="140"/>
      <c r="Y200" s="140"/>
      <c r="Z200" s="140"/>
      <c r="AA200" s="96"/>
      <c r="AB200" s="96"/>
    </row>
    <row r="201" spans="1:28" customFormat="1"/>
    <row r="202" spans="1:28" s="164" customFormat="1" ht="16.5" thickBot="1">
      <c r="A202" s="96"/>
      <c r="B202" s="163"/>
      <c r="C202" s="666" t="s">
        <v>1039</v>
      </c>
      <c r="D202" s="163"/>
      <c r="E202" s="664"/>
      <c r="F202" s="675"/>
      <c r="G202" s="675"/>
      <c r="H202" s="675"/>
      <c r="I202" s="459"/>
      <c r="J202" s="664"/>
      <c r="K202" s="664"/>
      <c r="L202" s="727" t="s">
        <v>757</v>
      </c>
      <c r="M202" s="664"/>
      <c r="N202" s="62"/>
      <c r="O202" s="62"/>
      <c r="P202" s="140"/>
      <c r="Q202" s="140"/>
      <c r="R202" s="140"/>
      <c r="S202" s="140"/>
      <c r="T202" s="140"/>
      <c r="U202" s="140"/>
      <c r="V202" s="140"/>
      <c r="W202" s="140"/>
      <c r="X202" s="140"/>
      <c r="Y202" s="140"/>
      <c r="Z202" s="140"/>
      <c r="AA202" s="96"/>
      <c r="AB202" s="96"/>
    </row>
    <row r="203" spans="1:28" s="164" customFormat="1" ht="16.5" thickBot="1">
      <c r="A203" s="96"/>
      <c r="B203" s="664"/>
      <c r="C203" s="666"/>
      <c r="D203" s="434">
        <v>3</v>
      </c>
      <c r="E203" s="453" t="s">
        <v>1229</v>
      </c>
      <c r="F203" s="453"/>
      <c r="G203" s="453"/>
      <c r="H203" s="453"/>
      <c r="I203" s="453"/>
      <c r="J203" s="453"/>
      <c r="K203" s="453"/>
      <c r="L203" s="454"/>
      <c r="M203" s="62"/>
      <c r="N203" s="448" t="s">
        <v>336</v>
      </c>
      <c r="O203" s="448" t="s">
        <v>337</v>
      </c>
      <c r="P203" s="140"/>
      <c r="Q203" s="140"/>
      <c r="R203" s="140"/>
      <c r="S203" s="140"/>
      <c r="T203" s="140"/>
      <c r="U203" s="140"/>
      <c r="V203" s="140"/>
      <c r="W203" s="140"/>
      <c r="X203" s="140"/>
      <c r="Y203" s="140"/>
      <c r="Z203" s="140"/>
      <c r="AA203" s="96"/>
      <c r="AB203" s="96"/>
    </row>
    <row r="204" spans="1:28" s="164" customFormat="1" ht="15.75">
      <c r="A204" s="96"/>
      <c r="B204" s="664"/>
      <c r="C204" s="666"/>
      <c r="D204" s="435" t="str">
        <f>IF(ROUNDDOWN(D203,0)=$N$2,$P$2,$O$2)</f>
        <v>　レベル　1</v>
      </c>
      <c r="E204" s="460" t="s">
        <v>686</v>
      </c>
      <c r="F204" s="500"/>
      <c r="G204" s="500"/>
      <c r="H204" s="500"/>
      <c r="I204" s="500"/>
      <c r="J204" s="500"/>
      <c r="K204" s="500"/>
      <c r="L204" s="508"/>
      <c r="M204" s="664"/>
      <c r="N204" s="449">
        <v>1</v>
      </c>
      <c r="O204" s="452"/>
      <c r="P204" s="140"/>
      <c r="Q204" s="140"/>
      <c r="R204" s="140"/>
      <c r="S204" s="140"/>
      <c r="T204" s="140"/>
      <c r="U204" s="140"/>
      <c r="V204" s="140"/>
      <c r="W204" s="140"/>
      <c r="X204" s="140"/>
      <c r="Y204" s="140"/>
      <c r="Z204" s="140"/>
      <c r="AA204" s="96"/>
      <c r="AB204" s="96"/>
    </row>
    <row r="205" spans="1:28" ht="15.75">
      <c r="B205" s="664"/>
      <c r="C205" s="666"/>
      <c r="D205" s="436" t="str">
        <f>IF(ROUNDDOWN(D203,0)=$N$3,$P$3,$O$3)</f>
        <v>　レベル　2</v>
      </c>
      <c r="E205" s="463" t="s">
        <v>687</v>
      </c>
      <c r="F205" s="501"/>
      <c r="G205" s="501"/>
      <c r="H205" s="501"/>
      <c r="I205" s="501"/>
      <c r="J205" s="501"/>
      <c r="K205" s="501"/>
      <c r="L205" s="509"/>
      <c r="M205" s="62"/>
      <c r="N205" s="449">
        <v>2</v>
      </c>
      <c r="O205" s="452"/>
    </row>
    <row r="206" spans="1:28" ht="15.75">
      <c r="B206" s="664"/>
      <c r="C206" s="666"/>
      <c r="D206" s="436" t="str">
        <f>IF(ROUNDDOWN(D203,0)=$N$4,$P$4,$O$4)</f>
        <v>■レベル　3</v>
      </c>
      <c r="E206" s="463" t="s">
        <v>688</v>
      </c>
      <c r="F206" s="501"/>
      <c r="G206" s="501"/>
      <c r="H206" s="501"/>
      <c r="I206" s="501"/>
      <c r="J206" s="501"/>
      <c r="K206" s="501"/>
      <c r="L206" s="509"/>
      <c r="M206" s="664"/>
      <c r="N206" s="449">
        <v>3</v>
      </c>
      <c r="O206" s="452"/>
      <c r="P206" s="164"/>
      <c r="Q206" s="164"/>
      <c r="R206" s="164"/>
      <c r="S206" s="164"/>
      <c r="T206" s="164"/>
      <c r="U206" s="164"/>
      <c r="V206" s="164"/>
      <c r="W206" s="164"/>
      <c r="X206" s="164"/>
      <c r="Y206" s="164"/>
      <c r="Z206" s="164"/>
    </row>
    <row r="207" spans="1:28" ht="33" customHeight="1">
      <c r="B207" s="664"/>
      <c r="C207" s="666"/>
      <c r="D207" s="436" t="str">
        <f>IF(ROUNDDOWN(D203,0)=$N$5,$P$5,$O$5)</f>
        <v>　レベル　4</v>
      </c>
      <c r="E207" s="1424" t="s">
        <v>689</v>
      </c>
      <c r="F207" s="1431"/>
      <c r="G207" s="1431"/>
      <c r="H207" s="1431"/>
      <c r="I207" s="1431"/>
      <c r="J207" s="1431"/>
      <c r="K207" s="1431"/>
      <c r="L207" s="1432"/>
      <c r="M207" s="62"/>
      <c r="N207" s="449">
        <v>4</v>
      </c>
      <c r="O207" s="452"/>
      <c r="P207" s="164"/>
      <c r="Q207" s="164"/>
      <c r="R207" s="164"/>
      <c r="S207" s="164"/>
      <c r="T207" s="164"/>
      <c r="U207" s="164"/>
      <c r="V207" s="164"/>
      <c r="W207" s="164"/>
      <c r="X207" s="164"/>
      <c r="Y207" s="164"/>
      <c r="Z207" s="164"/>
    </row>
    <row r="208" spans="1:28" ht="33" customHeight="1">
      <c r="B208" s="664"/>
      <c r="C208" s="666"/>
      <c r="D208" s="437" t="str">
        <f>IF(ROUNDDOWN(D203,0)=$N$6,$P$6,$O$6)</f>
        <v>　レベル　5</v>
      </c>
      <c r="E208" s="1391" t="s">
        <v>690</v>
      </c>
      <c r="F208" s="1420"/>
      <c r="G208" s="1420"/>
      <c r="H208" s="1420"/>
      <c r="I208" s="1420"/>
      <c r="J208" s="1420"/>
      <c r="K208" s="1420"/>
      <c r="L208" s="1421"/>
      <c r="M208" s="664"/>
      <c r="N208" s="449">
        <v>5</v>
      </c>
      <c r="O208" s="452"/>
      <c r="P208" s="164"/>
      <c r="Q208" s="164"/>
      <c r="R208" s="164"/>
      <c r="S208" s="164"/>
      <c r="T208" s="164"/>
      <c r="U208" s="164"/>
      <c r="V208" s="164"/>
      <c r="W208" s="164"/>
      <c r="X208" s="164"/>
      <c r="Y208" s="164"/>
      <c r="Z208" s="164"/>
    </row>
    <row r="209" spans="2:26" ht="15.75">
      <c r="B209" s="664"/>
      <c r="C209" s="666"/>
      <c r="D209" s="438" t="s">
        <v>341</v>
      </c>
      <c r="E209" s="1002"/>
      <c r="F209" s="494"/>
      <c r="G209" s="494"/>
      <c r="H209" s="679"/>
      <c r="I209" s="737" t="s">
        <v>715</v>
      </c>
      <c r="J209"/>
      <c r="K209"/>
      <c r="L209"/>
      <c r="M209" s="62"/>
      <c r="N209" s="451">
        <v>0</v>
      </c>
      <c r="O209" s="452"/>
      <c r="P209" s="164"/>
      <c r="Q209" s="164"/>
      <c r="R209" s="164"/>
      <c r="S209" s="164"/>
      <c r="T209" s="164"/>
      <c r="U209" s="164"/>
      <c r="V209" s="164"/>
      <c r="W209" s="164"/>
      <c r="X209" s="164"/>
      <c r="Y209" s="164"/>
      <c r="Z209" s="164"/>
    </row>
    <row r="210" spans="2:26" customFormat="1"/>
    <row r="211" spans="2:26" ht="16.5" thickBot="1">
      <c r="C211" s="666" t="s">
        <v>1040</v>
      </c>
      <c r="D211" s="163"/>
      <c r="E211" s="664"/>
      <c r="F211" s="675"/>
      <c r="G211" s="675"/>
      <c r="H211" s="675"/>
      <c r="I211" s="459"/>
      <c r="J211" s="664"/>
      <c r="K211" s="664"/>
      <c r="L211" s="727" t="s">
        <v>758</v>
      </c>
      <c r="M211" s="664"/>
      <c r="N211" s="62"/>
      <c r="O211" s="62"/>
      <c r="P211" s="164"/>
      <c r="Q211" s="164"/>
      <c r="R211" s="164"/>
      <c r="S211" s="164"/>
      <c r="T211" s="164"/>
      <c r="U211" s="164"/>
      <c r="V211" s="164"/>
      <c r="W211" s="164"/>
      <c r="X211" s="164"/>
      <c r="Y211" s="164"/>
      <c r="Z211" s="164"/>
    </row>
    <row r="212" spans="2:26" ht="16.5" thickBot="1">
      <c r="C212" s="666"/>
      <c r="D212" s="434">
        <v>3</v>
      </c>
      <c r="E212" s="453" t="s">
        <v>1229</v>
      </c>
      <c r="F212" s="453"/>
      <c r="G212" s="453"/>
      <c r="H212" s="453"/>
      <c r="I212" s="453"/>
      <c r="J212" s="453"/>
      <c r="K212" s="453"/>
      <c r="L212" s="454"/>
      <c r="M212" s="62"/>
      <c r="N212" s="448" t="s">
        <v>336</v>
      </c>
      <c r="O212" s="448" t="s">
        <v>337</v>
      </c>
      <c r="P212" s="164"/>
      <c r="Q212" s="164"/>
      <c r="R212" s="164"/>
      <c r="S212" s="164"/>
      <c r="T212" s="164"/>
      <c r="U212" s="164"/>
      <c r="V212" s="164"/>
      <c r="W212" s="164"/>
      <c r="X212" s="164"/>
      <c r="Y212" s="164"/>
      <c r="Z212" s="164"/>
    </row>
    <row r="213" spans="2:26" ht="15.75">
      <c r="C213" s="666"/>
      <c r="D213" s="435" t="str">
        <f>IF(ROUNDDOWN(D212,0)=$N$2,$P$2,$O$2)</f>
        <v>　レベル　1</v>
      </c>
      <c r="E213" s="460" t="s">
        <v>691</v>
      </c>
      <c r="F213" s="500"/>
      <c r="G213" s="500"/>
      <c r="H213" s="500"/>
      <c r="I213" s="500"/>
      <c r="J213" s="500"/>
      <c r="K213" s="500"/>
      <c r="L213" s="508"/>
      <c r="M213" s="664"/>
      <c r="N213" s="449">
        <v>1</v>
      </c>
      <c r="O213" s="452"/>
      <c r="P213" s="164"/>
      <c r="Q213" s="164"/>
      <c r="R213" s="164"/>
      <c r="S213" s="164"/>
      <c r="T213" s="164"/>
      <c r="U213" s="164"/>
      <c r="V213" s="164"/>
      <c r="W213" s="164"/>
      <c r="X213" s="164"/>
      <c r="Y213" s="164"/>
      <c r="Z213" s="164"/>
    </row>
    <row r="214" spans="2:26" ht="15.75">
      <c r="C214" s="666"/>
      <c r="D214" s="436" t="str">
        <f>IF(ROUNDDOWN(D212,0)=$N$3,$P$3,$O$3)</f>
        <v>　レベル　2</v>
      </c>
      <c r="E214" s="463" t="s">
        <v>414</v>
      </c>
      <c r="F214" s="501"/>
      <c r="G214" s="501"/>
      <c r="H214" s="501"/>
      <c r="I214" s="501"/>
      <c r="J214" s="501"/>
      <c r="K214" s="501"/>
      <c r="L214" s="509"/>
      <c r="M214" s="62"/>
      <c r="N214" s="449" t="s">
        <v>312</v>
      </c>
      <c r="O214" s="452"/>
      <c r="P214" s="164"/>
      <c r="Q214" s="164"/>
      <c r="R214" s="164"/>
      <c r="S214" s="164"/>
      <c r="T214" s="164"/>
      <c r="U214" s="164"/>
      <c r="V214" s="164"/>
      <c r="W214" s="164"/>
      <c r="X214" s="164"/>
      <c r="Y214" s="164"/>
      <c r="Z214" s="164"/>
    </row>
    <row r="215" spans="2:26" ht="15.75">
      <c r="C215" s="666"/>
      <c r="D215" s="436" t="str">
        <f>IF(ROUNDDOWN(D212,0)=$N$4,$P$4,$O$4)</f>
        <v>■レベル　3</v>
      </c>
      <c r="E215" s="463" t="s">
        <v>692</v>
      </c>
      <c r="F215" s="501"/>
      <c r="G215" s="501"/>
      <c r="H215" s="501"/>
      <c r="I215" s="501"/>
      <c r="J215" s="501"/>
      <c r="K215" s="501"/>
      <c r="L215" s="509"/>
      <c r="M215" s="664"/>
      <c r="N215" s="449">
        <v>3</v>
      </c>
      <c r="O215" s="452"/>
      <c r="P215" s="164"/>
      <c r="Q215" s="164"/>
      <c r="R215" s="164"/>
      <c r="S215" s="164"/>
      <c r="T215" s="164"/>
      <c r="U215" s="164"/>
      <c r="V215" s="164"/>
      <c r="W215" s="164"/>
      <c r="X215" s="164"/>
      <c r="Y215" s="164"/>
      <c r="Z215" s="164"/>
    </row>
    <row r="216" spans="2:26" ht="15.75">
      <c r="C216" s="666"/>
      <c r="D216" s="436" t="str">
        <f>IF(ROUNDDOWN(D212,0)=$N$5,$P$5,$O$5)</f>
        <v>　レベル　4</v>
      </c>
      <c r="E216" s="466" t="s">
        <v>693</v>
      </c>
      <c r="F216" s="502"/>
      <c r="G216" s="502"/>
      <c r="H216" s="502"/>
      <c r="I216" s="502"/>
      <c r="J216" s="502"/>
      <c r="K216" s="502"/>
      <c r="L216" s="510"/>
      <c r="M216" s="62"/>
      <c r="N216" s="449">
        <v>4</v>
      </c>
      <c r="O216" s="452"/>
      <c r="P216" s="164"/>
      <c r="Q216" s="164"/>
      <c r="R216" s="164"/>
      <c r="S216" s="164"/>
      <c r="T216" s="164"/>
      <c r="U216" s="164"/>
      <c r="V216" s="164"/>
      <c r="W216" s="164"/>
      <c r="X216" s="164"/>
      <c r="Y216" s="164"/>
      <c r="Z216" s="164"/>
    </row>
    <row r="217" spans="2:26" ht="15.75">
      <c r="C217" s="666"/>
      <c r="D217" s="437" t="str">
        <f>IF(ROUNDDOWN(D212,0)=$N$6,$P$6,$O$6)</f>
        <v>　レベル　5</v>
      </c>
      <c r="E217" s="469" t="s">
        <v>414</v>
      </c>
      <c r="F217" s="480"/>
      <c r="G217" s="480"/>
      <c r="H217" s="480"/>
      <c r="I217" s="480"/>
      <c r="J217" s="480"/>
      <c r="K217" s="480"/>
      <c r="L217" s="511"/>
      <c r="M217" s="664"/>
      <c r="N217" s="449" t="s">
        <v>312</v>
      </c>
      <c r="O217" s="452"/>
      <c r="P217" s="164"/>
      <c r="Q217" s="164"/>
      <c r="R217" s="164"/>
      <c r="S217" s="164"/>
      <c r="T217" s="164"/>
      <c r="U217" s="164"/>
      <c r="V217" s="164"/>
      <c r="W217" s="164"/>
      <c r="X217" s="164"/>
      <c r="Y217" s="164"/>
      <c r="Z217" s="164"/>
    </row>
    <row r="218" spans="2:26" ht="15.75">
      <c r="C218" s="666"/>
      <c r="D218" s="438" t="s">
        <v>341</v>
      </c>
      <c r="E218" s="1002"/>
      <c r="F218" s="494"/>
      <c r="G218" s="494"/>
      <c r="H218" s="679"/>
      <c r="I218" s="737" t="s">
        <v>715</v>
      </c>
      <c r="J218"/>
      <c r="K218"/>
      <c r="L218"/>
      <c r="M218" s="62"/>
      <c r="N218" s="451">
        <v>0</v>
      </c>
      <c r="O218" s="452"/>
      <c r="P218" s="164"/>
      <c r="Q218" s="164"/>
      <c r="R218" s="164"/>
      <c r="S218" s="164"/>
      <c r="T218" s="164"/>
      <c r="U218" s="164"/>
      <c r="V218" s="164"/>
      <c r="W218" s="164"/>
      <c r="X218" s="164"/>
      <c r="Y218" s="164"/>
      <c r="Z218" s="164"/>
    </row>
    <row r="219" spans="2:26" customFormat="1"/>
    <row r="220" spans="2:26" ht="15.75">
      <c r="C220" s="666" t="s">
        <v>1041</v>
      </c>
      <c r="P220" s="164"/>
      <c r="Q220" s="164"/>
      <c r="R220" s="164"/>
      <c r="S220" s="164"/>
      <c r="T220" s="164"/>
      <c r="U220" s="164"/>
      <c r="V220" s="164"/>
      <c r="W220" s="164"/>
      <c r="X220" s="164"/>
      <c r="Y220" s="164"/>
      <c r="Z220" s="164"/>
    </row>
    <row r="221" spans="2:26" ht="16.5" thickBot="1">
      <c r="C221" s="666"/>
      <c r="D221" s="163" t="s">
        <v>694</v>
      </c>
      <c r="E221" s="447"/>
      <c r="F221" s="495"/>
      <c r="G221" s="495"/>
      <c r="H221" s="495"/>
      <c r="I221" s="459"/>
      <c r="J221" s="447"/>
      <c r="K221" s="447"/>
      <c r="L221" s="447"/>
      <c r="M221" s="447"/>
      <c r="N221" s="447"/>
      <c r="O221" s="62"/>
      <c r="P221" s="164"/>
      <c r="Q221" s="164"/>
      <c r="R221" s="164"/>
      <c r="S221" s="164"/>
      <c r="T221" s="164"/>
      <c r="U221" s="164"/>
      <c r="V221" s="164"/>
      <c r="W221" s="164"/>
      <c r="X221" s="164"/>
      <c r="Y221" s="164"/>
      <c r="Z221" s="164"/>
    </row>
    <row r="222" spans="2:26" ht="16.5" thickBot="1">
      <c r="C222" s="666"/>
      <c r="D222" s="1031">
        <f>IF(E230&gt;=O227,N227,IF(E230&gt;=O226,N226,IF(E230&gt;=O225,N225,IF(E230&gt;=O224,N224,N223))))</f>
        <v>3</v>
      </c>
      <c r="E222" s="453" t="s">
        <v>1229</v>
      </c>
      <c r="F222" s="453"/>
      <c r="G222" s="453"/>
      <c r="H222" s="453"/>
      <c r="I222" s="453"/>
      <c r="J222" s="453"/>
      <c r="K222" s="453"/>
      <c r="L222" s="454"/>
      <c r="M222" s="62"/>
      <c r="N222" s="448" t="s">
        <v>336</v>
      </c>
      <c r="O222" s="448" t="s">
        <v>337</v>
      </c>
      <c r="P222" s="164"/>
      <c r="Q222" s="164"/>
      <c r="R222" s="164"/>
      <c r="S222" s="164"/>
      <c r="T222" s="164"/>
      <c r="U222" s="164"/>
      <c r="V222" s="164"/>
      <c r="W222" s="164"/>
      <c r="X222" s="164"/>
      <c r="Y222" s="164"/>
      <c r="Z222" s="164"/>
    </row>
    <row r="223" spans="2:26" ht="15.75">
      <c r="C223" s="666"/>
      <c r="D223" s="435" t="str">
        <f>IF(ROUNDDOWN(D222,0)=$N$2,$P$2,$O$2)</f>
        <v>　レベル　1</v>
      </c>
      <c r="E223" s="460" t="s">
        <v>1306</v>
      </c>
      <c r="F223" s="461"/>
      <c r="G223" s="461"/>
      <c r="H223" s="461"/>
      <c r="I223" s="461"/>
      <c r="J223" s="461"/>
      <c r="K223" s="461"/>
      <c r="L223" s="462"/>
      <c r="M223" s="664"/>
      <c r="N223" s="449">
        <v>1</v>
      </c>
      <c r="O223" s="448">
        <v>3</v>
      </c>
      <c r="P223" s="164"/>
      <c r="Q223" s="164"/>
      <c r="R223" s="164"/>
      <c r="S223" s="164"/>
      <c r="T223" s="164"/>
      <c r="U223" s="164"/>
      <c r="V223" s="164"/>
      <c r="W223" s="164"/>
      <c r="X223" s="164"/>
      <c r="Y223" s="164"/>
      <c r="Z223" s="164"/>
    </row>
    <row r="224" spans="2:26" ht="15.75">
      <c r="C224" s="666"/>
      <c r="D224" s="436" t="str">
        <f>IF(ROUNDDOWN(D222,0)=$N$3,$P$3,$O$3)</f>
        <v>　レベル　2</v>
      </c>
      <c r="E224" s="463" t="s">
        <v>1307</v>
      </c>
      <c r="F224" s="464"/>
      <c r="G224" s="464"/>
      <c r="H224" s="464"/>
      <c r="I224" s="464"/>
      <c r="J224" s="464"/>
      <c r="K224" s="464"/>
      <c r="L224" s="465"/>
      <c r="M224" s="62"/>
      <c r="N224" s="449">
        <v>2</v>
      </c>
      <c r="O224" s="448">
        <v>4</v>
      </c>
      <c r="P224" s="164"/>
      <c r="Q224" s="164"/>
      <c r="R224" s="164"/>
      <c r="S224" s="164"/>
      <c r="T224" s="164"/>
      <c r="U224" s="164"/>
      <c r="V224" s="164"/>
      <c r="W224" s="164"/>
      <c r="X224" s="164"/>
      <c r="Y224" s="164"/>
      <c r="Z224" s="164"/>
    </row>
    <row r="225" spans="3:26" ht="15.75">
      <c r="C225" s="666"/>
      <c r="D225" s="436" t="str">
        <f>IF(ROUNDDOWN(D222,0)=$N$4,$P$4,$O$4)</f>
        <v>■レベル　3</v>
      </c>
      <c r="E225" s="463" t="s">
        <v>1308</v>
      </c>
      <c r="F225" s="464"/>
      <c r="G225" s="464"/>
      <c r="H225" s="464"/>
      <c r="I225" s="464"/>
      <c r="J225" s="464"/>
      <c r="K225" s="464"/>
      <c r="L225" s="465"/>
      <c r="M225" s="664"/>
      <c r="N225" s="449">
        <v>3</v>
      </c>
      <c r="O225" s="448">
        <v>6</v>
      </c>
      <c r="P225" s="164"/>
      <c r="Q225" s="164"/>
      <c r="R225" s="164"/>
      <c r="S225" s="164"/>
      <c r="T225" s="164"/>
      <c r="U225" s="164"/>
      <c r="V225" s="164"/>
      <c r="W225" s="164"/>
      <c r="X225" s="164"/>
      <c r="Y225" s="164"/>
      <c r="Z225" s="164"/>
    </row>
    <row r="226" spans="3:26" ht="15.75">
      <c r="C226" s="666"/>
      <c r="D226" s="436" t="str">
        <f>IF(ROUNDDOWN(D222,0)=$N$5,$P$5,$O$5)</f>
        <v>　レベル　4</v>
      </c>
      <c r="E226" s="466" t="s">
        <v>1309</v>
      </c>
      <c r="F226" s="467"/>
      <c r="G226" s="467"/>
      <c r="H226" s="467"/>
      <c r="I226" s="467"/>
      <c r="J226" s="467"/>
      <c r="K226" s="467"/>
      <c r="L226" s="468"/>
      <c r="M226" s="62"/>
      <c r="N226" s="449">
        <v>4</v>
      </c>
      <c r="O226" s="448">
        <v>9</v>
      </c>
      <c r="P226" s="164"/>
      <c r="Q226" s="164"/>
      <c r="R226" s="164"/>
      <c r="S226" s="164"/>
      <c r="T226" s="164"/>
      <c r="U226" s="164"/>
      <c r="V226" s="164"/>
      <c r="W226" s="164"/>
      <c r="X226" s="164"/>
      <c r="Y226" s="164"/>
      <c r="Z226" s="164"/>
    </row>
    <row r="227" spans="3:26" ht="15.75">
      <c r="C227" s="666"/>
      <c r="D227" s="437" t="str">
        <f>IF(ROUNDDOWN(D222,0)=$N$6,$P$6,$O$6)</f>
        <v>　レベル　5</v>
      </c>
      <c r="E227" s="469" t="s">
        <v>1310</v>
      </c>
      <c r="F227" s="470"/>
      <c r="G227" s="470"/>
      <c r="H227" s="470"/>
      <c r="I227" s="470"/>
      <c r="J227" s="470"/>
      <c r="K227" s="470"/>
      <c r="L227" s="471"/>
      <c r="M227" s="664"/>
      <c r="N227" s="449">
        <v>5</v>
      </c>
      <c r="O227" s="448">
        <v>11</v>
      </c>
      <c r="P227" s="164"/>
      <c r="Q227" s="164"/>
      <c r="R227" s="164"/>
      <c r="S227" s="164"/>
      <c r="T227" s="164"/>
      <c r="U227" s="164"/>
      <c r="V227" s="164"/>
      <c r="W227" s="164"/>
      <c r="X227" s="164"/>
      <c r="Y227" s="164"/>
      <c r="Z227" s="164"/>
    </row>
    <row r="228" spans="3:26" ht="15.75">
      <c r="C228" s="666"/>
      <c r="D228" s="438" t="s">
        <v>341</v>
      </c>
      <c r="E228" s="1002"/>
      <c r="F228" s="494"/>
      <c r="G228" s="494"/>
      <c r="H228" s="679"/>
      <c r="I228" s="737"/>
      <c r="J228"/>
      <c r="K228"/>
      <c r="L228"/>
      <c r="M228" s="664"/>
      <c r="N228" s="449" t="s">
        <v>312</v>
      </c>
      <c r="O228" s="448"/>
      <c r="P228" s="164"/>
      <c r="Q228" s="164"/>
      <c r="R228" s="164"/>
      <c r="S228" s="164"/>
      <c r="T228" s="164"/>
      <c r="U228" s="164"/>
      <c r="V228" s="164"/>
      <c r="W228" s="164"/>
      <c r="X228" s="164"/>
      <c r="Y228" s="164"/>
      <c r="Z228" s="164"/>
    </row>
    <row r="229" spans="3:26" ht="15.75">
      <c r="C229" s="666"/>
      <c r="D229" s="438" t="s">
        <v>384</v>
      </c>
      <c r="E229" s="447"/>
      <c r="F229" s="495"/>
      <c r="G229" s="495"/>
      <c r="H229" s="495"/>
      <c r="I229" s="495"/>
      <c r="J229" s="447"/>
      <c r="K229" s="447"/>
      <c r="L229" s="447"/>
      <c r="M229" s="447"/>
      <c r="N229" s="96"/>
      <c r="O229" s="96"/>
      <c r="P229" s="164"/>
      <c r="Q229" s="164"/>
      <c r="R229" s="164"/>
      <c r="S229" s="164"/>
      <c r="T229" s="164"/>
      <c r="U229" s="164"/>
      <c r="V229" s="164"/>
      <c r="W229" s="164"/>
      <c r="X229" s="164"/>
      <c r="Y229" s="164"/>
      <c r="Z229" s="164"/>
    </row>
    <row r="230" spans="3:26" ht="16.5" thickBot="1">
      <c r="C230" s="666"/>
      <c r="D230" s="174" t="s">
        <v>385</v>
      </c>
      <c r="E230" s="493">
        <f>COUNTIF(E231:E242,$R$3)</f>
        <v>7</v>
      </c>
      <c r="F230" s="799" t="s">
        <v>830</v>
      </c>
      <c r="G230" s="793"/>
      <c r="H230" s="798" t="s">
        <v>831</v>
      </c>
      <c r="I230" s="457"/>
      <c r="J230" s="457"/>
      <c r="K230" s="457"/>
      <c r="L230" s="458"/>
      <c r="M230" s="447"/>
      <c r="N230"/>
      <c r="O230"/>
      <c r="P230" s="164"/>
      <c r="Q230" s="164"/>
      <c r="R230" s="164"/>
      <c r="S230" s="164"/>
      <c r="T230" s="164"/>
      <c r="U230" s="164"/>
      <c r="V230" s="164"/>
      <c r="W230" s="164"/>
      <c r="X230" s="164"/>
      <c r="Y230" s="164"/>
      <c r="Z230" s="164"/>
    </row>
    <row r="231" spans="3:26" ht="27.6" customHeight="1">
      <c r="C231" s="666"/>
      <c r="D231" s="439" t="s">
        <v>300</v>
      </c>
      <c r="E231" s="440" t="s">
        <v>390</v>
      </c>
      <c r="F231" s="1485" t="s">
        <v>695</v>
      </c>
      <c r="G231" s="801" t="s">
        <v>840</v>
      </c>
      <c r="H231" s="1416" t="s">
        <v>759</v>
      </c>
      <c r="I231" s="1416"/>
      <c r="J231" s="1416"/>
      <c r="K231" s="1416"/>
      <c r="L231" s="1414"/>
      <c r="N231"/>
      <c r="O231"/>
      <c r="P231" s="164"/>
      <c r="Q231" s="164"/>
      <c r="R231" s="164"/>
      <c r="S231" s="164"/>
      <c r="T231" s="164"/>
      <c r="U231" s="164"/>
      <c r="V231" s="164"/>
      <c r="W231" s="164"/>
      <c r="X231" s="164"/>
      <c r="Y231" s="164"/>
      <c r="Z231" s="164"/>
    </row>
    <row r="232" spans="3:26" ht="15.75">
      <c r="C232" s="666"/>
      <c r="D232" s="439" t="s">
        <v>301</v>
      </c>
      <c r="E232" s="441"/>
      <c r="F232" s="1487"/>
      <c r="G232" s="797" t="s">
        <v>925</v>
      </c>
      <c r="H232" s="715" t="s">
        <v>696</v>
      </c>
      <c r="I232" s="715"/>
      <c r="J232" s="715"/>
      <c r="K232" s="715"/>
      <c r="L232" s="722"/>
      <c r="N232"/>
      <c r="O232"/>
      <c r="P232" s="164"/>
      <c r="Q232" s="164"/>
      <c r="R232" s="164"/>
      <c r="S232" s="164"/>
      <c r="T232" s="164"/>
      <c r="U232" s="164"/>
      <c r="V232" s="164"/>
      <c r="W232" s="164"/>
      <c r="X232" s="164"/>
      <c r="Y232" s="164"/>
      <c r="Z232" s="164"/>
    </row>
    <row r="233" spans="3:26" ht="27.6" customHeight="1">
      <c r="C233" s="666"/>
      <c r="D233" s="439" t="s">
        <v>302</v>
      </c>
      <c r="E233" s="441" t="s">
        <v>390</v>
      </c>
      <c r="F233" s="800" t="s">
        <v>697</v>
      </c>
      <c r="G233" s="801" t="s">
        <v>844</v>
      </c>
      <c r="H233" s="715" t="s">
        <v>698</v>
      </c>
      <c r="I233" s="715"/>
      <c r="J233" s="715"/>
      <c r="K233" s="715"/>
      <c r="L233" s="722"/>
      <c r="N233"/>
      <c r="O233"/>
      <c r="P233" s="164"/>
      <c r="Q233" s="164"/>
      <c r="R233" s="164"/>
      <c r="S233" s="164"/>
      <c r="T233" s="164"/>
      <c r="U233" s="164"/>
      <c r="V233" s="164"/>
      <c r="W233" s="164"/>
      <c r="X233" s="164"/>
      <c r="Y233" s="164"/>
      <c r="Z233" s="164"/>
    </row>
    <row r="234" spans="3:26" ht="27.6" customHeight="1">
      <c r="C234" s="666"/>
      <c r="D234" s="439" t="s">
        <v>303</v>
      </c>
      <c r="E234" s="441"/>
      <c r="F234" s="1485" t="s">
        <v>699</v>
      </c>
      <c r="G234" s="797" t="s">
        <v>846</v>
      </c>
      <c r="H234" s="1416" t="s">
        <v>700</v>
      </c>
      <c r="I234" s="1483"/>
      <c r="J234" s="1483"/>
      <c r="K234" s="1483"/>
      <c r="L234" s="1484"/>
      <c r="N234"/>
      <c r="O234"/>
      <c r="P234" s="164"/>
      <c r="Q234" s="164"/>
      <c r="R234" s="164"/>
      <c r="S234" s="164"/>
      <c r="T234" s="164"/>
      <c r="U234" s="164"/>
      <c r="V234" s="164"/>
      <c r="W234" s="164"/>
      <c r="X234" s="164"/>
      <c r="Y234" s="164"/>
      <c r="Z234" s="164"/>
    </row>
    <row r="235" spans="3:26" ht="15.75">
      <c r="C235" s="666"/>
      <c r="D235" s="439" t="s">
        <v>304</v>
      </c>
      <c r="E235" s="441"/>
      <c r="F235" s="1486"/>
      <c r="G235" s="801" t="s">
        <v>866</v>
      </c>
      <c r="H235" s="715" t="s">
        <v>701</v>
      </c>
      <c r="I235" s="715"/>
      <c r="J235" s="715"/>
      <c r="K235" s="715"/>
      <c r="L235" s="722"/>
      <c r="N235"/>
      <c r="O235"/>
      <c r="P235" s="164"/>
      <c r="Q235" s="164"/>
      <c r="R235" s="164"/>
      <c r="S235" s="164"/>
      <c r="T235" s="164"/>
      <c r="U235" s="164"/>
      <c r="V235" s="164"/>
      <c r="W235" s="164"/>
      <c r="X235" s="164"/>
      <c r="Y235" s="164"/>
      <c r="Z235" s="164"/>
    </row>
    <row r="236" spans="3:26" ht="15.75">
      <c r="C236" s="666"/>
      <c r="D236" s="439" t="s">
        <v>305</v>
      </c>
      <c r="E236" s="441" t="s">
        <v>390</v>
      </c>
      <c r="F236" s="1487"/>
      <c r="G236" s="797" t="s">
        <v>868</v>
      </c>
      <c r="H236" s="715" t="s">
        <v>702</v>
      </c>
      <c r="I236" s="715"/>
      <c r="J236" s="715"/>
      <c r="K236" s="715"/>
      <c r="L236" s="722"/>
      <c r="N236"/>
      <c r="O236"/>
      <c r="P236" s="164"/>
      <c r="Q236" s="164"/>
      <c r="R236" s="164"/>
      <c r="S236" s="164"/>
      <c r="T236" s="164"/>
      <c r="U236" s="164"/>
      <c r="V236" s="164"/>
      <c r="W236" s="164"/>
      <c r="X236" s="164"/>
      <c r="Y236" s="164"/>
      <c r="Z236" s="164"/>
    </row>
    <row r="237" spans="3:26" ht="15.75">
      <c r="C237" s="666"/>
      <c r="D237" s="439" t="s">
        <v>306</v>
      </c>
      <c r="E237" s="441" t="s">
        <v>390</v>
      </c>
      <c r="F237" s="1485" t="s">
        <v>703</v>
      </c>
      <c r="G237" s="801" t="s">
        <v>920</v>
      </c>
      <c r="H237" s="715" t="s">
        <v>704</v>
      </c>
      <c r="I237" s="715"/>
      <c r="J237" s="715"/>
      <c r="K237" s="715"/>
      <c r="L237" s="722"/>
      <c r="N237"/>
      <c r="O237"/>
      <c r="P237" s="164"/>
      <c r="Q237" s="164"/>
      <c r="R237" s="164"/>
      <c r="S237" s="164"/>
      <c r="T237" s="164"/>
      <c r="U237" s="164"/>
      <c r="V237" s="164"/>
      <c r="W237" s="164"/>
      <c r="X237" s="164"/>
      <c r="Y237" s="164"/>
      <c r="Z237" s="164"/>
    </row>
    <row r="238" spans="3:26" ht="15.75">
      <c r="C238" s="666"/>
      <c r="D238" s="439" t="s">
        <v>307</v>
      </c>
      <c r="E238" s="441"/>
      <c r="F238" s="1486"/>
      <c r="G238" s="797" t="s">
        <v>922</v>
      </c>
      <c r="H238" s="715" t="s">
        <v>705</v>
      </c>
      <c r="I238" s="715"/>
      <c r="J238" s="715"/>
      <c r="K238" s="715"/>
      <c r="L238" s="722"/>
      <c r="N238"/>
      <c r="O238"/>
      <c r="P238" s="164"/>
      <c r="Q238" s="164"/>
      <c r="R238" s="164"/>
      <c r="S238" s="164"/>
      <c r="T238" s="164"/>
      <c r="U238" s="164"/>
      <c r="V238" s="164"/>
      <c r="W238" s="164"/>
      <c r="X238" s="164"/>
      <c r="Y238" s="164"/>
      <c r="Z238" s="164"/>
    </row>
    <row r="239" spans="3:26" ht="15.75">
      <c r="C239" s="666"/>
      <c r="D239" s="439" t="s">
        <v>308</v>
      </c>
      <c r="E239" s="441" t="s">
        <v>390</v>
      </c>
      <c r="F239" s="1487"/>
      <c r="G239" s="801" t="s">
        <v>966</v>
      </c>
      <c r="H239" s="715" t="s">
        <v>706</v>
      </c>
      <c r="I239" s="715"/>
      <c r="J239" s="715"/>
      <c r="K239" s="715"/>
      <c r="L239" s="722"/>
      <c r="N239"/>
      <c r="O239"/>
      <c r="P239" s="164"/>
      <c r="Q239" s="164"/>
      <c r="R239" s="164"/>
      <c r="S239" s="164"/>
      <c r="T239" s="164"/>
      <c r="U239" s="164"/>
      <c r="V239" s="164"/>
      <c r="W239" s="164"/>
      <c r="X239" s="164"/>
      <c r="Y239" s="164"/>
      <c r="Z239" s="164"/>
    </row>
    <row r="240" spans="3:26" ht="15.75">
      <c r="C240" s="666"/>
      <c r="D240" s="439" t="s">
        <v>309</v>
      </c>
      <c r="E240" s="441"/>
      <c r="F240" s="1485" t="s">
        <v>707</v>
      </c>
      <c r="G240" s="797" t="s">
        <v>967</v>
      </c>
      <c r="H240" s="715" t="s">
        <v>708</v>
      </c>
      <c r="I240" s="715"/>
      <c r="J240" s="715"/>
      <c r="K240" s="715"/>
      <c r="L240" s="722"/>
      <c r="N240"/>
      <c r="O240"/>
      <c r="P240" s="164"/>
      <c r="Q240" s="164"/>
      <c r="R240" s="164"/>
      <c r="S240" s="164"/>
      <c r="T240" s="164"/>
      <c r="U240" s="164"/>
      <c r="V240" s="164"/>
      <c r="W240" s="164"/>
      <c r="X240" s="164"/>
      <c r="Y240" s="164"/>
      <c r="Z240" s="164"/>
    </row>
    <row r="241" spans="3:26" ht="27.6" customHeight="1">
      <c r="C241" s="666"/>
      <c r="D241" s="439" t="s">
        <v>310</v>
      </c>
      <c r="E241" s="543" t="s">
        <v>390</v>
      </c>
      <c r="F241" s="1486"/>
      <c r="G241" s="801" t="s">
        <v>968</v>
      </c>
      <c r="H241" s="1416" t="s">
        <v>709</v>
      </c>
      <c r="I241" s="1483"/>
      <c r="J241" s="1483"/>
      <c r="K241" s="1483"/>
      <c r="L241" s="1484"/>
      <c r="N241"/>
      <c r="O241"/>
      <c r="P241" s="164"/>
      <c r="Q241" s="164"/>
      <c r="R241" s="164"/>
      <c r="S241" s="164"/>
      <c r="T241" s="164"/>
      <c r="U241" s="164"/>
      <c r="V241" s="164"/>
      <c r="W241" s="164"/>
      <c r="X241" s="164"/>
      <c r="Y241" s="164"/>
      <c r="Z241" s="164"/>
    </row>
    <row r="242" spans="3:26" ht="16.5" thickBot="1">
      <c r="C242" s="666"/>
      <c r="D242" s="439" t="s">
        <v>311</v>
      </c>
      <c r="E242" s="442" t="s">
        <v>390</v>
      </c>
      <c r="F242" s="1487"/>
      <c r="G242" s="797" t="s">
        <v>969</v>
      </c>
      <c r="H242" s="715" t="s">
        <v>710</v>
      </c>
      <c r="I242" s="715"/>
      <c r="J242" s="715"/>
      <c r="K242" s="715"/>
      <c r="L242" s="722"/>
      <c r="N242"/>
      <c r="O242"/>
      <c r="P242" s="164"/>
      <c r="Q242" s="164"/>
      <c r="R242" s="164"/>
      <c r="S242" s="164"/>
      <c r="T242" s="164"/>
      <c r="U242" s="164"/>
      <c r="V242" s="164"/>
      <c r="W242" s="164"/>
      <c r="X242" s="164"/>
      <c r="Y242" s="164"/>
      <c r="Z242" s="164"/>
    </row>
    <row r="243" spans="3:26" ht="15.75">
      <c r="C243" s="666"/>
      <c r="P243" s="164"/>
      <c r="Q243" s="164"/>
      <c r="R243" s="164"/>
      <c r="S243" s="164"/>
      <c r="T243" s="164"/>
      <c r="U243" s="164"/>
      <c r="V243" s="164"/>
      <c r="W243" s="164"/>
      <c r="X243" s="164"/>
      <c r="Y243" s="164"/>
      <c r="Z243" s="164"/>
    </row>
    <row r="244" spans="3:26" ht="16.5" thickBot="1">
      <c r="C244" s="666"/>
      <c r="D244" s="163" t="s">
        <v>711</v>
      </c>
      <c r="E244" s="664"/>
      <c r="F244" s="675"/>
      <c r="G244" s="675"/>
      <c r="H244" s="675"/>
      <c r="I244" s="459"/>
      <c r="J244" s="664"/>
      <c r="K244" s="664"/>
      <c r="L244" s="676"/>
      <c r="M244" s="664"/>
      <c r="N244" s="62"/>
      <c r="O244" s="62"/>
      <c r="P244" s="164"/>
      <c r="Q244" s="164"/>
      <c r="R244" s="164"/>
      <c r="S244" s="164"/>
      <c r="T244" s="164"/>
      <c r="U244" s="164"/>
      <c r="V244" s="164"/>
      <c r="W244" s="164"/>
      <c r="X244" s="164"/>
      <c r="Y244" s="164"/>
      <c r="Z244" s="164"/>
    </row>
    <row r="245" spans="3:26" ht="16.5" thickBot="1">
      <c r="C245" s="666"/>
      <c r="D245" s="434">
        <v>3</v>
      </c>
      <c r="E245" s="453" t="s">
        <v>1229</v>
      </c>
      <c r="F245" s="453"/>
      <c r="G245" s="453"/>
      <c r="H245" s="453"/>
      <c r="I245" s="453"/>
      <c r="J245" s="453"/>
      <c r="K245" s="453"/>
      <c r="L245" s="454"/>
      <c r="M245" s="62"/>
      <c r="N245" s="448" t="s">
        <v>336</v>
      </c>
      <c r="O245" s="448" t="s">
        <v>337</v>
      </c>
      <c r="P245" s="164"/>
      <c r="Q245" s="164"/>
      <c r="R245" s="164"/>
      <c r="S245" s="164"/>
      <c r="T245" s="164"/>
      <c r="U245" s="164"/>
      <c r="V245" s="164"/>
      <c r="W245" s="164"/>
      <c r="X245" s="164"/>
      <c r="Y245" s="164"/>
      <c r="Z245" s="164"/>
    </row>
    <row r="246" spans="3:26" ht="15.75">
      <c r="C246" s="666"/>
      <c r="D246" s="435" t="str">
        <f>IF(ROUNDDOWN(D245,0)=$N$2,$P$2,$O$2)</f>
        <v>　レベル　1</v>
      </c>
      <c r="E246" s="460" t="s">
        <v>613</v>
      </c>
      <c r="F246" s="500"/>
      <c r="G246" s="500"/>
      <c r="H246" s="500"/>
      <c r="I246" s="500"/>
      <c r="J246" s="500"/>
      <c r="K246" s="500"/>
      <c r="L246" s="508"/>
      <c r="M246" s="664"/>
      <c r="N246" s="449">
        <v>1</v>
      </c>
      <c r="O246" s="452"/>
      <c r="P246" s="164"/>
      <c r="Q246" s="164"/>
      <c r="R246" s="164"/>
      <c r="S246" s="164"/>
      <c r="T246" s="164"/>
      <c r="U246" s="164"/>
      <c r="V246" s="164"/>
      <c r="W246" s="164"/>
      <c r="X246" s="164"/>
      <c r="Y246" s="164"/>
      <c r="Z246" s="164"/>
    </row>
    <row r="247" spans="3:26" ht="15.75">
      <c r="C247" s="666"/>
      <c r="D247" s="436" t="str">
        <f>IF(ROUNDDOWN(D245,0)=$N$3,$P$3,$O$3)</f>
        <v>　レベル　2</v>
      </c>
      <c r="E247" s="463" t="s">
        <v>414</v>
      </c>
      <c r="F247" s="501"/>
      <c r="G247" s="501"/>
      <c r="H247" s="501"/>
      <c r="I247" s="501"/>
      <c r="J247" s="501"/>
      <c r="K247" s="501"/>
      <c r="L247" s="509"/>
      <c r="M247" s="62"/>
      <c r="N247" s="449" t="s">
        <v>312</v>
      </c>
      <c r="O247" s="452"/>
      <c r="P247" s="164"/>
      <c r="Q247" s="164"/>
      <c r="R247" s="164"/>
      <c r="S247" s="164"/>
      <c r="T247" s="164"/>
      <c r="U247" s="164"/>
      <c r="V247" s="164"/>
      <c r="W247" s="164"/>
      <c r="X247" s="164"/>
      <c r="Y247" s="164"/>
      <c r="Z247" s="164"/>
    </row>
    <row r="248" spans="3:26" ht="15.75">
      <c r="C248" s="666"/>
      <c r="D248" s="436" t="str">
        <f>IF(ROUNDDOWN(D245,0)=$N$4,$P$4,$O$4)</f>
        <v>■レベル　3</v>
      </c>
      <c r="E248" s="463" t="s">
        <v>675</v>
      </c>
      <c r="F248" s="501"/>
      <c r="G248" s="501"/>
      <c r="H248" s="501"/>
      <c r="I248" s="501"/>
      <c r="J248" s="501"/>
      <c r="K248" s="501"/>
      <c r="L248" s="509"/>
      <c r="M248" s="664"/>
      <c r="N248" s="449">
        <v>3</v>
      </c>
      <c r="O248" s="452"/>
      <c r="P248" s="164"/>
      <c r="Q248" s="164"/>
      <c r="R248" s="164"/>
      <c r="S248" s="164"/>
      <c r="T248" s="164"/>
      <c r="U248" s="164"/>
      <c r="V248" s="164"/>
      <c r="W248" s="164"/>
      <c r="X248" s="164"/>
      <c r="Y248" s="164"/>
      <c r="Z248" s="164"/>
    </row>
    <row r="249" spans="3:26" ht="15.75">
      <c r="C249" s="666"/>
      <c r="D249" s="436" t="str">
        <f>IF(ROUNDDOWN(D245,0)=$N$5,$P$5,$O$5)</f>
        <v>　レベル　4</v>
      </c>
      <c r="E249" s="466" t="s">
        <v>414</v>
      </c>
      <c r="F249" s="502"/>
      <c r="G249" s="502"/>
      <c r="H249" s="502"/>
      <c r="I249" s="502"/>
      <c r="J249" s="502"/>
      <c r="K249" s="502"/>
      <c r="L249" s="510"/>
      <c r="M249" s="62"/>
      <c r="N249" s="449" t="s">
        <v>312</v>
      </c>
      <c r="O249" s="452"/>
      <c r="P249" s="164"/>
      <c r="Q249" s="164"/>
      <c r="R249" s="164"/>
      <c r="S249" s="164"/>
      <c r="T249" s="164"/>
      <c r="U249" s="164"/>
      <c r="V249" s="164"/>
      <c r="W249" s="164"/>
      <c r="X249" s="164"/>
      <c r="Y249" s="164"/>
      <c r="Z249" s="164"/>
    </row>
    <row r="250" spans="3:26" ht="15.75">
      <c r="C250" s="666"/>
      <c r="D250" s="437" t="str">
        <f>IF(ROUNDDOWN(D245,0)=$N$6,$P$6,$O$6)</f>
        <v>　レベル　5</v>
      </c>
      <c r="E250" s="469" t="s">
        <v>712</v>
      </c>
      <c r="F250" s="480"/>
      <c r="G250" s="480"/>
      <c r="H250" s="480"/>
      <c r="I250" s="480"/>
      <c r="J250" s="480"/>
      <c r="K250" s="480"/>
      <c r="L250" s="511"/>
      <c r="M250" s="664"/>
      <c r="N250" s="449">
        <v>5</v>
      </c>
      <c r="O250" s="452"/>
      <c r="P250" s="164"/>
      <c r="Q250" s="164"/>
      <c r="R250" s="164"/>
      <c r="S250" s="164"/>
      <c r="T250" s="164"/>
      <c r="U250" s="164"/>
      <c r="V250" s="164"/>
      <c r="W250" s="164"/>
      <c r="X250" s="164"/>
      <c r="Y250" s="164"/>
      <c r="Z250" s="164"/>
    </row>
    <row r="251" spans="3:26" ht="15.75">
      <c r="C251" s="666"/>
      <c r="D251" s="438" t="s">
        <v>341</v>
      </c>
      <c r="E251" s="1002"/>
      <c r="F251" s="494"/>
      <c r="G251" s="494"/>
      <c r="H251" s="679"/>
      <c r="I251"/>
      <c r="J251"/>
      <c r="K251"/>
      <c r="L251"/>
      <c r="M251" s="62"/>
      <c r="N251" s="449" t="s">
        <v>312</v>
      </c>
      <c r="O251" s="452"/>
      <c r="P251" s="164"/>
      <c r="Q251" s="164"/>
      <c r="R251" s="164"/>
      <c r="S251" s="164"/>
      <c r="T251" s="164"/>
      <c r="U251" s="164"/>
      <c r="V251" s="164"/>
      <c r="W251" s="164"/>
      <c r="X251" s="164"/>
      <c r="Y251" s="164"/>
      <c r="Z251" s="164"/>
    </row>
    <row r="252" spans="3:26" ht="15.75">
      <c r="C252" s="666"/>
      <c r="P252" s="164"/>
      <c r="Q252" s="164"/>
      <c r="R252" s="164"/>
      <c r="S252" s="164"/>
      <c r="T252" s="164"/>
      <c r="U252" s="164"/>
      <c r="V252" s="164"/>
      <c r="W252" s="164"/>
      <c r="X252" s="164"/>
      <c r="Y252" s="164"/>
      <c r="Z252" s="164"/>
    </row>
    <row r="253" spans="3:26">
      <c r="N253" s="164"/>
      <c r="O253" s="164"/>
      <c r="P253" s="164"/>
      <c r="Q253" s="164"/>
      <c r="R253" s="164"/>
      <c r="S253" s="164"/>
      <c r="T253" s="164"/>
      <c r="U253" s="164"/>
      <c r="V253" s="164"/>
      <c r="W253" s="164"/>
      <c r="X253" s="164"/>
      <c r="Y253" s="164"/>
      <c r="Z253" s="164"/>
    </row>
    <row r="254" spans="3:26" customFormat="1"/>
    <row r="255" spans="3:26" customFormat="1"/>
  </sheetData>
  <sheetProtection algorithmName="SHA-512" hashValue="NVUQWF3Gh68v8okEE3MY5QC4hwyY6WjbqfYV+Hu1XLVHKNfE8TwGKeGMq4pXTls1694n/8I0YSecoc6NNniUjA==" saltValue="de/dHOj8NNKQ+x0BC6i4DA==" spinCount="100000" sheet="1" formatCells="0"/>
  <mergeCells count="50">
    <mergeCell ref="H241:L241"/>
    <mergeCell ref="F199:G199"/>
    <mergeCell ref="H199:L199"/>
    <mergeCell ref="F200:G200"/>
    <mergeCell ref="H200:L200"/>
    <mergeCell ref="H231:L231"/>
    <mergeCell ref="H234:L234"/>
    <mergeCell ref="F234:F236"/>
    <mergeCell ref="F237:F239"/>
    <mergeCell ref="F240:F242"/>
    <mergeCell ref="E207:L207"/>
    <mergeCell ref="E208:L208"/>
    <mergeCell ref="F231:F232"/>
    <mergeCell ref="F198:G198"/>
    <mergeCell ref="H198:L198"/>
    <mergeCell ref="F67:H67"/>
    <mergeCell ref="F68:H68"/>
    <mergeCell ref="F69:H69"/>
    <mergeCell ref="F70:H70"/>
    <mergeCell ref="E73:L77"/>
    <mergeCell ref="F166:G166"/>
    <mergeCell ref="H166:L166"/>
    <mergeCell ref="F167:G167"/>
    <mergeCell ref="H167:L167"/>
    <mergeCell ref="F168:G168"/>
    <mergeCell ref="H168:L168"/>
    <mergeCell ref="F66:H66"/>
    <mergeCell ref="E34:J34"/>
    <mergeCell ref="E39:J39"/>
    <mergeCell ref="E44:J44"/>
    <mergeCell ref="E49:J49"/>
    <mergeCell ref="E54:J54"/>
    <mergeCell ref="F60:H60"/>
    <mergeCell ref="F61:H61"/>
    <mergeCell ref="F62:H62"/>
    <mergeCell ref="F63:H63"/>
    <mergeCell ref="F64:H64"/>
    <mergeCell ref="F65:H65"/>
    <mergeCell ref="E29:J29"/>
    <mergeCell ref="E15:L15"/>
    <mergeCell ref="E16:L16"/>
    <mergeCell ref="E17:L17"/>
    <mergeCell ref="E18:L18"/>
    <mergeCell ref="F21:L21"/>
    <mergeCell ref="F22:L22"/>
    <mergeCell ref="F23:L23"/>
    <mergeCell ref="F24:L24"/>
    <mergeCell ref="F25:L25"/>
    <mergeCell ref="E26:E27"/>
    <mergeCell ref="F26:L27"/>
  </mergeCells>
  <phoneticPr fontId="3"/>
  <conditionalFormatting sqref="D13">
    <cfRule type="expression" dxfId="20" priority="1" stopIfTrue="1">
      <formula>AND(OR(D13&lt;1,D13&gt;5),D13&lt;&gt;0)</formula>
    </cfRule>
  </conditionalFormatting>
  <conditionalFormatting sqref="D72">
    <cfRule type="expression" dxfId="19" priority="22" stopIfTrue="1">
      <formula>AND(OR(D72&lt;1,D72&gt;5),D72&lt;&gt;0)</formula>
    </cfRule>
  </conditionalFormatting>
  <conditionalFormatting sqref="D96">
    <cfRule type="expression" dxfId="18" priority="15" stopIfTrue="1">
      <formula>AND(OR(D96&lt;1,D96&gt;5),D96&lt;&gt;0)</formula>
    </cfRule>
  </conditionalFormatting>
  <conditionalFormatting sqref="D105">
    <cfRule type="expression" dxfId="17" priority="14" stopIfTrue="1">
      <formula>AND(OR(D105&lt;1,D105&gt;5),D105&lt;&gt;0)</formula>
    </cfRule>
  </conditionalFormatting>
  <conditionalFormatting sqref="D115">
    <cfRule type="expression" dxfId="16" priority="13" stopIfTrue="1">
      <formula>AND(OR(D115&lt;1,D115&gt;5),D115&lt;&gt;0)</formula>
    </cfRule>
  </conditionalFormatting>
  <conditionalFormatting sqref="D124">
    <cfRule type="expression" dxfId="15" priority="12" stopIfTrue="1">
      <formula>AND(OR(D124&lt;1,D124&gt;5),D124&lt;&gt;0)</formula>
    </cfRule>
  </conditionalFormatting>
  <conditionalFormatting sqref="D134">
    <cfRule type="expression" dxfId="14" priority="16" stopIfTrue="1">
      <formula>AND(OR(D134&lt;1,D134&gt;5),D134&lt;&gt;0)</formula>
    </cfRule>
  </conditionalFormatting>
  <conditionalFormatting sqref="D140">
    <cfRule type="expression" dxfId="13" priority="11" stopIfTrue="1">
      <formula>AND(OR(D140&lt;1,D140&gt;5),D140&lt;&gt;0)</formula>
    </cfRule>
  </conditionalFormatting>
  <conditionalFormatting sqref="D149">
    <cfRule type="expression" dxfId="12" priority="10" stopIfTrue="1">
      <formula>AND(OR(D149&lt;1,D149&gt;5),D149&lt;&gt;0)</formula>
    </cfRule>
  </conditionalFormatting>
  <conditionalFormatting sqref="D158">
    <cfRule type="expression" dxfId="11" priority="4" stopIfTrue="1">
      <formula>AND(OR(D158&lt;1,D158&gt;5),D158&lt;&gt;0)</formula>
    </cfRule>
  </conditionalFormatting>
  <conditionalFormatting sqref="D172">
    <cfRule type="expression" dxfId="10" priority="9" stopIfTrue="1">
      <formula>AND(OR(D172&lt;1,D172&gt;5),D172&lt;&gt;0)</formula>
    </cfRule>
  </conditionalFormatting>
  <conditionalFormatting sqref="D181">
    <cfRule type="expression" dxfId="9" priority="8" stopIfTrue="1">
      <formula>AND(OR(D181&lt;1,D181&gt;5),D181&lt;&gt;0)</formula>
    </cfRule>
  </conditionalFormatting>
  <conditionalFormatting sqref="D190">
    <cfRule type="expression" dxfId="8" priority="2" stopIfTrue="1">
      <formula>AND(OR(D190&lt;1,D190&gt;5),D190&lt;&gt;0)</formula>
    </cfRule>
  </conditionalFormatting>
  <conditionalFormatting sqref="D203">
    <cfRule type="expression" dxfId="7" priority="7" stopIfTrue="1">
      <formula>AND(OR(D203&lt;1,D203&gt;5),D203&lt;&gt;0)</formula>
    </cfRule>
  </conditionalFormatting>
  <conditionalFormatting sqref="D212">
    <cfRule type="expression" dxfId="6" priority="6" stopIfTrue="1">
      <formula>AND(OR(D212&lt;1,D212&gt;5),D212&lt;&gt;0)</formula>
    </cfRule>
  </conditionalFormatting>
  <conditionalFormatting sqref="D222">
    <cfRule type="expression" dxfId="5" priority="3" stopIfTrue="1">
      <formula>AND(OR(D222&lt;1,D222&gt;5),D222&lt;&gt;0)</formula>
    </cfRule>
  </conditionalFormatting>
  <conditionalFormatting sqref="D245">
    <cfRule type="expression" dxfId="4" priority="5" stopIfTrue="1">
      <formula>AND(OR(D245&lt;1,D245&gt;5),D245&lt;&gt;0)</formula>
    </cfRule>
  </conditionalFormatting>
  <conditionalFormatting sqref="E21:E26">
    <cfRule type="expression" dxfId="3" priority="20" stopIfTrue="1">
      <formula>$E$166="対象外"</formula>
    </cfRule>
  </conditionalFormatting>
  <conditionalFormatting sqref="E61:E70">
    <cfRule type="expression" dxfId="2" priority="19" stopIfTrue="1">
      <formula>$E$166="対象外"</formula>
    </cfRule>
  </conditionalFormatting>
  <conditionalFormatting sqref="E167:E168">
    <cfRule type="expression" dxfId="1" priority="17" stopIfTrue="1">
      <formula>$E$166="対象外"</formula>
    </cfRule>
  </conditionalFormatting>
  <conditionalFormatting sqref="E231:E242">
    <cfRule type="expression" dxfId="0" priority="18" stopIfTrue="1">
      <formula>$E$272="対象外"</formula>
    </cfRule>
  </conditionalFormatting>
  <dataValidations count="5">
    <dataValidation type="list" allowBlank="1" showInputMessage="1" showErrorMessage="1" sqref="E21:E25 E61:E70" xr:uid="{697ECE71-5EF3-4CE2-A1C6-224EE7D719B0}">
      <formula1>$R$2:$R$3</formula1>
    </dataValidation>
    <dataValidation type="list" allowBlank="1" showInputMessage="1" sqref="D96 D203 D105 D115 D124 D140 D149 D245 D172 D181 D212" xr:uid="{51FC752A-F54E-4BA3-9256-D530219FAE39}">
      <formula1>N97:N102</formula1>
    </dataValidation>
    <dataValidation allowBlank="1" showInputMessage="1" sqref="D72 D134 D222 D158 D190 D13" xr:uid="{C8E32A23-DA83-4252-9A18-1D62E78453FD}"/>
    <dataValidation type="list" allowBlank="1" showInputMessage="1" showErrorMessage="1" sqref="E26 E167:E168 E199:E200 E231:E242" xr:uid="{D8031602-56B1-44D1-B86E-EF138443E483}">
      <formula1>$R$2:$R$4</formula1>
    </dataValidation>
    <dataValidation type="list" allowBlank="1" showInputMessage="1" showErrorMessage="1" sqref="G197" xr:uid="{ADBDB7CA-EB5E-4C55-8AF8-8B3F84A47708}">
      <formula1>O196:O197</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2" manualBreakCount="2">
    <brk id="112" max="12" man="1"/>
    <brk id="132" max="1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88E9-4D5F-4BCE-9E4F-66D820694C31}">
  <sheetPr>
    <pageSetUpPr fitToPage="1"/>
  </sheetPr>
  <dimension ref="B2:U63"/>
  <sheetViews>
    <sheetView showGridLines="0" workbookViewId="0">
      <selection activeCell="E9" sqref="E9"/>
    </sheetView>
  </sheetViews>
  <sheetFormatPr defaultColWidth="9" defaultRowHeight="13.5"/>
  <cols>
    <col min="1" max="1" width="3.5" style="861" customWidth="1"/>
    <col min="2" max="2" width="2.625" style="861" customWidth="1"/>
    <col min="3" max="3" width="10.5" style="861" customWidth="1"/>
    <col min="4" max="4" width="6.875" style="861" customWidth="1"/>
    <col min="5" max="5" width="8.625" style="861" customWidth="1"/>
    <col min="6" max="6" width="7.5" style="861" customWidth="1"/>
    <col min="7" max="7" width="8" style="861" customWidth="1"/>
    <col min="8" max="8" width="10.75" style="861" customWidth="1"/>
    <col min="9" max="9" width="10.5" style="861" customWidth="1"/>
    <col min="10" max="10" width="9" style="861"/>
    <col min="11" max="11" width="10.75" style="861" customWidth="1"/>
    <col min="12" max="14" width="9" style="861"/>
    <col min="15" max="15" width="13.125" style="862" customWidth="1"/>
    <col min="16" max="17" width="9" style="861"/>
    <col min="18" max="18" width="12.125" style="861" customWidth="1"/>
    <col min="19" max="19" width="9" style="861"/>
    <col min="20" max="20" width="10.875" style="861" customWidth="1"/>
    <col min="21" max="16384" width="9" style="861"/>
  </cols>
  <sheetData>
    <row r="2" spans="2:19" ht="18.75">
      <c r="B2" s="921" t="s">
        <v>1176</v>
      </c>
      <c r="C2" s="863"/>
      <c r="D2" s="863"/>
      <c r="E2" s="863"/>
      <c r="F2" s="863"/>
      <c r="G2" s="863"/>
      <c r="H2" s="863"/>
      <c r="I2" s="863"/>
      <c r="J2" s="863"/>
      <c r="K2" s="863"/>
      <c r="L2" s="863"/>
      <c r="M2" s="863"/>
      <c r="N2" s="863"/>
      <c r="O2" s="864"/>
      <c r="P2" s="863"/>
      <c r="Q2" s="863"/>
      <c r="R2" s="863"/>
      <c r="S2" s="919"/>
    </row>
    <row r="3" spans="2:19" ht="14.25" thickBot="1">
      <c r="B3" s="863"/>
      <c r="C3" s="920" t="s">
        <v>1175</v>
      </c>
      <c r="D3" s="863"/>
      <c r="E3" s="863"/>
      <c r="F3" s="863"/>
      <c r="G3" s="863"/>
      <c r="H3" s="863"/>
      <c r="I3" s="863" t="s">
        <v>1174</v>
      </c>
      <c r="J3" s="863"/>
      <c r="K3" s="863"/>
      <c r="L3" s="863"/>
      <c r="M3" s="863"/>
      <c r="N3" s="863"/>
      <c r="O3" s="864"/>
      <c r="P3" s="863"/>
      <c r="Q3" s="863"/>
      <c r="R3" s="863"/>
      <c r="S3" s="919"/>
    </row>
    <row r="4" spans="2:19" ht="15" thickTop="1" thickBot="1">
      <c r="B4" s="863"/>
      <c r="C4" s="863"/>
      <c r="D4" s="863"/>
      <c r="E4" s="918"/>
      <c r="F4" s="863" t="s">
        <v>1173</v>
      </c>
      <c r="G4" s="863"/>
      <c r="H4" s="863"/>
      <c r="I4" s="863" t="s">
        <v>1172</v>
      </c>
      <c r="J4" s="863"/>
      <c r="K4" s="863"/>
      <c r="L4" s="863"/>
      <c r="M4" s="863"/>
      <c r="N4" s="863"/>
      <c r="O4" s="864"/>
      <c r="P4" s="863"/>
      <c r="Q4" s="863"/>
      <c r="R4" s="863"/>
      <c r="S4" s="863"/>
    </row>
    <row r="5" spans="2:19" ht="14.25" thickTop="1">
      <c r="B5" s="863"/>
      <c r="C5" s="863"/>
      <c r="D5" s="863"/>
      <c r="E5" s="903"/>
      <c r="F5" s="863" t="s">
        <v>1171</v>
      </c>
      <c r="G5" s="863"/>
      <c r="H5" s="863"/>
      <c r="I5" s="863" t="s">
        <v>1170</v>
      </c>
      <c r="J5" s="863"/>
      <c r="K5" s="863"/>
      <c r="L5" s="863"/>
      <c r="M5" s="863"/>
      <c r="N5" s="863"/>
      <c r="O5" s="864"/>
      <c r="P5" s="863"/>
      <c r="Q5" s="863"/>
      <c r="R5" s="863"/>
      <c r="S5" s="863"/>
    </row>
    <row r="6" spans="2:19">
      <c r="B6" s="863"/>
      <c r="C6" s="863"/>
      <c r="D6" s="863"/>
      <c r="E6" s="917"/>
      <c r="F6" s="863" t="s">
        <v>1169</v>
      </c>
      <c r="G6" s="863"/>
      <c r="H6" s="863"/>
      <c r="I6" s="863"/>
      <c r="J6" s="863"/>
      <c r="K6" s="863"/>
      <c r="L6" s="863"/>
      <c r="M6" s="863"/>
      <c r="N6" s="863"/>
      <c r="O6" s="864"/>
      <c r="P6" s="863"/>
      <c r="Q6" s="863"/>
      <c r="R6" s="863"/>
      <c r="S6" s="863"/>
    </row>
    <row r="7" spans="2:19">
      <c r="B7" s="863"/>
      <c r="C7" s="863"/>
      <c r="D7" s="863"/>
      <c r="E7" s="863"/>
      <c r="F7" s="863"/>
      <c r="G7" s="863"/>
      <c r="H7" s="863"/>
      <c r="I7" s="863"/>
      <c r="J7" s="863"/>
      <c r="K7" s="863"/>
      <c r="L7" s="863"/>
      <c r="M7" s="863"/>
      <c r="N7" s="863"/>
      <c r="O7" s="864"/>
      <c r="P7" s="863"/>
      <c r="Q7" s="863"/>
      <c r="R7" s="863"/>
      <c r="S7" s="863"/>
    </row>
    <row r="8" spans="2:19" ht="14.25" thickBot="1">
      <c r="B8" s="863"/>
      <c r="C8" s="863"/>
      <c r="D8" s="863"/>
      <c r="E8" s="863"/>
      <c r="F8" s="863"/>
      <c r="G8" s="863"/>
      <c r="H8" s="863"/>
      <c r="I8" s="863"/>
      <c r="J8" s="863"/>
      <c r="K8" s="863"/>
      <c r="L8" s="863"/>
      <c r="M8" s="863"/>
      <c r="N8" s="863"/>
      <c r="O8" s="864"/>
      <c r="P8" s="863"/>
      <c r="Q8" s="863"/>
      <c r="R8" s="863"/>
      <c r="S8" s="863"/>
    </row>
    <row r="9" spans="2:19" ht="15" thickTop="1" thickBot="1">
      <c r="B9" s="863" t="s">
        <v>1168</v>
      </c>
      <c r="C9" s="863" t="s">
        <v>1167</v>
      </c>
      <c r="D9" s="863"/>
      <c r="E9" s="916"/>
      <c r="F9" s="863" t="s">
        <v>118</v>
      </c>
      <c r="G9" s="863"/>
      <c r="H9" s="863"/>
      <c r="I9" s="863"/>
      <c r="J9" s="863"/>
      <c r="K9" s="863"/>
      <c r="L9" s="863"/>
      <c r="M9" s="863"/>
      <c r="N9" s="863"/>
      <c r="O9" s="864"/>
      <c r="P9" s="863"/>
      <c r="Q9" s="863"/>
      <c r="R9" s="863"/>
      <c r="S9" s="863"/>
    </row>
    <row r="10" spans="2:19" ht="15" thickTop="1" thickBot="1">
      <c r="B10" s="863" t="s">
        <v>1166</v>
      </c>
      <c r="C10" s="863" t="s">
        <v>1144</v>
      </c>
      <c r="D10" s="863"/>
      <c r="E10" s="916"/>
      <c r="F10" s="863" t="s">
        <v>34</v>
      </c>
      <c r="G10" s="863"/>
      <c r="H10" s="863"/>
      <c r="I10" s="863"/>
      <c r="J10" s="863"/>
      <c r="K10" s="863"/>
      <c r="L10" s="863"/>
      <c r="M10" s="863"/>
      <c r="N10" s="863"/>
      <c r="O10" s="864"/>
      <c r="P10" s="863"/>
      <c r="Q10" s="863"/>
      <c r="R10" s="863"/>
      <c r="S10" s="863"/>
    </row>
    <row r="11" spans="2:19" ht="15" thickTop="1" thickBot="1">
      <c r="B11" s="863" t="s">
        <v>1165</v>
      </c>
      <c r="C11" s="863" t="s">
        <v>1164</v>
      </c>
      <c r="D11" s="863" t="s">
        <v>1163</v>
      </c>
      <c r="E11" s="905"/>
      <c r="F11" s="863" t="s">
        <v>209</v>
      </c>
      <c r="G11" s="863" t="s">
        <v>1162</v>
      </c>
      <c r="H11" s="1032">
        <f>100-E11</f>
        <v>100</v>
      </c>
      <c r="I11" s="863" t="s">
        <v>209</v>
      </c>
      <c r="J11" s="863"/>
      <c r="K11" s="863"/>
      <c r="L11" s="863"/>
      <c r="M11" s="863"/>
      <c r="N11" s="863"/>
      <c r="O11" s="864"/>
      <c r="P11" s="863"/>
      <c r="Q11" s="863"/>
      <c r="R11" s="863"/>
      <c r="S11" s="863"/>
    </row>
    <row r="12" spans="2:19" ht="14.25" thickTop="1">
      <c r="B12" s="863"/>
      <c r="C12" s="863"/>
      <c r="D12" s="863" t="s">
        <v>1163</v>
      </c>
      <c r="E12" s="904">
        <f>$E$9*E11/100</f>
        <v>0</v>
      </c>
      <c r="F12" s="863" t="s">
        <v>118</v>
      </c>
      <c r="G12" s="863" t="s">
        <v>1162</v>
      </c>
      <c r="H12" s="1033">
        <f>$E$9*H11/100</f>
        <v>0</v>
      </c>
      <c r="I12" s="863" t="s">
        <v>118</v>
      </c>
      <c r="J12" s="863"/>
      <c r="K12" s="863"/>
      <c r="L12" s="863"/>
      <c r="M12" s="863"/>
      <c r="N12" s="863"/>
      <c r="O12" s="864"/>
      <c r="P12" s="863"/>
      <c r="Q12" s="863"/>
      <c r="R12" s="863"/>
      <c r="S12" s="863"/>
    </row>
    <row r="13" spans="2:19">
      <c r="B13" s="863"/>
      <c r="C13" s="863"/>
      <c r="D13" s="863"/>
      <c r="E13" s="863"/>
      <c r="F13" s="863"/>
      <c r="G13" s="863"/>
      <c r="H13" s="863"/>
      <c r="I13" s="863"/>
      <c r="J13" s="863"/>
      <c r="K13" s="863"/>
      <c r="L13" s="863"/>
      <c r="M13" s="863"/>
      <c r="N13" s="863"/>
      <c r="O13" s="864"/>
      <c r="P13" s="863"/>
      <c r="Q13" s="863"/>
      <c r="R13" s="863"/>
      <c r="S13" s="863"/>
    </row>
    <row r="14" spans="2:19">
      <c r="B14" s="863" t="s">
        <v>1161</v>
      </c>
      <c r="C14" s="863" t="s">
        <v>1160</v>
      </c>
      <c r="D14" s="863"/>
      <c r="E14" s="863"/>
      <c r="F14" s="863"/>
      <c r="G14" s="863"/>
      <c r="H14" s="863"/>
      <c r="I14" s="863"/>
      <c r="J14" s="863"/>
      <c r="K14" s="863"/>
      <c r="L14" s="863"/>
      <c r="M14" s="863"/>
      <c r="N14" s="863"/>
      <c r="O14" s="864"/>
      <c r="P14" s="863"/>
      <c r="Q14" s="863"/>
      <c r="R14" s="863"/>
      <c r="S14" s="863"/>
    </row>
    <row r="15" spans="2:19">
      <c r="B15" s="863"/>
      <c r="C15" s="863" t="s">
        <v>1159</v>
      </c>
      <c r="D15" s="863"/>
      <c r="E15" s="863"/>
      <c r="F15" s="863"/>
      <c r="G15" s="863"/>
      <c r="H15" s="863"/>
      <c r="I15" s="863"/>
      <c r="J15" s="863"/>
      <c r="K15" s="863"/>
      <c r="L15" s="863"/>
      <c r="M15" s="863"/>
      <c r="N15" s="863"/>
      <c r="O15" s="864"/>
      <c r="P15" s="863"/>
      <c r="Q15" s="863"/>
      <c r="R15" s="863"/>
      <c r="S15" s="863"/>
    </row>
    <row r="16" spans="2:19" ht="14.25" thickBot="1">
      <c r="B16" s="863"/>
      <c r="C16" s="863"/>
      <c r="D16" s="863"/>
      <c r="E16" s="863" t="s">
        <v>1138</v>
      </c>
      <c r="F16" s="863"/>
      <c r="G16" s="863" t="s">
        <v>1158</v>
      </c>
      <c r="H16" s="863"/>
      <c r="I16" s="863" t="s">
        <v>1157</v>
      </c>
      <c r="J16" s="863"/>
      <c r="K16" s="863"/>
      <c r="L16" s="863"/>
      <c r="M16" s="863"/>
      <c r="N16" s="863"/>
      <c r="O16" s="864"/>
      <c r="P16" s="863"/>
      <c r="Q16" s="863"/>
      <c r="R16" s="863"/>
      <c r="S16" s="863"/>
    </row>
    <row r="17" spans="2:19" ht="15" thickTop="1" thickBot="1">
      <c r="B17" s="863"/>
      <c r="C17" s="863" t="s">
        <v>1156</v>
      </c>
      <c r="D17" s="878"/>
      <c r="E17" s="915"/>
      <c r="F17" s="863" t="s">
        <v>1131</v>
      </c>
      <c r="G17" s="903">
        <v>0.42</v>
      </c>
      <c r="H17" s="863" t="s">
        <v>1150</v>
      </c>
      <c r="I17" s="1033">
        <f>E$12</f>
        <v>0</v>
      </c>
      <c r="J17" s="863" t="s">
        <v>1149</v>
      </c>
      <c r="K17" s="1034">
        <f t="shared" ref="K17:K22" si="0">E17*G17*I17</f>
        <v>0</v>
      </c>
      <c r="L17" s="863" t="s">
        <v>1120</v>
      </c>
      <c r="M17" s="863"/>
      <c r="N17" s="863"/>
      <c r="O17" s="864"/>
      <c r="P17" s="863"/>
      <c r="Q17" s="878" t="s">
        <v>1134</v>
      </c>
      <c r="R17" s="911">
        <f t="shared" ref="R17:R22" si="1">K17*M$24</f>
        <v>0</v>
      </c>
      <c r="S17" s="863"/>
    </row>
    <row r="18" spans="2:19" ht="15" thickTop="1" thickBot="1">
      <c r="B18" s="863"/>
      <c r="C18" s="863" t="s">
        <v>1155</v>
      </c>
      <c r="D18" s="878"/>
      <c r="E18" s="914"/>
      <c r="F18" s="863" t="s">
        <v>1131</v>
      </c>
      <c r="G18" s="903">
        <v>2.88</v>
      </c>
      <c r="H18" s="863" t="s">
        <v>1150</v>
      </c>
      <c r="I18" s="1033">
        <f>E$12</f>
        <v>0</v>
      </c>
      <c r="J18" s="863" t="s">
        <v>1149</v>
      </c>
      <c r="K18" s="1034">
        <f t="shared" si="0"/>
        <v>0</v>
      </c>
      <c r="L18" s="863" t="s">
        <v>1120</v>
      </c>
      <c r="M18" s="863"/>
      <c r="N18" s="863"/>
      <c r="O18" s="864"/>
      <c r="P18" s="863"/>
      <c r="Q18" s="878" t="s">
        <v>1134</v>
      </c>
      <c r="R18" s="911">
        <f t="shared" si="1"/>
        <v>0</v>
      </c>
      <c r="S18" s="863"/>
    </row>
    <row r="19" spans="2:19" ht="15" thickTop="1" thickBot="1">
      <c r="B19" s="863"/>
      <c r="C19" s="863" t="s">
        <v>1154</v>
      </c>
      <c r="D19" s="881"/>
      <c r="E19" s="914"/>
      <c r="F19" s="863" t="s">
        <v>1131</v>
      </c>
      <c r="G19" s="903">
        <f>G17+G18</f>
        <v>3.3</v>
      </c>
      <c r="H19" s="863" t="s">
        <v>1150</v>
      </c>
      <c r="I19" s="1033">
        <f>E$12</f>
        <v>0</v>
      </c>
      <c r="J19" s="863" t="s">
        <v>1149</v>
      </c>
      <c r="K19" s="1034">
        <f t="shared" si="0"/>
        <v>0</v>
      </c>
      <c r="L19" s="863" t="s">
        <v>1120</v>
      </c>
      <c r="M19" s="863"/>
      <c r="N19" s="863"/>
      <c r="O19" s="864"/>
      <c r="P19" s="863"/>
      <c r="Q19" s="881" t="s">
        <v>1107</v>
      </c>
      <c r="R19" s="907">
        <f t="shared" si="1"/>
        <v>0</v>
      </c>
      <c r="S19" s="863"/>
    </row>
    <row r="20" spans="2:19" ht="15" thickTop="1" thickBot="1">
      <c r="B20" s="863"/>
      <c r="C20" s="863" t="s">
        <v>1153</v>
      </c>
      <c r="D20" s="878"/>
      <c r="E20" s="915"/>
      <c r="F20" s="863" t="s">
        <v>1131</v>
      </c>
      <c r="G20" s="903">
        <v>2.93</v>
      </c>
      <c r="H20" s="863" t="s">
        <v>1150</v>
      </c>
      <c r="I20" s="1033">
        <f>H$12</f>
        <v>0</v>
      </c>
      <c r="J20" s="863" t="s">
        <v>1149</v>
      </c>
      <c r="K20" s="1034">
        <f t="shared" si="0"/>
        <v>0</v>
      </c>
      <c r="L20" s="863" t="s">
        <v>1120</v>
      </c>
      <c r="M20" s="863"/>
      <c r="N20" s="863"/>
      <c r="O20" s="864"/>
      <c r="P20" s="863"/>
      <c r="Q20" s="878" t="s">
        <v>1134</v>
      </c>
      <c r="R20" s="911">
        <f t="shared" si="1"/>
        <v>0</v>
      </c>
      <c r="S20" s="863"/>
    </row>
    <row r="21" spans="2:19" ht="15" thickTop="1" thickBot="1">
      <c r="B21" s="863"/>
      <c r="C21" s="863" t="s">
        <v>1152</v>
      </c>
      <c r="D21" s="881"/>
      <c r="E21" s="914"/>
      <c r="F21" s="863" t="s">
        <v>1131</v>
      </c>
      <c r="G21" s="903">
        <v>3.3</v>
      </c>
      <c r="H21" s="863" t="s">
        <v>1150</v>
      </c>
      <c r="I21" s="1033">
        <f>H$12</f>
        <v>0</v>
      </c>
      <c r="J21" s="863" t="s">
        <v>1149</v>
      </c>
      <c r="K21" s="1034">
        <f t="shared" si="0"/>
        <v>0</v>
      </c>
      <c r="L21" s="863" t="s">
        <v>1120</v>
      </c>
      <c r="N21" s="863"/>
      <c r="O21" s="864"/>
      <c r="P21" s="863"/>
      <c r="Q21" s="881" t="s">
        <v>1107</v>
      </c>
      <c r="R21" s="907">
        <f t="shared" si="1"/>
        <v>0</v>
      </c>
      <c r="S21" s="863"/>
    </row>
    <row r="22" spans="2:19" ht="15" thickTop="1" thickBot="1">
      <c r="B22" s="863"/>
      <c r="C22" s="863" t="s">
        <v>1151</v>
      </c>
      <c r="D22" s="881"/>
      <c r="E22" s="914"/>
      <c r="F22" s="863" t="s">
        <v>1131</v>
      </c>
      <c r="G22" s="903">
        <v>3</v>
      </c>
      <c r="H22" s="863" t="s">
        <v>1150</v>
      </c>
      <c r="I22" s="1033">
        <f>$E9</f>
        <v>0</v>
      </c>
      <c r="J22" s="863" t="s">
        <v>1149</v>
      </c>
      <c r="K22" s="1034">
        <f t="shared" si="0"/>
        <v>0</v>
      </c>
      <c r="L22" s="863" t="s">
        <v>1148</v>
      </c>
      <c r="M22" s="863"/>
      <c r="N22" s="863"/>
      <c r="O22" s="864"/>
      <c r="P22" s="863"/>
      <c r="Q22" s="881" t="s">
        <v>1107</v>
      </c>
      <c r="R22" s="907">
        <f t="shared" si="1"/>
        <v>0</v>
      </c>
      <c r="S22" s="863"/>
    </row>
    <row r="23" spans="2:19" ht="14.25" thickTop="1">
      <c r="B23" s="863"/>
      <c r="C23" s="863"/>
      <c r="D23" s="881"/>
      <c r="E23" s="863"/>
      <c r="F23" s="863"/>
      <c r="G23" s="863"/>
      <c r="H23" s="863"/>
      <c r="I23" s="863"/>
      <c r="J23" s="863"/>
      <c r="K23" s="863"/>
      <c r="L23" s="863"/>
      <c r="M23" s="863" t="s">
        <v>1123</v>
      </c>
      <c r="N23" s="863"/>
      <c r="O23" s="864"/>
      <c r="P23" s="863"/>
      <c r="Q23" s="863"/>
      <c r="R23" s="863"/>
      <c r="S23" s="863"/>
    </row>
    <row r="24" spans="2:19" ht="15" customHeight="1">
      <c r="B24" s="863"/>
      <c r="C24" s="863"/>
      <c r="D24" s="863"/>
      <c r="E24" s="863" t="s">
        <v>1147</v>
      </c>
      <c r="F24" s="863"/>
      <c r="G24" s="863"/>
      <c r="H24" s="863"/>
      <c r="I24" s="863"/>
      <c r="J24" s="879" t="s">
        <v>1129</v>
      </c>
      <c r="K24" s="1034">
        <f>SUM(K17:K22)</f>
        <v>0</v>
      </c>
      <c r="L24" s="863" t="s">
        <v>1128</v>
      </c>
      <c r="M24" s="903">
        <v>300</v>
      </c>
      <c r="N24" s="863" t="s">
        <v>1119</v>
      </c>
      <c r="O24" s="1035">
        <f>K24*M24</f>
        <v>0</v>
      </c>
      <c r="P24" s="863" t="s">
        <v>1104</v>
      </c>
      <c r="Q24" s="863" t="s">
        <v>1127</v>
      </c>
      <c r="R24" s="906">
        <f>SUM(R17:R23)</f>
        <v>0</v>
      </c>
      <c r="S24" s="863"/>
    </row>
    <row r="25" spans="2:19">
      <c r="B25" s="863"/>
      <c r="C25" s="863"/>
      <c r="D25" s="863"/>
      <c r="E25" s="863"/>
      <c r="F25" s="863"/>
      <c r="G25" s="863"/>
      <c r="H25" s="863"/>
      <c r="I25" s="863"/>
      <c r="J25" s="879" t="s">
        <v>1103</v>
      </c>
      <c r="K25" s="906" t="e">
        <f>K24/$E$9</f>
        <v>#DIV/0!</v>
      </c>
      <c r="L25" s="863" t="s">
        <v>1146</v>
      </c>
      <c r="M25" s="863"/>
      <c r="N25" s="879" t="s">
        <v>1103</v>
      </c>
      <c r="O25" s="913" t="e">
        <f>O24/$E$10</f>
        <v>#DIV/0!</v>
      </c>
      <c r="P25" s="863" t="s">
        <v>1102</v>
      </c>
      <c r="Q25" s="863"/>
      <c r="R25" s="863"/>
      <c r="S25" s="863"/>
    </row>
    <row r="26" spans="2:19">
      <c r="B26" s="863"/>
      <c r="C26" s="863"/>
      <c r="D26" s="863"/>
      <c r="E26" s="863"/>
      <c r="F26" s="863"/>
      <c r="G26" s="863"/>
      <c r="H26" s="863"/>
      <c r="I26" s="863"/>
      <c r="J26" s="879"/>
      <c r="K26" s="863"/>
      <c r="L26" s="863"/>
      <c r="M26" s="863"/>
      <c r="N26" s="879"/>
      <c r="O26" s="864"/>
      <c r="P26" s="863"/>
      <c r="Q26" s="863"/>
      <c r="R26" s="863"/>
      <c r="S26" s="863"/>
    </row>
    <row r="27" spans="2:19">
      <c r="B27" s="863"/>
      <c r="C27" s="863" t="s">
        <v>1145</v>
      </c>
      <c r="D27" s="863"/>
      <c r="E27" s="863" t="s">
        <v>1144</v>
      </c>
      <c r="F27" s="863"/>
      <c r="G27" s="863" t="s">
        <v>1143</v>
      </c>
      <c r="H27" s="863"/>
      <c r="I27" s="863" t="s">
        <v>1139</v>
      </c>
      <c r="J27" s="879"/>
      <c r="K27" s="863"/>
      <c r="L27" s="863"/>
      <c r="M27" s="863"/>
      <c r="N27" s="879"/>
      <c r="O27" s="864"/>
      <c r="P27" s="863"/>
      <c r="Q27" s="863"/>
      <c r="R27" s="863"/>
      <c r="S27" s="863"/>
    </row>
    <row r="28" spans="2:19">
      <c r="B28" s="863"/>
      <c r="C28" s="863" t="s">
        <v>1136</v>
      </c>
      <c r="D28" s="863"/>
      <c r="E28" s="863">
        <f>E10</f>
        <v>0</v>
      </c>
      <c r="F28" s="863" t="s">
        <v>1142</v>
      </c>
      <c r="G28" s="903">
        <v>4.7000000000000002E-3</v>
      </c>
      <c r="H28" s="863" t="s">
        <v>1141</v>
      </c>
      <c r="I28" s="1033">
        <f>E28*G28</f>
        <v>0</v>
      </c>
      <c r="J28" s="912" t="s">
        <v>1140</v>
      </c>
      <c r="K28" s="863"/>
      <c r="L28" s="863"/>
      <c r="M28" s="863"/>
      <c r="N28" s="879"/>
      <c r="O28" s="864"/>
      <c r="P28" s="863"/>
      <c r="Q28" s="863"/>
      <c r="R28" s="863"/>
      <c r="S28" s="863"/>
    </row>
    <row r="29" spans="2:19">
      <c r="B29" s="863"/>
      <c r="C29" s="863" t="s">
        <v>1135</v>
      </c>
      <c r="D29" s="863"/>
      <c r="E29" s="863">
        <f>E10</f>
        <v>0</v>
      </c>
      <c r="F29" s="863" t="s">
        <v>1142</v>
      </c>
      <c r="G29" s="903">
        <v>2.5000000000000001E-3</v>
      </c>
      <c r="H29" s="863" t="s">
        <v>1141</v>
      </c>
      <c r="I29" s="1033">
        <f>E29*G29</f>
        <v>0</v>
      </c>
      <c r="J29" s="912" t="s">
        <v>1140</v>
      </c>
      <c r="K29" s="863"/>
      <c r="L29" s="863"/>
      <c r="M29" s="863"/>
      <c r="N29" s="879"/>
      <c r="O29" s="864"/>
      <c r="P29" s="863"/>
      <c r="Q29" s="863"/>
      <c r="R29" s="863"/>
      <c r="S29" s="863"/>
    </row>
    <row r="30" spans="2:19">
      <c r="B30" s="863"/>
      <c r="C30" s="863" t="s">
        <v>1133</v>
      </c>
      <c r="D30" s="863"/>
      <c r="E30" s="863">
        <f>E10</f>
        <v>0</v>
      </c>
      <c r="F30" s="863" t="s">
        <v>1142</v>
      </c>
      <c r="G30" s="903">
        <v>4.7000000000000002E-3</v>
      </c>
      <c r="H30" s="863" t="s">
        <v>1141</v>
      </c>
      <c r="I30" s="1033">
        <f>E30*G30</f>
        <v>0</v>
      </c>
      <c r="J30" s="912" t="s">
        <v>1140</v>
      </c>
      <c r="K30" s="863"/>
      <c r="L30" s="863"/>
      <c r="M30" s="863"/>
      <c r="N30" s="879"/>
      <c r="O30" s="864"/>
      <c r="P30" s="863"/>
      <c r="Q30" s="863"/>
      <c r="R30" s="863"/>
      <c r="S30" s="863"/>
    </row>
    <row r="31" spans="2:19">
      <c r="B31" s="863"/>
      <c r="C31" s="863"/>
      <c r="D31" s="863"/>
      <c r="E31" s="863"/>
      <c r="F31" s="863"/>
      <c r="G31" s="863"/>
      <c r="H31" s="863"/>
      <c r="I31" s="863"/>
      <c r="J31" s="879"/>
      <c r="K31" s="863"/>
      <c r="L31" s="863"/>
      <c r="M31" s="863"/>
      <c r="N31" s="879"/>
      <c r="O31" s="864"/>
      <c r="P31" s="863"/>
      <c r="Q31" s="863"/>
      <c r="R31" s="863"/>
      <c r="S31" s="863"/>
    </row>
    <row r="32" spans="2:19">
      <c r="B32" s="863"/>
      <c r="C32" s="863"/>
      <c r="D32" s="863"/>
      <c r="E32" s="863" t="s">
        <v>1139</v>
      </c>
      <c r="F32" s="863"/>
      <c r="G32" s="863" t="s">
        <v>1138</v>
      </c>
      <c r="H32" s="863"/>
      <c r="I32" s="863" t="s">
        <v>1137</v>
      </c>
      <c r="J32" s="863"/>
      <c r="K32" s="863"/>
      <c r="L32" s="863"/>
      <c r="M32" s="863"/>
      <c r="N32" s="879"/>
      <c r="O32" s="864"/>
      <c r="P32" s="863"/>
      <c r="Q32" s="863"/>
      <c r="R32" s="863"/>
      <c r="S32" s="863"/>
    </row>
    <row r="33" spans="2:21">
      <c r="B33" s="863"/>
      <c r="C33" s="863" t="s">
        <v>1136</v>
      </c>
      <c r="D33" s="878"/>
      <c r="E33" s="863">
        <f>I28</f>
        <v>0</v>
      </c>
      <c r="F33" s="863" t="s">
        <v>1132</v>
      </c>
      <c r="G33" s="910">
        <f>E17</f>
        <v>0</v>
      </c>
      <c r="H33" s="863" t="s">
        <v>1131</v>
      </c>
      <c r="I33" s="909">
        <v>3</v>
      </c>
      <c r="J33" s="863" t="s">
        <v>1130</v>
      </c>
      <c r="K33" s="908">
        <f>E33*G33*I33</f>
        <v>0</v>
      </c>
      <c r="L33" s="863" t="s">
        <v>1120</v>
      </c>
      <c r="M33" s="863"/>
      <c r="N33" s="879"/>
      <c r="O33" s="864"/>
      <c r="P33" s="863"/>
      <c r="Q33" s="878" t="s">
        <v>1134</v>
      </c>
      <c r="R33" s="911">
        <f>K33*M$36</f>
        <v>0</v>
      </c>
      <c r="S33" s="863"/>
    </row>
    <row r="34" spans="2:21">
      <c r="B34" s="863"/>
      <c r="C34" s="863" t="s">
        <v>1135</v>
      </c>
      <c r="D34" s="878"/>
      <c r="E34" s="863">
        <f>I29</f>
        <v>0</v>
      </c>
      <c r="F34" s="863" t="s">
        <v>1132</v>
      </c>
      <c r="G34" s="910">
        <f>E18</f>
        <v>0</v>
      </c>
      <c r="H34" s="863" t="s">
        <v>1131</v>
      </c>
      <c r="I34" s="909">
        <v>3</v>
      </c>
      <c r="J34" s="863" t="s">
        <v>1130</v>
      </c>
      <c r="K34" s="908">
        <f>E34*G34*I34</f>
        <v>0</v>
      </c>
      <c r="L34" s="863" t="s">
        <v>1120</v>
      </c>
      <c r="M34" s="863"/>
      <c r="N34" s="879"/>
      <c r="O34" s="864"/>
      <c r="P34" s="863"/>
      <c r="Q34" s="878" t="s">
        <v>1134</v>
      </c>
      <c r="R34" s="911">
        <f>K34*M$36</f>
        <v>0</v>
      </c>
      <c r="S34" s="863"/>
    </row>
    <row r="35" spans="2:21">
      <c r="B35" s="863"/>
      <c r="C35" s="863" t="s">
        <v>1133</v>
      </c>
      <c r="D35" s="881"/>
      <c r="E35" s="863">
        <f>I30</f>
        <v>0</v>
      </c>
      <c r="F35" s="863" t="s">
        <v>1132</v>
      </c>
      <c r="G35" s="910">
        <f>E19</f>
        <v>0</v>
      </c>
      <c r="H35" s="863" t="s">
        <v>1131</v>
      </c>
      <c r="I35" s="909">
        <v>3</v>
      </c>
      <c r="J35" s="863" t="s">
        <v>1130</v>
      </c>
      <c r="K35" s="908">
        <f>E35*G35*I35</f>
        <v>0</v>
      </c>
      <c r="L35" s="863" t="s">
        <v>1120</v>
      </c>
      <c r="M35" s="863" t="s">
        <v>1123</v>
      </c>
      <c r="N35" s="863"/>
      <c r="O35" s="864"/>
      <c r="P35" s="863"/>
      <c r="Q35" s="881" t="s">
        <v>1107</v>
      </c>
      <c r="R35" s="907">
        <f>K35*M$36</f>
        <v>0</v>
      </c>
      <c r="S35" s="863"/>
    </row>
    <row r="36" spans="2:21">
      <c r="B36" s="863"/>
      <c r="C36" s="863"/>
      <c r="D36" s="863"/>
      <c r="E36" s="863"/>
      <c r="F36" s="863"/>
      <c r="G36" s="863"/>
      <c r="H36" s="863"/>
      <c r="I36" s="863"/>
      <c r="J36" s="879" t="s">
        <v>1129</v>
      </c>
      <c r="K36" s="1034">
        <f>SUM(K33:K35)</f>
        <v>0</v>
      </c>
      <c r="L36" s="863" t="s">
        <v>1128</v>
      </c>
      <c r="M36" s="903">
        <v>240</v>
      </c>
      <c r="N36" s="863" t="s">
        <v>1119</v>
      </c>
      <c r="O36" s="1035">
        <f>K36*M36</f>
        <v>0</v>
      </c>
      <c r="P36" s="863" t="s">
        <v>1104</v>
      </c>
      <c r="Q36" s="863" t="s">
        <v>1127</v>
      </c>
      <c r="R36" s="906">
        <f>SUM(R33:R35)</f>
        <v>0</v>
      </c>
      <c r="S36" s="863"/>
      <c r="T36" s="890" t="e">
        <f>(O24+O36)/E9/M36</f>
        <v>#DIV/0!</v>
      </c>
      <c r="U36" s="861" t="s">
        <v>1116</v>
      </c>
    </row>
    <row r="37" spans="2:21">
      <c r="B37" s="863"/>
      <c r="C37" s="863"/>
      <c r="D37" s="863"/>
      <c r="E37" s="863"/>
      <c r="F37" s="863"/>
      <c r="G37" s="863"/>
      <c r="H37" s="863"/>
      <c r="I37" s="863"/>
      <c r="J37" s="879"/>
      <c r="K37" s="863"/>
      <c r="L37" s="863"/>
      <c r="M37" s="863"/>
      <c r="N37" s="879"/>
      <c r="O37" s="864"/>
      <c r="P37" s="863"/>
      <c r="Q37" s="863"/>
      <c r="R37" s="863"/>
      <c r="S37" s="863"/>
    </row>
    <row r="38" spans="2:21" ht="14.25" thickBot="1">
      <c r="B38" s="863"/>
      <c r="C38" s="863" t="s">
        <v>1126</v>
      </c>
      <c r="D38" s="863"/>
      <c r="E38" s="863"/>
      <c r="F38" s="863"/>
      <c r="G38" s="863" t="s">
        <v>1125</v>
      </c>
      <c r="H38" s="863"/>
      <c r="I38" s="863" t="s">
        <v>1124</v>
      </c>
      <c r="J38" s="863"/>
      <c r="K38" s="863"/>
      <c r="L38" s="863"/>
      <c r="M38" s="863" t="s">
        <v>1123</v>
      </c>
      <c r="N38" s="863"/>
      <c r="O38" s="864"/>
      <c r="P38" s="863"/>
      <c r="Q38" s="863"/>
      <c r="R38" s="863"/>
      <c r="S38" s="863"/>
    </row>
    <row r="39" spans="2:21" ht="15" thickTop="1" thickBot="1">
      <c r="B39" s="863"/>
      <c r="C39" s="863"/>
      <c r="D39" s="881"/>
      <c r="E39" s="863"/>
      <c r="F39" s="863"/>
      <c r="G39" s="903">
        <v>35</v>
      </c>
      <c r="H39" s="863" t="s">
        <v>1122</v>
      </c>
      <c r="I39" s="905"/>
      <c r="J39" s="863" t="s">
        <v>1121</v>
      </c>
      <c r="K39" s="904">
        <f>G39*I39</f>
        <v>0</v>
      </c>
      <c r="L39" s="863" t="s">
        <v>1120</v>
      </c>
      <c r="M39" s="903">
        <v>240</v>
      </c>
      <c r="N39" s="863" t="s">
        <v>1119</v>
      </c>
      <c r="O39" s="1035">
        <f>K39*M39</f>
        <v>0</v>
      </c>
      <c r="P39" s="863" t="s">
        <v>1104</v>
      </c>
      <c r="Q39" s="881" t="s">
        <v>1107</v>
      </c>
      <c r="R39" s="902">
        <f>K39*M39</f>
        <v>0</v>
      </c>
      <c r="S39" s="863"/>
    </row>
    <row r="40" spans="2:21" ht="14.25" thickTop="1">
      <c r="B40" s="863"/>
      <c r="C40" s="863"/>
      <c r="D40" s="881"/>
      <c r="E40" s="863"/>
      <c r="F40" s="863"/>
      <c r="G40" s="863"/>
      <c r="H40" s="863"/>
      <c r="I40" s="863"/>
      <c r="J40" s="863"/>
      <c r="K40" s="863"/>
      <c r="L40" s="863"/>
      <c r="M40" s="863"/>
      <c r="N40" s="863"/>
      <c r="O40" s="863"/>
      <c r="P40" s="863"/>
      <c r="Q40" s="863"/>
      <c r="R40" s="863"/>
      <c r="S40" s="863"/>
    </row>
    <row r="41" spans="2:21">
      <c r="B41" s="863"/>
      <c r="C41" s="863"/>
      <c r="D41" s="881"/>
      <c r="E41" s="863"/>
      <c r="F41" s="863"/>
      <c r="G41" s="863"/>
      <c r="H41" s="863"/>
      <c r="I41" s="876"/>
      <c r="J41" s="863"/>
      <c r="K41" s="863"/>
      <c r="L41" s="863"/>
      <c r="M41" s="863"/>
      <c r="N41" s="863"/>
      <c r="O41" s="863"/>
      <c r="P41" s="863"/>
      <c r="Q41" s="863"/>
      <c r="R41" s="863"/>
      <c r="S41" s="863"/>
    </row>
    <row r="42" spans="2:21">
      <c r="B42" s="863"/>
      <c r="C42" s="863"/>
      <c r="D42" s="878"/>
      <c r="E42" s="863"/>
      <c r="F42" s="863"/>
      <c r="G42" s="863"/>
      <c r="H42" s="889"/>
      <c r="I42" s="901"/>
      <c r="J42" s="868"/>
      <c r="K42" s="863"/>
      <c r="L42" s="863"/>
      <c r="M42" s="863"/>
      <c r="N42" s="863"/>
      <c r="O42" s="864"/>
      <c r="P42" s="863"/>
      <c r="Q42" s="878"/>
      <c r="R42" s="900"/>
      <c r="S42" s="863"/>
    </row>
    <row r="43" spans="2:21">
      <c r="B43" s="863"/>
      <c r="C43" s="863"/>
      <c r="D43" s="863"/>
      <c r="E43" s="863"/>
      <c r="F43" s="863"/>
      <c r="G43" s="863"/>
      <c r="H43" s="863"/>
      <c r="I43" s="883"/>
      <c r="J43" s="863"/>
      <c r="K43" s="863"/>
      <c r="L43" s="863"/>
      <c r="M43" s="876"/>
      <c r="N43" s="863"/>
      <c r="O43" s="864"/>
      <c r="P43" s="863"/>
      <c r="Q43" s="863"/>
      <c r="R43" s="863"/>
      <c r="S43" s="863"/>
    </row>
    <row r="44" spans="2:21">
      <c r="B44" s="863" t="s">
        <v>1118</v>
      </c>
      <c r="C44" s="863"/>
      <c r="D44" s="863"/>
      <c r="E44" s="863"/>
      <c r="F44" s="863"/>
      <c r="G44" s="863"/>
      <c r="H44" s="863"/>
      <c r="I44" s="863"/>
      <c r="J44" s="863"/>
      <c r="K44" s="863"/>
      <c r="L44" s="889"/>
      <c r="M44" s="863"/>
      <c r="N44" s="863"/>
      <c r="O44" s="864"/>
      <c r="P44" s="863"/>
      <c r="Q44" s="863"/>
      <c r="R44" s="863"/>
      <c r="S44" s="863"/>
    </row>
    <row r="45" spans="2:21">
      <c r="B45" s="863"/>
      <c r="C45" s="863"/>
      <c r="D45" s="863"/>
      <c r="E45" s="863"/>
      <c r="F45" s="863"/>
      <c r="G45" s="863"/>
      <c r="H45" s="863"/>
      <c r="I45" s="863"/>
      <c r="J45" s="881"/>
      <c r="K45" s="899"/>
      <c r="L45" s="863"/>
      <c r="M45" s="899"/>
      <c r="N45" s="863"/>
      <c r="O45" s="898">
        <f>R19+R21+R22+R35+R39</f>
        <v>0</v>
      </c>
      <c r="P45" s="863" t="s">
        <v>1104</v>
      </c>
      <c r="Q45" s="863" t="s">
        <v>840</v>
      </c>
      <c r="R45" s="863"/>
      <c r="S45" s="863"/>
    </row>
    <row r="46" spans="2:21" ht="14.25" thickBot="1">
      <c r="B46" s="863"/>
      <c r="C46" s="863"/>
      <c r="D46" s="863"/>
      <c r="E46" s="863"/>
      <c r="F46" s="863"/>
      <c r="G46" s="863"/>
      <c r="H46" s="863"/>
      <c r="I46" s="863"/>
      <c r="J46" s="878"/>
      <c r="K46" s="897"/>
      <c r="L46" s="863"/>
      <c r="M46" s="897"/>
      <c r="N46" s="863"/>
      <c r="O46" s="896">
        <f>R17+R18+R20+R33+R34</f>
        <v>0</v>
      </c>
      <c r="P46" s="863" t="s">
        <v>1104</v>
      </c>
      <c r="Q46" s="876" t="s">
        <v>842</v>
      </c>
      <c r="R46" s="863"/>
      <c r="S46" s="863"/>
    </row>
    <row r="47" spans="2:21" ht="15" thickTop="1" thickBot="1">
      <c r="B47" s="863"/>
      <c r="C47" s="863"/>
      <c r="D47" s="863"/>
      <c r="E47" s="863"/>
      <c r="F47" s="863"/>
      <c r="G47" s="863"/>
      <c r="H47" s="863"/>
      <c r="I47" s="863"/>
      <c r="J47" s="878"/>
      <c r="K47" s="863" t="s">
        <v>1103</v>
      </c>
      <c r="L47" s="889"/>
      <c r="M47" s="895"/>
      <c r="N47" s="894" t="s">
        <v>160</v>
      </c>
      <c r="O47" s="893">
        <f>O24+O36+O39</f>
        <v>0</v>
      </c>
      <c r="P47" s="892" t="s">
        <v>1104</v>
      </c>
      <c r="Q47" s="891" t="s">
        <v>1117</v>
      </c>
      <c r="R47" s="868"/>
      <c r="S47" s="863"/>
      <c r="T47" s="890" t="e">
        <f>O47/E9/M39</f>
        <v>#DIV/0!</v>
      </c>
      <c r="U47" s="861" t="s">
        <v>1116</v>
      </c>
    </row>
    <row r="48" spans="2:21" ht="15" thickTop="1" thickBot="1">
      <c r="B48" s="863"/>
      <c r="C48" s="863"/>
      <c r="D48" s="863"/>
      <c r="E48" s="863"/>
      <c r="F48" s="863"/>
      <c r="G48" s="863"/>
      <c r="H48" s="863"/>
      <c r="I48" s="863"/>
      <c r="J48" s="863"/>
      <c r="K48" s="863"/>
      <c r="L48" s="889"/>
      <c r="M48" s="888"/>
      <c r="N48" s="887" t="s">
        <v>1103</v>
      </c>
      <c r="O48" s="1036" t="e">
        <f>O47/$E$10</f>
        <v>#DIV/0!</v>
      </c>
      <c r="P48" s="886" t="s">
        <v>1102</v>
      </c>
      <c r="Q48" s="885"/>
      <c r="R48" s="868"/>
      <c r="S48" s="863"/>
    </row>
    <row r="49" spans="2:19" ht="15" thickTop="1" thickBot="1">
      <c r="B49" s="863" t="s">
        <v>1115</v>
      </c>
      <c r="C49" s="863" t="s">
        <v>1114</v>
      </c>
      <c r="D49" s="863"/>
      <c r="E49" s="863"/>
      <c r="F49" s="863"/>
      <c r="G49" s="863"/>
      <c r="H49" s="863"/>
      <c r="I49" s="863"/>
      <c r="J49" s="863"/>
      <c r="K49" s="863"/>
      <c r="L49" s="863"/>
      <c r="M49" s="883"/>
      <c r="N49" s="863"/>
      <c r="O49" s="864"/>
      <c r="P49" s="863"/>
      <c r="Q49" s="883"/>
      <c r="R49" s="863"/>
      <c r="S49" s="863"/>
    </row>
    <row r="50" spans="2:19" ht="15" thickTop="1" thickBot="1">
      <c r="B50" s="863"/>
      <c r="C50" s="863" t="s">
        <v>1113</v>
      </c>
      <c r="D50" s="863"/>
      <c r="E50" s="863"/>
      <c r="F50" s="863"/>
      <c r="G50" s="863"/>
      <c r="H50" s="884"/>
      <c r="I50" s="863" t="s">
        <v>209</v>
      </c>
      <c r="J50" s="863"/>
      <c r="K50" s="863"/>
      <c r="L50" s="863"/>
      <c r="M50" s="883"/>
      <c r="N50" s="879" t="s">
        <v>1112</v>
      </c>
      <c r="O50" s="882">
        <f>O47*H50/100</f>
        <v>0</v>
      </c>
      <c r="P50" s="863" t="s">
        <v>1104</v>
      </c>
      <c r="Q50" s="863" t="s">
        <v>1111</v>
      </c>
      <c r="R50" s="863"/>
      <c r="S50" s="863"/>
    </row>
    <row r="51" spans="2:19" ht="14.25" thickTop="1">
      <c r="B51" s="863"/>
      <c r="C51" s="863" t="s">
        <v>1110</v>
      </c>
      <c r="D51" s="863"/>
      <c r="E51" s="863"/>
      <c r="F51" s="863"/>
      <c r="G51" s="863"/>
      <c r="H51" s="863"/>
      <c r="I51" s="863"/>
      <c r="J51" s="863"/>
      <c r="K51" s="863"/>
      <c r="L51" s="863"/>
      <c r="M51" s="883"/>
      <c r="N51" s="879" t="s">
        <v>1109</v>
      </c>
      <c r="O51" s="882">
        <f>IF(O50&lt;O46,O50,O46)</f>
        <v>0</v>
      </c>
      <c r="P51" s="863" t="s">
        <v>1104</v>
      </c>
      <c r="Q51" s="863" t="s">
        <v>1108</v>
      </c>
      <c r="R51" s="863"/>
      <c r="S51" s="863"/>
    </row>
    <row r="52" spans="2:19">
      <c r="B52" s="863"/>
      <c r="C52" s="863"/>
      <c r="D52" s="863"/>
      <c r="E52" s="863"/>
      <c r="F52" s="863"/>
      <c r="G52" s="863"/>
      <c r="H52" s="863"/>
      <c r="I52" s="863"/>
      <c r="J52" s="863"/>
      <c r="K52" s="863"/>
      <c r="L52" s="863"/>
      <c r="M52" s="863"/>
      <c r="N52" s="863"/>
      <c r="O52" s="864"/>
      <c r="P52" s="863"/>
      <c r="Q52" s="863"/>
      <c r="R52" s="863"/>
      <c r="S52" s="863"/>
    </row>
    <row r="53" spans="2:19">
      <c r="B53" s="863"/>
      <c r="C53" s="863"/>
      <c r="D53" s="863"/>
      <c r="E53" s="863"/>
      <c r="F53" s="863"/>
      <c r="G53" s="863"/>
      <c r="H53" s="863"/>
      <c r="I53" s="863"/>
      <c r="J53" s="881" t="s">
        <v>1107</v>
      </c>
      <c r="K53" s="863"/>
      <c r="L53" s="863"/>
      <c r="M53" s="863"/>
      <c r="N53" s="863"/>
      <c r="O53" s="880">
        <f>O45</f>
        <v>0</v>
      </c>
      <c r="P53" s="863" t="s">
        <v>1104</v>
      </c>
      <c r="Q53" s="863" t="s">
        <v>840</v>
      </c>
      <c r="R53" s="863"/>
      <c r="S53" s="863"/>
    </row>
    <row r="54" spans="2:19" ht="14.25" thickBot="1">
      <c r="B54" s="863"/>
      <c r="C54" s="863"/>
      <c r="D54" s="863"/>
      <c r="E54" s="863"/>
      <c r="F54" s="863"/>
      <c r="G54" s="879"/>
      <c r="H54" s="863"/>
      <c r="I54" s="863"/>
      <c r="J54" s="878" t="s">
        <v>1106</v>
      </c>
      <c r="K54" s="863"/>
      <c r="L54" s="863"/>
      <c r="M54" s="863"/>
      <c r="N54" s="863"/>
      <c r="O54" s="877">
        <f>O46-O51</f>
        <v>0</v>
      </c>
      <c r="P54" s="863" t="s">
        <v>1104</v>
      </c>
      <c r="Q54" s="876" t="s">
        <v>1105</v>
      </c>
      <c r="R54" s="863"/>
      <c r="S54" s="863"/>
    </row>
    <row r="55" spans="2:19" ht="15" thickTop="1" thickBot="1">
      <c r="B55" s="863"/>
      <c r="C55" s="863"/>
      <c r="D55" s="863"/>
      <c r="E55" s="863"/>
      <c r="F55" s="863"/>
      <c r="G55" s="863"/>
      <c r="H55" s="863"/>
      <c r="I55" s="863"/>
      <c r="J55" s="863"/>
      <c r="K55" s="863"/>
      <c r="L55" s="863"/>
      <c r="M55" s="863"/>
      <c r="N55" s="875" t="s">
        <v>160</v>
      </c>
      <c r="O55" s="874">
        <f>SUM(O53:O54)</f>
        <v>0</v>
      </c>
      <c r="P55" s="873" t="s">
        <v>1104</v>
      </c>
      <c r="Q55" s="872"/>
      <c r="S55" s="863"/>
    </row>
    <row r="56" spans="2:19" ht="15" thickTop="1" thickBot="1">
      <c r="B56" s="863"/>
      <c r="D56" s="863"/>
      <c r="E56" s="863"/>
      <c r="F56" s="863"/>
      <c r="G56" s="863"/>
      <c r="H56" s="863"/>
      <c r="I56" s="863"/>
      <c r="J56" s="863"/>
      <c r="K56" s="863"/>
      <c r="L56" s="863"/>
      <c r="M56" s="863"/>
      <c r="N56" s="871" t="s">
        <v>1103</v>
      </c>
      <c r="O56" s="1037" t="e">
        <f>O55/$E$10</f>
        <v>#DIV/0!</v>
      </c>
      <c r="P56" s="870" t="s">
        <v>1102</v>
      </c>
      <c r="Q56" s="869"/>
      <c r="R56" s="868"/>
      <c r="S56" s="863"/>
    </row>
    <row r="57" spans="2:19" ht="14.25" thickTop="1">
      <c r="B57" s="863"/>
      <c r="C57" s="863" t="s">
        <v>1101</v>
      </c>
      <c r="D57" s="863"/>
      <c r="E57" s="863"/>
      <c r="F57" s="863"/>
      <c r="G57" s="863"/>
      <c r="H57" s="863"/>
      <c r="I57" s="863"/>
      <c r="J57" s="863"/>
      <c r="K57" s="863"/>
      <c r="L57" s="863"/>
      <c r="M57" s="863"/>
      <c r="N57" s="867"/>
      <c r="O57" s="866"/>
      <c r="P57" s="865"/>
      <c r="R57" s="863"/>
      <c r="S57" s="863"/>
    </row>
    <row r="58" spans="2:19">
      <c r="B58" s="863"/>
      <c r="C58" s="863" t="s">
        <v>1100</v>
      </c>
      <c r="D58" s="863"/>
      <c r="E58" s="863"/>
      <c r="F58" s="863"/>
      <c r="G58" s="863"/>
      <c r="H58" s="863"/>
      <c r="I58" s="863"/>
      <c r="J58" s="863"/>
      <c r="K58" s="863"/>
      <c r="L58" s="863"/>
      <c r="M58" s="863"/>
      <c r="N58" s="863"/>
      <c r="O58" s="864"/>
      <c r="P58" s="863"/>
      <c r="Q58" s="863"/>
      <c r="R58" s="863"/>
      <c r="S58" s="863"/>
    </row>
    <row r="59" spans="2:19">
      <c r="B59" s="863"/>
      <c r="C59" s="863" t="s">
        <v>1099</v>
      </c>
      <c r="D59" s="863"/>
      <c r="E59" s="863"/>
      <c r="F59" s="863"/>
      <c r="G59" s="863"/>
      <c r="H59" s="863"/>
      <c r="I59" s="863"/>
      <c r="J59" s="863"/>
      <c r="K59" s="863"/>
      <c r="L59" s="863"/>
      <c r="M59" s="863"/>
      <c r="N59" s="863"/>
      <c r="O59" s="864"/>
      <c r="P59" s="863"/>
      <c r="Q59" s="863"/>
      <c r="R59" s="863"/>
      <c r="S59" s="863"/>
    </row>
    <row r="60" spans="2:19">
      <c r="B60" s="863"/>
      <c r="C60" s="863" t="s">
        <v>1098</v>
      </c>
      <c r="D60" s="863"/>
      <c r="E60" s="863"/>
      <c r="F60" s="863"/>
      <c r="G60" s="863"/>
      <c r="H60" s="863"/>
      <c r="I60" s="863"/>
      <c r="J60" s="863"/>
      <c r="K60" s="863"/>
      <c r="L60" s="863"/>
      <c r="M60" s="863"/>
      <c r="N60" s="863"/>
      <c r="O60" s="864"/>
      <c r="P60" s="863"/>
      <c r="Q60" s="863"/>
      <c r="R60" s="863"/>
      <c r="S60" s="863"/>
    </row>
    <row r="61" spans="2:19">
      <c r="B61" s="863"/>
      <c r="C61" s="863" t="s">
        <v>1097</v>
      </c>
      <c r="D61" s="863"/>
      <c r="E61" s="863"/>
      <c r="F61" s="863"/>
      <c r="G61" s="863"/>
      <c r="H61" s="863"/>
      <c r="I61" s="863"/>
      <c r="J61" s="863"/>
      <c r="K61" s="863"/>
      <c r="L61" s="863"/>
      <c r="M61" s="863"/>
      <c r="N61" s="863"/>
      <c r="O61" s="864"/>
      <c r="P61" s="863"/>
      <c r="Q61" s="863"/>
      <c r="R61" s="863"/>
      <c r="S61" s="863"/>
    </row>
    <row r="62" spans="2:19">
      <c r="B62" s="863"/>
      <c r="C62" s="863" t="s">
        <v>1096</v>
      </c>
      <c r="D62" s="863"/>
      <c r="E62" s="863"/>
      <c r="F62" s="863"/>
      <c r="G62" s="863"/>
      <c r="H62" s="863"/>
      <c r="I62" s="863"/>
      <c r="J62" s="863"/>
      <c r="K62" s="863"/>
      <c r="L62" s="863"/>
      <c r="M62" s="863"/>
      <c r="N62" s="863"/>
      <c r="O62" s="864"/>
      <c r="P62" s="863"/>
      <c r="Q62" s="863"/>
      <c r="R62" s="863"/>
      <c r="S62" s="863"/>
    </row>
    <row r="63" spans="2:19">
      <c r="C63" s="863" t="s">
        <v>1095</v>
      </c>
    </row>
  </sheetData>
  <sheetProtection algorithmName="SHA-512" hashValue="rX2IQB21bssToq15SfMXL/zA3izgwRNuGwVNu+53frCPLU/loD1bobD04+94Xrg0kPiiKva/kbpGIU+QB1O8uA==" saltValue="5C/GnACR3prSf++4XCrsGg==" spinCount="100000" sheet="1" objects="1" scenarios="1"/>
  <phoneticPr fontId="3"/>
  <pageMargins left="0.78740157480314965" right="0.78740157480314965" top="0.98425196850393704" bottom="0.98425196850393704" header="0.51181102362204722" footer="0.51181102362204722"/>
  <pageSetup paperSize="9" scale="5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985E-1D4C-44D4-B78C-A31B42B32A02}">
  <sheetPr>
    <pageSetUpPr fitToPage="1"/>
  </sheetPr>
  <dimension ref="A1:X81"/>
  <sheetViews>
    <sheetView showGridLines="0" zoomScaleNormal="100" workbookViewId="0">
      <selection activeCell="E9" sqref="E9"/>
    </sheetView>
  </sheetViews>
  <sheetFormatPr defaultColWidth="9" defaultRowHeight="13.5"/>
  <cols>
    <col min="1" max="1" width="3.5" style="922" customWidth="1"/>
    <col min="2" max="2" width="2.625" style="922" customWidth="1"/>
    <col min="3" max="3" width="10.5" style="922" customWidth="1"/>
    <col min="4" max="4" width="6.875" style="922" customWidth="1"/>
    <col min="5" max="5" width="7.875" style="922" customWidth="1"/>
    <col min="6" max="6" width="7.5" style="922" customWidth="1"/>
    <col min="7" max="7" width="8" style="922" customWidth="1"/>
    <col min="8" max="8" width="10.25" style="922" customWidth="1"/>
    <col min="9" max="9" width="9.5" style="922" customWidth="1"/>
    <col min="10" max="10" width="9" style="922"/>
    <col min="11" max="11" width="11.125" style="922" customWidth="1"/>
    <col min="12" max="12" width="9" style="922"/>
    <col min="13" max="13" width="11.5" style="922" customWidth="1"/>
    <col min="14" max="14" width="9" style="922"/>
    <col min="15" max="15" width="13.625" style="923" customWidth="1"/>
    <col min="16" max="16" width="9" style="922"/>
    <col min="17" max="17" width="13.625" style="922" customWidth="1"/>
    <col min="18" max="18" width="11" style="922" bestFit="1" customWidth="1"/>
    <col min="19" max="19" width="9" style="922"/>
    <col min="20" max="20" width="13.875" style="922" customWidth="1"/>
    <col min="21" max="21" width="10.25" style="922" customWidth="1"/>
    <col min="22" max="22" width="10.625" style="922" customWidth="1"/>
    <col min="23" max="23" width="9" style="922"/>
    <col min="24" max="24" width="10.5" style="922" bestFit="1" customWidth="1"/>
    <col min="25" max="16384" width="9" style="922"/>
  </cols>
  <sheetData>
    <row r="1" spans="1:24">
      <c r="A1" s="925"/>
      <c r="B1" s="925"/>
      <c r="C1" s="925"/>
      <c r="D1" s="925"/>
      <c r="E1" s="925"/>
      <c r="F1" s="925"/>
      <c r="G1" s="925"/>
      <c r="H1" s="925"/>
      <c r="I1" s="925"/>
      <c r="J1" s="925"/>
      <c r="K1" s="925"/>
      <c r="L1" s="925"/>
      <c r="M1" s="925"/>
      <c r="N1" s="925"/>
      <c r="O1" s="991"/>
      <c r="P1" s="925"/>
      <c r="Q1" s="925"/>
      <c r="R1" s="925"/>
      <c r="S1" s="925"/>
      <c r="T1" s="925"/>
      <c r="U1" s="925"/>
      <c r="V1" s="925"/>
      <c r="W1" s="925"/>
      <c r="X1" s="925"/>
    </row>
    <row r="2" spans="1:24" ht="18.75">
      <c r="A2" s="925"/>
      <c r="B2" s="990" t="s">
        <v>1211</v>
      </c>
      <c r="C2" s="926"/>
      <c r="D2" s="926"/>
      <c r="E2" s="926"/>
      <c r="F2" s="926"/>
      <c r="G2" s="926"/>
      <c r="H2" s="926"/>
      <c r="I2" s="926"/>
      <c r="J2" s="926"/>
      <c r="K2" s="926"/>
      <c r="L2" s="926"/>
      <c r="M2" s="926"/>
      <c r="N2" s="926"/>
      <c r="O2" s="927"/>
      <c r="P2" s="926"/>
      <c r="Q2" s="926"/>
      <c r="R2" s="926"/>
      <c r="S2" s="987"/>
      <c r="T2" s="925"/>
      <c r="U2" s="925"/>
      <c r="V2" s="925"/>
      <c r="W2" s="925"/>
      <c r="X2" s="989"/>
    </row>
    <row r="3" spans="1:24" ht="14.25" thickBot="1">
      <c r="A3" s="925"/>
      <c r="B3" s="926"/>
      <c r="C3" s="988" t="s">
        <v>1175</v>
      </c>
      <c r="D3" s="926"/>
      <c r="E3" s="926"/>
      <c r="F3" s="926"/>
      <c r="G3" s="926"/>
      <c r="H3" s="926"/>
      <c r="I3" s="926" t="s">
        <v>1174</v>
      </c>
      <c r="J3" s="926"/>
      <c r="K3" s="926"/>
      <c r="L3" s="926"/>
      <c r="M3" s="926"/>
      <c r="N3" s="926"/>
      <c r="O3" s="927"/>
      <c r="P3" s="926"/>
      <c r="Q3" s="926"/>
      <c r="R3" s="926"/>
      <c r="S3" s="987"/>
      <c r="T3" s="925"/>
      <c r="U3" s="925"/>
      <c r="V3" s="925"/>
      <c r="W3" s="925"/>
      <c r="X3" s="925"/>
    </row>
    <row r="4" spans="1:24" ht="15" thickTop="1" thickBot="1">
      <c r="A4" s="925"/>
      <c r="B4" s="926"/>
      <c r="C4" s="926"/>
      <c r="D4" s="926"/>
      <c r="E4" s="986"/>
      <c r="F4" s="926" t="s">
        <v>1173</v>
      </c>
      <c r="G4" s="926"/>
      <c r="H4" s="926"/>
      <c r="I4" s="926" t="s">
        <v>1172</v>
      </c>
      <c r="J4" s="926"/>
      <c r="K4" s="926"/>
      <c r="L4" s="926"/>
      <c r="M4" s="926"/>
      <c r="N4" s="926"/>
      <c r="O4" s="927"/>
      <c r="P4" s="926"/>
      <c r="Q4" s="926"/>
      <c r="R4" s="926"/>
      <c r="S4" s="926"/>
      <c r="T4" s="925"/>
      <c r="U4" s="925"/>
      <c r="V4" s="925"/>
      <c r="W4" s="925"/>
      <c r="X4" s="925"/>
    </row>
    <row r="5" spans="1:24" ht="14.25" thickTop="1">
      <c r="A5" s="925"/>
      <c r="B5" s="926"/>
      <c r="C5" s="926"/>
      <c r="D5" s="926"/>
      <c r="E5" s="973"/>
      <c r="F5" s="926" t="s">
        <v>1171</v>
      </c>
      <c r="G5" s="926"/>
      <c r="H5" s="926"/>
      <c r="I5" s="926" t="s">
        <v>1170</v>
      </c>
      <c r="J5" s="926"/>
      <c r="K5" s="926"/>
      <c r="L5" s="926"/>
      <c r="M5" s="926"/>
      <c r="N5" s="926"/>
      <c r="O5" s="927"/>
      <c r="P5" s="926"/>
      <c r="Q5" s="926"/>
      <c r="R5" s="926"/>
      <c r="S5" s="926"/>
      <c r="T5" s="925"/>
      <c r="U5" s="925"/>
      <c r="V5" s="925"/>
      <c r="W5" s="925"/>
      <c r="X5" s="925"/>
    </row>
    <row r="6" spans="1:24">
      <c r="A6" s="925"/>
      <c r="B6" s="926"/>
      <c r="C6" s="926"/>
      <c r="D6" s="926"/>
      <c r="E6" s="982"/>
      <c r="F6" s="926" t="s">
        <v>1169</v>
      </c>
      <c r="G6" s="926"/>
      <c r="H6" s="926"/>
      <c r="I6" s="926"/>
      <c r="J6" s="926"/>
      <c r="K6" s="926"/>
      <c r="L6" s="926"/>
      <c r="M6" s="926"/>
      <c r="N6" s="926"/>
      <c r="O6" s="927"/>
      <c r="P6" s="926"/>
      <c r="Q6" s="926"/>
      <c r="R6" s="926"/>
      <c r="S6" s="926"/>
      <c r="T6" s="925"/>
      <c r="U6" s="925"/>
      <c r="V6" s="925"/>
      <c r="W6" s="925"/>
      <c r="X6" s="925"/>
    </row>
    <row r="7" spans="1:24">
      <c r="A7" s="925"/>
      <c r="B7" s="926"/>
      <c r="C7" s="926"/>
      <c r="D7" s="926"/>
      <c r="E7" s="926"/>
      <c r="F7" s="926"/>
      <c r="G7" s="926"/>
      <c r="H7" s="926"/>
      <c r="I7" s="926"/>
      <c r="J7" s="926"/>
      <c r="K7" s="926"/>
      <c r="L7" s="926"/>
      <c r="M7" s="926"/>
      <c r="N7" s="926"/>
      <c r="O7" s="927"/>
      <c r="P7" s="926"/>
      <c r="Q7" s="926"/>
      <c r="R7" s="926"/>
      <c r="S7" s="926"/>
      <c r="T7" s="925"/>
      <c r="U7" s="925"/>
      <c r="V7" s="925"/>
      <c r="W7" s="925"/>
      <c r="X7" s="925"/>
    </row>
    <row r="8" spans="1:24" ht="14.25" thickBot="1">
      <c r="A8" s="925"/>
      <c r="B8" s="926"/>
      <c r="C8" s="926"/>
      <c r="D8" s="926"/>
      <c r="E8" s="926"/>
      <c r="F8" s="926"/>
      <c r="G8" s="926"/>
      <c r="H8" s="926"/>
      <c r="I8" s="926"/>
      <c r="J8" s="926"/>
      <c r="K8" s="926"/>
      <c r="L8" s="926"/>
      <c r="M8" s="926"/>
      <c r="N8" s="926"/>
      <c r="O8" s="927"/>
      <c r="P8" s="926"/>
      <c r="Q8" s="926"/>
      <c r="R8" s="926"/>
      <c r="S8" s="926"/>
      <c r="T8" s="925"/>
      <c r="U8" s="925"/>
      <c r="V8" s="925"/>
      <c r="W8" s="925"/>
      <c r="X8" s="925"/>
    </row>
    <row r="9" spans="1:24" ht="15" thickTop="1" thickBot="1">
      <c r="A9" s="925"/>
      <c r="B9" s="926" t="s">
        <v>1168</v>
      </c>
      <c r="C9" s="926" t="s">
        <v>1210</v>
      </c>
      <c r="D9" s="926"/>
      <c r="E9" s="985"/>
      <c r="F9" s="926" t="s">
        <v>118</v>
      </c>
      <c r="G9" s="926"/>
      <c r="H9" s="926"/>
      <c r="I9" s="926"/>
      <c r="J9" s="926"/>
      <c r="K9" s="926"/>
      <c r="L9" s="926"/>
      <c r="M9" s="926"/>
      <c r="N9" s="926"/>
      <c r="O9" s="927"/>
      <c r="P9" s="926"/>
      <c r="Q9" s="926"/>
      <c r="R9" s="926"/>
      <c r="S9" s="926"/>
      <c r="T9" s="925"/>
      <c r="U9" s="925"/>
      <c r="V9" s="925"/>
      <c r="W9" s="925"/>
      <c r="X9" s="925"/>
    </row>
    <row r="10" spans="1:24" ht="15" thickTop="1" thickBot="1">
      <c r="A10" s="925"/>
      <c r="B10" s="926"/>
      <c r="C10" s="926" t="s">
        <v>1209</v>
      </c>
      <c r="D10" s="926"/>
      <c r="E10" s="985"/>
      <c r="F10" s="926" t="s">
        <v>118</v>
      </c>
      <c r="G10" s="926"/>
      <c r="H10" s="926"/>
      <c r="I10" s="926"/>
      <c r="J10" s="926"/>
      <c r="K10" s="926"/>
      <c r="L10" s="926"/>
      <c r="M10" s="926"/>
      <c r="N10" s="926"/>
      <c r="O10" s="927"/>
      <c r="P10" s="926"/>
      <c r="Q10" s="926"/>
      <c r="R10" s="926"/>
      <c r="S10" s="926"/>
      <c r="T10" s="925"/>
      <c r="U10" s="925"/>
      <c r="V10" s="925"/>
      <c r="W10" s="925"/>
      <c r="X10" s="925"/>
    </row>
    <row r="11" spans="1:24" ht="15" thickTop="1" thickBot="1">
      <c r="A11" s="925"/>
      <c r="B11" s="926" t="s">
        <v>1166</v>
      </c>
      <c r="C11" s="926" t="s">
        <v>1208</v>
      </c>
      <c r="D11" s="926"/>
      <c r="E11" s="985"/>
      <c r="F11" s="926" t="s">
        <v>34</v>
      </c>
      <c r="G11" s="926"/>
      <c r="H11" s="926"/>
      <c r="I11" s="926"/>
      <c r="J11" s="926"/>
      <c r="K11" s="926"/>
      <c r="L11" s="926"/>
      <c r="M11" s="926"/>
      <c r="N11" s="926"/>
      <c r="O11" s="927"/>
      <c r="P11" s="926"/>
      <c r="Q11" s="926"/>
      <c r="R11" s="926"/>
      <c r="S11" s="926"/>
      <c r="T11" s="925"/>
      <c r="U11" s="925"/>
      <c r="V11" s="925"/>
      <c r="W11" s="925"/>
      <c r="X11" s="925"/>
    </row>
    <row r="12" spans="1:24" ht="15" thickTop="1" thickBot="1">
      <c r="A12" s="925"/>
      <c r="B12" s="926" t="s">
        <v>1165</v>
      </c>
      <c r="C12" s="926" t="s">
        <v>1207</v>
      </c>
      <c r="D12" s="926"/>
      <c r="E12" s="985"/>
      <c r="F12" s="926" t="s">
        <v>1206</v>
      </c>
      <c r="G12" s="926"/>
      <c r="H12" s="926"/>
      <c r="I12" s="926"/>
      <c r="J12" s="926"/>
      <c r="K12" s="926"/>
      <c r="L12" s="926"/>
      <c r="M12" s="926"/>
      <c r="N12" s="926"/>
      <c r="O12" s="927"/>
      <c r="P12" s="926"/>
      <c r="Q12" s="926"/>
      <c r="R12" s="926"/>
      <c r="S12" s="926"/>
      <c r="T12" s="925"/>
      <c r="U12" s="925"/>
      <c r="V12" s="925"/>
      <c r="W12" s="925"/>
      <c r="X12" s="925"/>
    </row>
    <row r="13" spans="1:24" ht="15" thickTop="1" thickBot="1">
      <c r="A13" s="925"/>
      <c r="B13" s="926" t="s">
        <v>1161</v>
      </c>
      <c r="C13" s="926" t="s">
        <v>1164</v>
      </c>
      <c r="D13" s="926" t="s">
        <v>1163</v>
      </c>
      <c r="E13" s="947"/>
      <c r="F13" s="926" t="s">
        <v>209</v>
      </c>
      <c r="G13" s="926" t="s">
        <v>1162</v>
      </c>
      <c r="H13" s="1038">
        <f>100-E13</f>
        <v>100</v>
      </c>
      <c r="I13" s="926" t="s">
        <v>209</v>
      </c>
      <c r="J13" s="926"/>
      <c r="K13" s="926"/>
      <c r="L13" s="926"/>
      <c r="M13" s="926"/>
      <c r="N13" s="926"/>
      <c r="O13" s="927"/>
      <c r="P13" s="926"/>
      <c r="Q13" s="926"/>
      <c r="R13" s="926"/>
      <c r="S13" s="926"/>
      <c r="T13" s="925"/>
      <c r="U13" s="925"/>
      <c r="V13" s="925"/>
      <c r="W13" s="925"/>
      <c r="X13" s="925"/>
    </row>
    <row r="14" spans="1:24" ht="15" thickTop="1" thickBot="1">
      <c r="A14" s="925"/>
      <c r="B14" s="926"/>
      <c r="C14" s="926" t="s">
        <v>1205</v>
      </c>
      <c r="D14" s="926" t="s">
        <v>1163</v>
      </c>
      <c r="E14" s="972">
        <f>$E$9*E13/100</f>
        <v>0</v>
      </c>
      <c r="F14" s="926" t="s">
        <v>118</v>
      </c>
      <c r="G14" s="926" t="s">
        <v>1162</v>
      </c>
      <c r="H14" s="1039">
        <f>$E$9*H13/100</f>
        <v>0</v>
      </c>
      <c r="I14" s="926" t="s">
        <v>118</v>
      </c>
      <c r="J14" s="926"/>
      <c r="K14" s="926"/>
      <c r="L14" s="926"/>
      <c r="M14" s="926"/>
      <c r="N14" s="926"/>
      <c r="O14" s="927"/>
      <c r="P14" s="926"/>
      <c r="Q14" s="926"/>
      <c r="R14" s="926"/>
      <c r="S14" s="926"/>
      <c r="T14" s="925"/>
      <c r="U14" s="925"/>
      <c r="V14" s="925"/>
      <c r="W14" s="925"/>
      <c r="X14" s="925"/>
    </row>
    <row r="15" spans="1:24" ht="15" thickTop="1" thickBot="1">
      <c r="A15" s="925"/>
      <c r="B15" s="926"/>
      <c r="C15" s="926" t="s">
        <v>1164</v>
      </c>
      <c r="D15" s="926" t="s">
        <v>1163</v>
      </c>
      <c r="E15" s="947"/>
      <c r="F15" s="926" t="s">
        <v>209</v>
      </c>
      <c r="G15" s="926" t="s">
        <v>1162</v>
      </c>
      <c r="H15" s="1038">
        <f>100-E15</f>
        <v>100</v>
      </c>
      <c r="I15" s="926" t="s">
        <v>209</v>
      </c>
      <c r="J15" s="926"/>
      <c r="K15" s="926"/>
      <c r="L15" s="926"/>
      <c r="M15" s="926"/>
      <c r="N15" s="926"/>
      <c r="O15" s="927"/>
      <c r="P15" s="926"/>
      <c r="Q15" s="926"/>
      <c r="R15" s="926"/>
      <c r="S15" s="926"/>
      <c r="T15" s="925"/>
      <c r="U15" s="925"/>
      <c r="V15" s="925"/>
      <c r="W15" s="925"/>
      <c r="X15" s="925"/>
    </row>
    <row r="16" spans="1:24" ht="14.25" thickTop="1">
      <c r="A16" s="925"/>
      <c r="B16" s="926"/>
      <c r="C16" s="926" t="s">
        <v>1204</v>
      </c>
      <c r="D16" s="926" t="s">
        <v>1163</v>
      </c>
      <c r="E16" s="972">
        <f>$E$10*E15/100</f>
        <v>0</v>
      </c>
      <c r="F16" s="926" t="s">
        <v>118</v>
      </c>
      <c r="G16" s="926" t="s">
        <v>1162</v>
      </c>
      <c r="H16" s="1039">
        <f>$E$10*H15/100</f>
        <v>0</v>
      </c>
      <c r="I16" s="926" t="s">
        <v>118</v>
      </c>
      <c r="J16" s="926"/>
      <c r="K16" s="926"/>
      <c r="L16" s="926"/>
      <c r="M16" s="926"/>
      <c r="N16" s="926"/>
      <c r="O16" s="927"/>
      <c r="P16" s="926"/>
      <c r="Q16" s="926"/>
      <c r="R16" s="926"/>
      <c r="S16" s="926"/>
      <c r="T16" s="925"/>
      <c r="U16" s="925"/>
      <c r="V16" s="925"/>
      <c r="W16" s="925"/>
      <c r="X16" s="925"/>
    </row>
    <row r="17" spans="1:24">
      <c r="A17" s="925"/>
      <c r="B17" s="926"/>
      <c r="C17" s="926"/>
      <c r="D17" s="926"/>
      <c r="E17" s="926"/>
      <c r="F17" s="926"/>
      <c r="G17" s="926"/>
      <c r="H17" s="926"/>
      <c r="I17" s="926"/>
      <c r="J17" s="926"/>
      <c r="K17" s="926"/>
      <c r="L17" s="926"/>
      <c r="M17" s="926"/>
      <c r="N17" s="926"/>
      <c r="O17" s="927"/>
      <c r="P17" s="926"/>
      <c r="Q17" s="926"/>
      <c r="R17" s="926"/>
      <c r="S17" s="926"/>
      <c r="T17" s="925"/>
      <c r="U17" s="925"/>
      <c r="V17" s="925"/>
      <c r="W17" s="925"/>
      <c r="X17" s="925"/>
    </row>
    <row r="18" spans="1:24">
      <c r="A18" s="925"/>
      <c r="B18" s="926" t="s">
        <v>1203</v>
      </c>
      <c r="C18" s="926" t="s">
        <v>1160</v>
      </c>
      <c r="D18" s="926"/>
      <c r="E18" s="926"/>
      <c r="F18" s="926"/>
      <c r="G18" s="926"/>
      <c r="H18" s="926"/>
      <c r="I18" s="926"/>
      <c r="J18" s="926"/>
      <c r="K18" s="926"/>
      <c r="L18" s="926"/>
      <c r="M18" s="926"/>
      <c r="N18" s="926"/>
      <c r="O18" s="927"/>
      <c r="P18" s="926"/>
      <c r="Q18" s="926"/>
      <c r="R18" s="926"/>
      <c r="S18" s="926"/>
      <c r="T18" s="925"/>
      <c r="U18" s="925"/>
      <c r="V18" s="925"/>
      <c r="W18" s="925"/>
      <c r="X18" s="925"/>
    </row>
    <row r="19" spans="1:24">
      <c r="A19" s="925"/>
      <c r="B19" s="926"/>
      <c r="C19" s="926" t="s">
        <v>1202</v>
      </c>
      <c r="D19" s="926"/>
      <c r="E19" s="926"/>
      <c r="F19" s="926"/>
      <c r="G19" s="926"/>
      <c r="H19" s="926"/>
      <c r="I19" s="926"/>
      <c r="J19" s="926"/>
      <c r="K19" s="926"/>
      <c r="L19" s="926"/>
      <c r="M19" s="926"/>
      <c r="N19" s="926"/>
      <c r="O19" s="927"/>
      <c r="P19" s="926"/>
      <c r="Q19" s="926"/>
      <c r="R19" s="926"/>
      <c r="S19" s="926"/>
      <c r="T19" s="925"/>
      <c r="U19" s="925"/>
      <c r="V19" s="925"/>
      <c r="W19" s="925"/>
      <c r="X19" s="925"/>
    </row>
    <row r="20" spans="1:24" ht="14.25" thickBot="1">
      <c r="A20" s="925"/>
      <c r="B20" s="926"/>
      <c r="C20" s="926"/>
      <c r="D20" s="926"/>
      <c r="E20" s="926" t="s">
        <v>1138</v>
      </c>
      <c r="F20" s="926"/>
      <c r="G20" s="926" t="s">
        <v>1158</v>
      </c>
      <c r="H20" s="926"/>
      <c r="I20" s="940" t="s">
        <v>1200</v>
      </c>
      <c r="J20" s="926"/>
      <c r="K20" s="926" t="s">
        <v>1157</v>
      </c>
      <c r="L20" s="926"/>
      <c r="M20" s="926"/>
      <c r="N20" s="926"/>
      <c r="O20" s="926"/>
      <c r="P20" s="926"/>
      <c r="Q20" s="927"/>
      <c r="R20" s="926"/>
      <c r="S20" s="926"/>
      <c r="T20" s="926"/>
      <c r="U20" s="926"/>
      <c r="V20" s="925"/>
      <c r="W20" s="925"/>
      <c r="X20" s="925"/>
    </row>
    <row r="21" spans="1:24" ht="15" thickTop="1" thickBot="1">
      <c r="A21" s="925"/>
      <c r="B21" s="926"/>
      <c r="C21" s="926" t="s">
        <v>1156</v>
      </c>
      <c r="D21" s="942"/>
      <c r="E21" s="984"/>
      <c r="F21" s="926" t="s">
        <v>1131</v>
      </c>
      <c r="G21" s="973">
        <v>4.7E-2</v>
      </c>
      <c r="H21" s="952" t="s">
        <v>1199</v>
      </c>
      <c r="I21" s="983"/>
      <c r="J21" s="932" t="s">
        <v>1198</v>
      </c>
      <c r="K21" s="1040">
        <f>E$14</f>
        <v>0</v>
      </c>
      <c r="L21" s="1041" t="s">
        <v>1149</v>
      </c>
      <c r="M21" s="1042">
        <f>E21*G21*I21*K21</f>
        <v>0</v>
      </c>
      <c r="N21" s="926" t="s">
        <v>1120</v>
      </c>
      <c r="O21" s="926"/>
      <c r="P21" s="926"/>
      <c r="Q21" s="927"/>
      <c r="R21" s="926"/>
      <c r="S21" s="942" t="s">
        <v>1134</v>
      </c>
      <c r="T21" s="976">
        <f t="shared" ref="T21:T26" si="0">M21*O$28</f>
        <v>0</v>
      </c>
      <c r="U21" s="926"/>
      <c r="V21" s="925"/>
      <c r="W21" s="925"/>
      <c r="X21" s="925"/>
    </row>
    <row r="22" spans="1:24" ht="15" thickTop="1" thickBot="1">
      <c r="A22" s="925"/>
      <c r="B22" s="926"/>
      <c r="C22" s="926" t="s">
        <v>1155</v>
      </c>
      <c r="D22" s="942"/>
      <c r="E22" s="984"/>
      <c r="F22" s="926" t="s">
        <v>1131</v>
      </c>
      <c r="G22" s="973">
        <v>0.32</v>
      </c>
      <c r="H22" s="952" t="s">
        <v>1199</v>
      </c>
      <c r="I22" s="983"/>
      <c r="J22" s="932" t="s">
        <v>1198</v>
      </c>
      <c r="K22" s="1040">
        <f>E$14</f>
        <v>0</v>
      </c>
      <c r="L22" s="1041" t="s">
        <v>1149</v>
      </c>
      <c r="M22" s="1042">
        <f>E22*G22*I22*K22</f>
        <v>0</v>
      </c>
      <c r="N22" s="926" t="s">
        <v>1120</v>
      </c>
      <c r="O22" s="926"/>
      <c r="P22" s="926"/>
      <c r="Q22" s="927"/>
      <c r="R22" s="926"/>
      <c r="S22" s="942" t="s">
        <v>1134</v>
      </c>
      <c r="T22" s="976">
        <f t="shared" si="0"/>
        <v>0</v>
      </c>
      <c r="U22" s="926"/>
      <c r="V22" s="925"/>
      <c r="W22" s="925"/>
      <c r="X22" s="925"/>
    </row>
    <row r="23" spans="1:24" ht="15" thickTop="1" thickBot="1">
      <c r="A23" s="925"/>
      <c r="B23" s="926"/>
      <c r="C23" s="926" t="s">
        <v>1154</v>
      </c>
      <c r="D23" s="945"/>
      <c r="E23" s="984"/>
      <c r="F23" s="926" t="s">
        <v>1131</v>
      </c>
      <c r="G23" s="973">
        <f>G21+G22</f>
        <v>0.36699999999999999</v>
      </c>
      <c r="H23" s="952" t="s">
        <v>1199</v>
      </c>
      <c r="I23" s="983"/>
      <c r="J23" s="932" t="s">
        <v>1198</v>
      </c>
      <c r="K23" s="1040">
        <f>E$14</f>
        <v>0</v>
      </c>
      <c r="L23" s="1041" t="s">
        <v>1149</v>
      </c>
      <c r="M23" s="1042">
        <f>E23*G23*I23*K23</f>
        <v>0</v>
      </c>
      <c r="N23" s="926" t="s">
        <v>1120</v>
      </c>
      <c r="O23" s="926"/>
      <c r="P23" s="926"/>
      <c r="Q23" s="927"/>
      <c r="R23" s="926"/>
      <c r="S23" s="945" t="s">
        <v>1107</v>
      </c>
      <c r="T23" s="974">
        <f t="shared" si="0"/>
        <v>0</v>
      </c>
      <c r="U23" s="926"/>
      <c r="V23" s="925"/>
      <c r="W23" s="925"/>
      <c r="X23" s="925"/>
    </row>
    <row r="24" spans="1:24" ht="15" thickTop="1" thickBot="1">
      <c r="A24" s="925"/>
      <c r="B24" s="926"/>
      <c r="C24" s="926" t="s">
        <v>1153</v>
      </c>
      <c r="D24" s="942"/>
      <c r="E24" s="984"/>
      <c r="F24" s="926" t="s">
        <v>1131</v>
      </c>
      <c r="G24" s="973">
        <v>0.32600000000000001</v>
      </c>
      <c r="H24" s="952" t="s">
        <v>1199</v>
      </c>
      <c r="I24" s="983"/>
      <c r="J24" s="932" t="s">
        <v>1198</v>
      </c>
      <c r="K24" s="1040">
        <f>H$14</f>
        <v>0</v>
      </c>
      <c r="L24" s="1041" t="s">
        <v>1149</v>
      </c>
      <c r="M24" s="1042">
        <f>E24*G24*I24*K24</f>
        <v>0</v>
      </c>
      <c r="N24" s="926" t="s">
        <v>1120</v>
      </c>
      <c r="O24" s="926"/>
      <c r="P24" s="926"/>
      <c r="Q24" s="927"/>
      <c r="R24" s="926"/>
      <c r="S24" s="942" t="s">
        <v>1134</v>
      </c>
      <c r="T24" s="976">
        <f t="shared" si="0"/>
        <v>0</v>
      </c>
      <c r="U24" s="926"/>
      <c r="V24" s="925"/>
      <c r="W24" s="925"/>
      <c r="X24" s="925"/>
    </row>
    <row r="25" spans="1:24" ht="15" thickTop="1" thickBot="1">
      <c r="A25" s="925"/>
      <c r="B25" s="926"/>
      <c r="C25" s="926" t="s">
        <v>1152</v>
      </c>
      <c r="D25" s="945"/>
      <c r="E25" s="984"/>
      <c r="F25" s="926" t="s">
        <v>1131</v>
      </c>
      <c r="G25" s="973">
        <f>G24</f>
        <v>0.32600000000000001</v>
      </c>
      <c r="H25" s="952" t="s">
        <v>1199</v>
      </c>
      <c r="I25" s="983"/>
      <c r="J25" s="932" t="s">
        <v>1198</v>
      </c>
      <c r="K25" s="1040">
        <f>H$14</f>
        <v>0</v>
      </c>
      <c r="L25" s="1041" t="s">
        <v>1149</v>
      </c>
      <c r="M25" s="1042">
        <f>E25*G25*I25*K25</f>
        <v>0</v>
      </c>
      <c r="N25" s="926" t="s">
        <v>1120</v>
      </c>
      <c r="O25" s="925"/>
      <c r="P25" s="926"/>
      <c r="Q25" s="927"/>
      <c r="R25" s="926"/>
      <c r="S25" s="945" t="s">
        <v>1107</v>
      </c>
      <c r="T25" s="974">
        <f t="shared" si="0"/>
        <v>0</v>
      </c>
      <c r="U25" s="926"/>
      <c r="V25" s="925"/>
      <c r="W25" s="925"/>
      <c r="X25" s="925"/>
    </row>
    <row r="26" spans="1:24" ht="15" thickTop="1" thickBot="1">
      <c r="A26" s="925"/>
      <c r="B26" s="926"/>
      <c r="C26" s="926" t="s">
        <v>1151</v>
      </c>
      <c r="D26" s="945"/>
      <c r="E26" s="984"/>
      <c r="F26" s="926" t="s">
        <v>1131</v>
      </c>
      <c r="G26" s="973">
        <v>3</v>
      </c>
      <c r="H26" s="926" t="s">
        <v>1150</v>
      </c>
      <c r="I26" s="946"/>
      <c r="J26" s="926"/>
      <c r="K26" s="1040">
        <f>$E9</f>
        <v>0</v>
      </c>
      <c r="L26" s="1041" t="s">
        <v>1149</v>
      </c>
      <c r="M26" s="1042">
        <f>E26*G26*K26</f>
        <v>0</v>
      </c>
      <c r="N26" s="926" t="s">
        <v>1148</v>
      </c>
      <c r="O26" s="926"/>
      <c r="P26" s="926"/>
      <c r="Q26" s="927"/>
      <c r="R26" s="926"/>
      <c r="S26" s="945" t="s">
        <v>1107</v>
      </c>
      <c r="T26" s="974">
        <f t="shared" si="0"/>
        <v>0</v>
      </c>
      <c r="U26" s="926"/>
      <c r="V26" s="925"/>
      <c r="W26" s="925"/>
      <c r="X26" s="925"/>
    </row>
    <row r="27" spans="1:24" ht="14.25" thickTop="1">
      <c r="A27" s="925"/>
      <c r="B27" s="926"/>
      <c r="C27" s="926"/>
      <c r="D27" s="945"/>
      <c r="E27" s="926"/>
      <c r="F27" s="926"/>
      <c r="G27" s="926"/>
      <c r="H27" s="926"/>
      <c r="I27" s="926"/>
      <c r="J27" s="926"/>
      <c r="K27" s="926"/>
      <c r="L27" s="926"/>
      <c r="M27" s="926"/>
      <c r="N27" s="926"/>
      <c r="O27" s="926" t="s">
        <v>1123</v>
      </c>
      <c r="P27" s="926"/>
      <c r="Q27" s="927"/>
      <c r="R27" s="926"/>
      <c r="S27" s="926"/>
      <c r="T27" s="926"/>
      <c r="U27" s="926"/>
      <c r="V27" s="925"/>
      <c r="W27" s="925"/>
      <c r="X27" s="925"/>
    </row>
    <row r="28" spans="1:24" ht="15" customHeight="1">
      <c r="A28" s="925"/>
      <c r="B28" s="926"/>
      <c r="C28" s="926"/>
      <c r="D28" s="926"/>
      <c r="E28" s="926" t="s">
        <v>1147</v>
      </c>
      <c r="F28" s="926"/>
      <c r="G28" s="926"/>
      <c r="H28" s="926"/>
      <c r="I28" s="926"/>
      <c r="J28" s="926"/>
      <c r="K28" s="926"/>
      <c r="L28" s="943" t="s">
        <v>1129</v>
      </c>
      <c r="M28" s="1042">
        <f>SUM(M21:M26)</f>
        <v>0</v>
      </c>
      <c r="N28" s="1041" t="s">
        <v>1128</v>
      </c>
      <c r="O28" s="1039">
        <f>$E$12</f>
        <v>0</v>
      </c>
      <c r="P28" s="1041" t="s">
        <v>1119</v>
      </c>
      <c r="Q28" s="1043">
        <f>M28*O28</f>
        <v>0</v>
      </c>
      <c r="R28" s="926" t="s">
        <v>1104</v>
      </c>
      <c r="S28" s="926" t="s">
        <v>1127</v>
      </c>
      <c r="T28" s="968">
        <f>SUM(T21:T27)</f>
        <v>0</v>
      </c>
      <c r="U28" s="926" t="s">
        <v>840</v>
      </c>
      <c r="V28" s="953" t="e">
        <f>T28/E9/E12</f>
        <v>#DIV/0!</v>
      </c>
      <c r="W28" s="925" t="s">
        <v>1116</v>
      </c>
      <c r="X28" s="925"/>
    </row>
    <row r="29" spans="1:24">
      <c r="A29" s="925"/>
      <c r="B29" s="926"/>
      <c r="C29" s="926"/>
      <c r="D29" s="926"/>
      <c r="E29" s="926"/>
      <c r="F29" s="926"/>
      <c r="G29" s="926"/>
      <c r="H29" s="926"/>
      <c r="I29" s="926"/>
      <c r="J29" s="926"/>
      <c r="K29" s="926"/>
      <c r="L29" s="943" t="s">
        <v>1103</v>
      </c>
      <c r="M29" s="979" t="e">
        <f>M28/$E$9</f>
        <v>#DIV/0!</v>
      </c>
      <c r="N29" s="926" t="s">
        <v>1146</v>
      </c>
      <c r="O29" s="926"/>
      <c r="P29" s="943" t="s">
        <v>1103</v>
      </c>
      <c r="Q29" s="927" t="e">
        <f>Q28/$E$11</f>
        <v>#DIV/0!</v>
      </c>
      <c r="R29" s="926" t="s">
        <v>1102</v>
      </c>
      <c r="S29" s="926"/>
      <c r="T29" s="926"/>
      <c r="U29" s="926"/>
      <c r="V29" s="925"/>
      <c r="W29" s="925"/>
      <c r="X29" s="925"/>
    </row>
    <row r="30" spans="1:24">
      <c r="A30" s="925"/>
      <c r="B30" s="926"/>
      <c r="C30" s="926"/>
      <c r="D30" s="926"/>
      <c r="E30" s="926"/>
      <c r="F30" s="926"/>
      <c r="G30" s="926"/>
      <c r="H30" s="926"/>
      <c r="I30" s="926"/>
      <c r="J30" s="926"/>
      <c r="K30" s="926"/>
      <c r="L30" s="943"/>
      <c r="M30" s="979"/>
      <c r="N30" s="926"/>
      <c r="O30" s="926"/>
      <c r="P30" s="943"/>
      <c r="Q30" s="927"/>
      <c r="R30" s="926"/>
      <c r="S30" s="926"/>
      <c r="T30" s="926"/>
      <c r="U30" s="926"/>
      <c r="V30" s="925"/>
      <c r="W30" s="925"/>
      <c r="X30" s="925"/>
    </row>
    <row r="31" spans="1:24">
      <c r="A31" s="925"/>
      <c r="B31" s="926"/>
      <c r="C31" s="926" t="s">
        <v>1201</v>
      </c>
      <c r="D31" s="926"/>
      <c r="E31" s="926"/>
      <c r="F31" s="926"/>
      <c r="G31" s="926"/>
      <c r="H31" s="926"/>
      <c r="I31" s="926"/>
      <c r="J31" s="926"/>
      <c r="K31" s="926"/>
      <c r="L31" s="926"/>
      <c r="M31" s="926"/>
      <c r="N31" s="926"/>
      <c r="O31" s="926"/>
      <c r="P31" s="926"/>
      <c r="Q31" s="927"/>
      <c r="R31" s="926"/>
      <c r="S31" s="926"/>
      <c r="T31" s="926"/>
      <c r="U31" s="926"/>
      <c r="V31" s="925"/>
      <c r="W31" s="925"/>
      <c r="X31" s="925"/>
    </row>
    <row r="32" spans="1:24" ht="14.25" thickBot="1">
      <c r="A32" s="925"/>
      <c r="B32" s="926"/>
      <c r="C32" s="926"/>
      <c r="D32" s="926"/>
      <c r="E32" s="926" t="s">
        <v>1138</v>
      </c>
      <c r="F32" s="926"/>
      <c r="G32" s="926" t="s">
        <v>1158</v>
      </c>
      <c r="H32" s="926"/>
      <c r="I32" s="940" t="s">
        <v>1200</v>
      </c>
      <c r="J32" s="926"/>
      <c r="K32" s="926" t="s">
        <v>1157</v>
      </c>
      <c r="L32" s="926"/>
      <c r="M32" s="926"/>
      <c r="N32" s="926"/>
      <c r="O32" s="926"/>
      <c r="P32" s="926"/>
      <c r="Q32" s="927"/>
      <c r="R32" s="926"/>
      <c r="S32" s="926"/>
      <c r="T32" s="926"/>
      <c r="U32" s="926"/>
      <c r="V32" s="925"/>
      <c r="W32" s="925"/>
      <c r="X32" s="925"/>
    </row>
    <row r="33" spans="1:24" ht="15" thickTop="1" thickBot="1">
      <c r="A33" s="925"/>
      <c r="B33" s="926"/>
      <c r="C33" s="926" t="s">
        <v>1156</v>
      </c>
      <c r="D33" s="942"/>
      <c r="E33" s="984"/>
      <c r="F33" s="926" t="s">
        <v>1131</v>
      </c>
      <c r="G33" s="973">
        <v>4.7E-2</v>
      </c>
      <c r="H33" s="952" t="s">
        <v>1199</v>
      </c>
      <c r="I33" s="983"/>
      <c r="J33" s="932" t="s">
        <v>1198</v>
      </c>
      <c r="K33" s="1040">
        <f>E$16</f>
        <v>0</v>
      </c>
      <c r="L33" s="1041" t="s">
        <v>1149</v>
      </c>
      <c r="M33" s="1042">
        <f>E33*G33*I33*K33</f>
        <v>0</v>
      </c>
      <c r="N33" s="926" t="s">
        <v>1120</v>
      </c>
      <c r="O33" s="926"/>
      <c r="P33" s="926"/>
      <c r="Q33" s="927"/>
      <c r="R33" s="926"/>
      <c r="S33" s="942" t="s">
        <v>1134</v>
      </c>
      <c r="T33" s="976">
        <f>M33*O$28</f>
        <v>0</v>
      </c>
      <c r="U33" s="926"/>
      <c r="V33" s="925"/>
      <c r="W33" s="925"/>
      <c r="X33" s="925"/>
    </row>
    <row r="34" spans="1:24" ht="15" thickTop="1" thickBot="1">
      <c r="A34" s="925"/>
      <c r="B34" s="926"/>
      <c r="C34" s="926" t="s">
        <v>1155</v>
      </c>
      <c r="D34" s="942"/>
      <c r="E34" s="984"/>
      <c r="F34" s="926" t="s">
        <v>1131</v>
      </c>
      <c r="G34" s="973">
        <v>0.32</v>
      </c>
      <c r="H34" s="952" t="s">
        <v>1199</v>
      </c>
      <c r="I34" s="983"/>
      <c r="J34" s="932" t="s">
        <v>1198</v>
      </c>
      <c r="K34" s="1040">
        <f>E$16</f>
        <v>0</v>
      </c>
      <c r="L34" s="1041" t="s">
        <v>1149</v>
      </c>
      <c r="M34" s="1042">
        <f>E34*G34*I34*K34</f>
        <v>0</v>
      </c>
      <c r="N34" s="926" t="s">
        <v>1120</v>
      </c>
      <c r="O34" s="926"/>
      <c r="P34" s="926"/>
      <c r="Q34" s="927"/>
      <c r="R34" s="926"/>
      <c r="S34" s="942" t="s">
        <v>1134</v>
      </c>
      <c r="T34" s="976">
        <f>M34*O$28</f>
        <v>0</v>
      </c>
      <c r="U34" s="926"/>
      <c r="V34" s="925"/>
      <c r="W34" s="925"/>
      <c r="X34" s="925"/>
    </row>
    <row r="35" spans="1:24" ht="15" thickTop="1" thickBot="1">
      <c r="A35" s="925"/>
      <c r="B35" s="926"/>
      <c r="C35" s="926" t="s">
        <v>1154</v>
      </c>
      <c r="D35" s="945"/>
      <c r="E35" s="984"/>
      <c r="F35" s="926" t="s">
        <v>1131</v>
      </c>
      <c r="G35" s="973">
        <f>G33+G34</f>
        <v>0.36699999999999999</v>
      </c>
      <c r="H35" s="952" t="s">
        <v>1199</v>
      </c>
      <c r="I35" s="983"/>
      <c r="J35" s="932" t="s">
        <v>1198</v>
      </c>
      <c r="K35" s="1040">
        <f>E$16</f>
        <v>0</v>
      </c>
      <c r="L35" s="1041" t="s">
        <v>1149</v>
      </c>
      <c r="M35" s="1042">
        <f>E35*G35*I35*K35</f>
        <v>0</v>
      </c>
      <c r="N35" s="926" t="s">
        <v>1120</v>
      </c>
      <c r="O35" s="926"/>
      <c r="P35" s="926"/>
      <c r="Q35" s="927"/>
      <c r="R35" s="926"/>
      <c r="S35" s="945" t="s">
        <v>1107</v>
      </c>
      <c r="T35" s="974">
        <f>M35*O$28</f>
        <v>0</v>
      </c>
      <c r="U35" s="926"/>
      <c r="V35" s="925"/>
      <c r="W35" s="925"/>
      <c r="X35" s="925"/>
    </row>
    <row r="36" spans="1:24" ht="15" thickTop="1" thickBot="1">
      <c r="A36" s="925"/>
      <c r="B36" s="926"/>
      <c r="C36" s="926" t="s">
        <v>1153</v>
      </c>
      <c r="D36" s="942"/>
      <c r="E36" s="984"/>
      <c r="F36" s="926" t="s">
        <v>1131</v>
      </c>
      <c r="G36" s="973">
        <v>0.32600000000000001</v>
      </c>
      <c r="H36" s="952" t="s">
        <v>1199</v>
      </c>
      <c r="I36" s="983"/>
      <c r="J36" s="932" t="s">
        <v>1198</v>
      </c>
      <c r="K36" s="1040">
        <f>H$16</f>
        <v>0</v>
      </c>
      <c r="L36" s="1041" t="s">
        <v>1149</v>
      </c>
      <c r="M36" s="1042">
        <f>E36*G36*I36*K36</f>
        <v>0</v>
      </c>
      <c r="N36" s="926" t="s">
        <v>1120</v>
      </c>
      <c r="O36" s="926"/>
      <c r="P36" s="926"/>
      <c r="Q36" s="927"/>
      <c r="R36" s="926"/>
      <c r="S36" s="942" t="s">
        <v>1134</v>
      </c>
      <c r="T36" s="976">
        <f>M36*O$28</f>
        <v>0</v>
      </c>
      <c r="U36" s="926"/>
      <c r="V36" s="925"/>
      <c r="W36" s="925"/>
      <c r="X36" s="925"/>
    </row>
    <row r="37" spans="1:24" ht="15" thickTop="1" thickBot="1">
      <c r="A37" s="925"/>
      <c r="B37" s="926"/>
      <c r="C37" s="926" t="s">
        <v>1152</v>
      </c>
      <c r="D37" s="945"/>
      <c r="E37" s="984"/>
      <c r="F37" s="926" t="s">
        <v>1131</v>
      </c>
      <c r="G37" s="973">
        <f>G36</f>
        <v>0.32600000000000001</v>
      </c>
      <c r="H37" s="952" t="s">
        <v>1199</v>
      </c>
      <c r="I37" s="983"/>
      <c r="J37" s="932" t="s">
        <v>1198</v>
      </c>
      <c r="K37" s="1040">
        <f>H$16</f>
        <v>0</v>
      </c>
      <c r="L37" s="1041" t="s">
        <v>1149</v>
      </c>
      <c r="M37" s="1042">
        <f>E37*G37*I37*K37</f>
        <v>0</v>
      </c>
      <c r="N37" s="926" t="s">
        <v>1120</v>
      </c>
      <c r="O37" s="925"/>
      <c r="P37" s="926"/>
      <c r="Q37" s="927"/>
      <c r="R37" s="926"/>
      <c r="S37" s="945" t="s">
        <v>1107</v>
      </c>
      <c r="T37" s="974">
        <f>M37*O$28</f>
        <v>0</v>
      </c>
      <c r="U37" s="926"/>
      <c r="V37" s="925"/>
      <c r="W37" s="925"/>
      <c r="X37" s="925"/>
    </row>
    <row r="38" spans="1:24" ht="14.25" thickTop="1">
      <c r="A38" s="925"/>
      <c r="B38" s="926"/>
      <c r="C38" s="926"/>
      <c r="D38" s="945"/>
      <c r="E38" s="926"/>
      <c r="F38" s="926"/>
      <c r="G38" s="926"/>
      <c r="H38" s="926"/>
      <c r="I38" s="946"/>
      <c r="J38" s="926"/>
      <c r="K38" s="1041"/>
      <c r="L38" s="1041"/>
      <c r="M38" s="1044"/>
      <c r="N38" s="926"/>
      <c r="O38" s="926" t="s">
        <v>1123</v>
      </c>
      <c r="P38" s="926"/>
      <c r="Q38" s="926"/>
      <c r="R38" s="926"/>
      <c r="S38" s="926"/>
      <c r="T38" s="925"/>
      <c r="U38" s="925"/>
      <c r="V38" s="925"/>
      <c r="W38" s="925"/>
      <c r="X38" s="925"/>
    </row>
    <row r="39" spans="1:24" ht="15" customHeight="1">
      <c r="A39" s="925"/>
      <c r="B39" s="926"/>
      <c r="C39" s="926"/>
      <c r="D39" s="926"/>
      <c r="E39" s="926" t="s">
        <v>1147</v>
      </c>
      <c r="F39" s="926"/>
      <c r="G39" s="926"/>
      <c r="H39" s="926"/>
      <c r="I39" s="926"/>
      <c r="J39" s="926"/>
      <c r="K39" s="1041"/>
      <c r="L39" s="1045" t="s">
        <v>1129</v>
      </c>
      <c r="M39" s="1042">
        <f>SUM(M33:M37)</f>
        <v>0</v>
      </c>
      <c r="N39" s="926" t="s">
        <v>1128</v>
      </c>
      <c r="O39" s="926">
        <f>$E$12</f>
        <v>0</v>
      </c>
      <c r="P39" s="926" t="s">
        <v>1119</v>
      </c>
      <c r="Q39" s="1043">
        <f>M39*O39</f>
        <v>0</v>
      </c>
      <c r="R39" s="926" t="s">
        <v>1104</v>
      </c>
      <c r="S39" s="926" t="s">
        <v>1127</v>
      </c>
      <c r="T39" s="968">
        <f>SUM(T33:T38)</f>
        <v>0</v>
      </c>
      <c r="U39" s="926" t="s">
        <v>842</v>
      </c>
      <c r="V39" s="953" t="e">
        <f>T39/E10/E12</f>
        <v>#DIV/0!</v>
      </c>
      <c r="W39" s="925" t="s">
        <v>1116</v>
      </c>
      <c r="X39" s="925"/>
    </row>
    <row r="40" spans="1:24">
      <c r="A40" s="925"/>
      <c r="B40" s="926"/>
      <c r="C40" s="926"/>
      <c r="D40" s="926"/>
      <c r="E40" s="926"/>
      <c r="F40" s="926"/>
      <c r="G40" s="926"/>
      <c r="H40" s="926"/>
      <c r="I40" s="926"/>
      <c r="J40" s="926"/>
      <c r="K40" s="926"/>
      <c r="L40" s="943" t="s">
        <v>1103</v>
      </c>
      <c r="M40" s="981" t="e">
        <f>M39/$E$9</f>
        <v>#DIV/0!</v>
      </c>
      <c r="N40" s="926" t="s">
        <v>1146</v>
      </c>
      <c r="O40" s="926"/>
      <c r="P40" s="943" t="s">
        <v>1103</v>
      </c>
      <c r="Q40" s="980" t="e">
        <f>Q39/$E$11</f>
        <v>#DIV/0!</v>
      </c>
      <c r="R40" s="926" t="s">
        <v>1102</v>
      </c>
      <c r="S40" s="926"/>
      <c r="T40" s="926"/>
      <c r="U40" s="926"/>
      <c r="V40" s="925"/>
      <c r="W40" s="925"/>
      <c r="X40" s="925"/>
    </row>
    <row r="41" spans="1:24">
      <c r="A41" s="925"/>
      <c r="B41" s="926"/>
      <c r="C41" s="926"/>
      <c r="D41" s="926"/>
      <c r="E41" s="926"/>
      <c r="F41" s="926"/>
      <c r="G41" s="926"/>
      <c r="H41" s="926"/>
      <c r="I41" s="926"/>
      <c r="J41" s="943"/>
      <c r="K41" s="979"/>
      <c r="L41" s="926"/>
      <c r="M41" s="926"/>
      <c r="N41" s="943"/>
      <c r="O41" s="927"/>
      <c r="P41" s="926"/>
      <c r="Q41" s="926"/>
      <c r="R41" s="926"/>
      <c r="S41" s="926"/>
      <c r="T41" s="925"/>
      <c r="U41" s="925"/>
      <c r="V41" s="925"/>
      <c r="W41" s="925"/>
      <c r="X41" s="925"/>
    </row>
    <row r="42" spans="1:24">
      <c r="A42" s="925"/>
      <c r="B42" s="926"/>
      <c r="C42" s="926"/>
      <c r="D42" s="926"/>
      <c r="E42" s="926"/>
      <c r="F42" s="926"/>
      <c r="G42" s="926"/>
      <c r="H42" s="926"/>
      <c r="I42" s="926"/>
      <c r="J42" s="943"/>
      <c r="K42" s="926"/>
      <c r="L42" s="926"/>
      <c r="M42" s="926"/>
      <c r="N42" s="943"/>
      <c r="O42" s="927"/>
      <c r="P42" s="926"/>
      <c r="Q42" s="926"/>
      <c r="R42" s="926"/>
      <c r="S42" s="926"/>
      <c r="T42" s="925"/>
      <c r="U42" s="925"/>
      <c r="V42" s="925"/>
      <c r="W42" s="925"/>
      <c r="X42" s="925"/>
    </row>
    <row r="43" spans="1:24">
      <c r="A43" s="925"/>
      <c r="B43" s="926"/>
      <c r="C43" s="926" t="s">
        <v>1197</v>
      </c>
      <c r="D43" s="926"/>
      <c r="E43" s="926" t="s">
        <v>1144</v>
      </c>
      <c r="F43" s="926"/>
      <c r="G43" s="926" t="s">
        <v>1143</v>
      </c>
      <c r="H43" s="926"/>
      <c r="I43" s="926" t="s">
        <v>1139</v>
      </c>
      <c r="J43" s="943"/>
      <c r="K43" s="926"/>
      <c r="L43" s="926"/>
      <c r="M43" s="926"/>
      <c r="N43" s="943"/>
      <c r="O43" s="927"/>
      <c r="P43" s="926"/>
      <c r="Q43" s="926"/>
      <c r="R43" s="926"/>
      <c r="S43" s="926"/>
      <c r="T43" s="925"/>
      <c r="U43" s="925"/>
      <c r="V43" s="925"/>
      <c r="W43" s="925"/>
      <c r="X43" s="925"/>
    </row>
    <row r="44" spans="1:24">
      <c r="A44" s="925"/>
      <c r="B44" s="926"/>
      <c r="C44" s="926" t="s">
        <v>1136</v>
      </c>
      <c r="D44" s="926"/>
      <c r="E44" s="926">
        <f>E11</f>
        <v>0</v>
      </c>
      <c r="F44" s="926" t="s">
        <v>1142</v>
      </c>
      <c r="G44" s="973">
        <v>2.3E-3</v>
      </c>
      <c r="H44" s="926" t="s">
        <v>1141</v>
      </c>
      <c r="I44" s="1039">
        <f>E44*G44</f>
        <v>0</v>
      </c>
      <c r="J44" s="978" t="s">
        <v>1140</v>
      </c>
      <c r="K44" s="926"/>
      <c r="L44" s="926"/>
      <c r="M44" s="926"/>
      <c r="N44" s="943"/>
      <c r="O44" s="927"/>
      <c r="P44" s="926"/>
      <c r="Q44" s="926"/>
      <c r="R44" s="926"/>
      <c r="S44" s="926"/>
      <c r="T44" s="925"/>
      <c r="U44" s="925"/>
      <c r="V44" s="925"/>
      <c r="W44" s="925"/>
      <c r="X44" s="925"/>
    </row>
    <row r="45" spans="1:24">
      <c r="A45" s="925"/>
      <c r="B45" s="926"/>
      <c r="C45" s="926" t="s">
        <v>1135</v>
      </c>
      <c r="D45" s="926"/>
      <c r="E45" s="926">
        <f>E11</f>
        <v>0</v>
      </c>
      <c r="F45" s="926" t="s">
        <v>1142</v>
      </c>
      <c r="G45" s="973">
        <v>1.1000000000000001E-3</v>
      </c>
      <c r="H45" s="926" t="s">
        <v>1141</v>
      </c>
      <c r="I45" s="1039">
        <f>E45*G45</f>
        <v>0</v>
      </c>
      <c r="J45" s="978" t="s">
        <v>1140</v>
      </c>
      <c r="K45" s="926"/>
      <c r="L45" s="926"/>
      <c r="M45" s="926"/>
      <c r="N45" s="943"/>
      <c r="O45" s="927"/>
      <c r="P45" s="926"/>
      <c r="Q45" s="926"/>
      <c r="R45" s="926"/>
      <c r="S45" s="926"/>
      <c r="T45" s="925"/>
      <c r="U45" s="925"/>
      <c r="V45" s="925"/>
      <c r="W45" s="925"/>
      <c r="X45" s="925"/>
    </row>
    <row r="46" spans="1:24">
      <c r="A46" s="925"/>
      <c r="B46" s="926"/>
      <c r="C46" s="926" t="s">
        <v>1133</v>
      </c>
      <c r="D46" s="926"/>
      <c r="E46" s="926">
        <f>E11</f>
        <v>0</v>
      </c>
      <c r="F46" s="926" t="s">
        <v>1142</v>
      </c>
      <c r="G46" s="973">
        <v>2.3999999999999998E-3</v>
      </c>
      <c r="H46" s="926" t="s">
        <v>1141</v>
      </c>
      <c r="I46" s="1039">
        <f>E46*G46</f>
        <v>0</v>
      </c>
      <c r="J46" s="978" t="s">
        <v>1140</v>
      </c>
      <c r="K46" s="926"/>
      <c r="L46" s="926"/>
      <c r="M46" s="926"/>
      <c r="N46" s="943"/>
      <c r="O46" s="927"/>
      <c r="P46" s="926"/>
      <c r="Q46" s="926"/>
      <c r="R46" s="926"/>
      <c r="S46" s="926"/>
      <c r="T46" s="925"/>
      <c r="U46" s="925"/>
      <c r="V46" s="925"/>
      <c r="W46" s="925"/>
      <c r="X46" s="925"/>
    </row>
    <row r="47" spans="1:24">
      <c r="A47" s="925"/>
      <c r="B47" s="926"/>
      <c r="C47" s="926"/>
      <c r="D47" s="926"/>
      <c r="E47" s="926"/>
      <c r="F47" s="926"/>
      <c r="G47" s="926"/>
      <c r="H47" s="926"/>
      <c r="I47" s="926"/>
      <c r="J47" s="943"/>
      <c r="K47" s="926"/>
      <c r="L47" s="926"/>
      <c r="M47" s="926"/>
      <c r="N47" s="943"/>
      <c r="O47" s="927"/>
      <c r="P47" s="926"/>
      <c r="Q47" s="926"/>
      <c r="R47" s="926"/>
      <c r="S47" s="926"/>
      <c r="T47" s="925"/>
      <c r="U47" s="925"/>
      <c r="V47" s="925"/>
      <c r="W47" s="925"/>
      <c r="X47" s="925"/>
    </row>
    <row r="48" spans="1:24">
      <c r="A48" s="925"/>
      <c r="B48" s="926"/>
      <c r="C48" s="926"/>
      <c r="D48" s="926"/>
      <c r="E48" s="926" t="s">
        <v>1139</v>
      </c>
      <c r="F48" s="926"/>
      <c r="G48" s="926" t="s">
        <v>1138</v>
      </c>
      <c r="H48" s="926"/>
      <c r="I48" s="926" t="s">
        <v>1137</v>
      </c>
      <c r="J48" s="926"/>
      <c r="K48" s="926"/>
      <c r="L48" s="926"/>
      <c r="M48" s="926"/>
      <c r="N48" s="943"/>
      <c r="O48" s="927"/>
      <c r="P48" s="926"/>
      <c r="Q48" s="940"/>
      <c r="R48" s="940"/>
      <c r="S48" s="926"/>
      <c r="T48" s="925"/>
      <c r="U48" s="925"/>
      <c r="V48" s="925"/>
      <c r="W48" s="925"/>
      <c r="X48" s="925"/>
    </row>
    <row r="49" spans="1:24">
      <c r="A49" s="925"/>
      <c r="B49" s="926"/>
      <c r="C49" s="926" t="s">
        <v>1136</v>
      </c>
      <c r="D49" s="942"/>
      <c r="E49" s="926">
        <f>I44</f>
        <v>0</v>
      </c>
      <c r="F49" s="926" t="s">
        <v>1132</v>
      </c>
      <c r="G49" s="975">
        <f>E21</f>
        <v>0</v>
      </c>
      <c r="H49" s="926" t="s">
        <v>1131</v>
      </c>
      <c r="I49" s="973">
        <v>6</v>
      </c>
      <c r="J49" s="926" t="s">
        <v>1130</v>
      </c>
      <c r="K49" s="926">
        <f>E49*G49*I49</f>
        <v>0</v>
      </c>
      <c r="L49" s="926" t="s">
        <v>1120</v>
      </c>
      <c r="M49" s="926"/>
      <c r="N49" s="943"/>
      <c r="O49" s="927"/>
      <c r="P49" s="952"/>
      <c r="Q49" s="965"/>
      <c r="R49" s="965"/>
      <c r="S49" s="977" t="s">
        <v>1134</v>
      </c>
      <c r="T49" s="976">
        <f>K49*M$52</f>
        <v>0</v>
      </c>
      <c r="U49" s="926"/>
      <c r="V49" s="925"/>
      <c r="W49" s="925"/>
      <c r="X49" s="925"/>
    </row>
    <row r="50" spans="1:24">
      <c r="A50" s="925"/>
      <c r="B50" s="926"/>
      <c r="C50" s="926" t="s">
        <v>1135</v>
      </c>
      <c r="D50" s="942"/>
      <c r="E50" s="926">
        <f>I45</f>
        <v>0</v>
      </c>
      <c r="F50" s="926" t="s">
        <v>1132</v>
      </c>
      <c r="G50" s="975">
        <f>E22</f>
        <v>0</v>
      </c>
      <c r="H50" s="926" t="s">
        <v>1131</v>
      </c>
      <c r="I50" s="973">
        <v>6</v>
      </c>
      <c r="J50" s="926" t="s">
        <v>1130</v>
      </c>
      <c r="K50" s="926">
        <f>E50*G50*I50</f>
        <v>0</v>
      </c>
      <c r="L50" s="926" t="s">
        <v>1120</v>
      </c>
      <c r="M50" s="926"/>
      <c r="N50" s="943"/>
      <c r="O50" s="927"/>
      <c r="P50" s="952"/>
      <c r="Q50" s="965"/>
      <c r="R50" s="965"/>
      <c r="S50" s="977" t="s">
        <v>1134</v>
      </c>
      <c r="T50" s="976">
        <f>K50*M$52</f>
        <v>0</v>
      </c>
      <c r="U50" s="926"/>
      <c r="V50" s="925"/>
      <c r="W50" s="925"/>
      <c r="X50" s="925"/>
    </row>
    <row r="51" spans="1:24">
      <c r="A51" s="925"/>
      <c r="B51" s="926"/>
      <c r="C51" s="926" t="s">
        <v>1133</v>
      </c>
      <c r="D51" s="945"/>
      <c r="E51" s="926">
        <f>I46</f>
        <v>0</v>
      </c>
      <c r="F51" s="926" t="s">
        <v>1132</v>
      </c>
      <c r="G51" s="975">
        <f>E23</f>
        <v>0</v>
      </c>
      <c r="H51" s="926" t="s">
        <v>1131</v>
      </c>
      <c r="I51" s="973">
        <v>6</v>
      </c>
      <c r="J51" s="926" t="s">
        <v>1130</v>
      </c>
      <c r="K51" s="926">
        <f>E51*G51*I51</f>
        <v>0</v>
      </c>
      <c r="L51" s="926" t="s">
        <v>1120</v>
      </c>
      <c r="M51" s="926" t="s">
        <v>1123</v>
      </c>
      <c r="N51" s="926"/>
      <c r="O51" s="927"/>
      <c r="P51" s="952"/>
      <c r="Q51" s="965"/>
      <c r="R51" s="965"/>
      <c r="S51" s="971" t="s">
        <v>1107</v>
      </c>
      <c r="T51" s="974">
        <f>K51*M$52</f>
        <v>0</v>
      </c>
      <c r="U51" s="926"/>
      <c r="V51" s="925" t="s">
        <v>1196</v>
      </c>
      <c r="W51" s="925"/>
      <c r="X51" s="925"/>
    </row>
    <row r="52" spans="1:24">
      <c r="A52" s="925"/>
      <c r="B52" s="926"/>
      <c r="C52" s="926"/>
      <c r="D52" s="926"/>
      <c r="E52" s="926"/>
      <c r="F52" s="926"/>
      <c r="G52" s="926"/>
      <c r="H52" s="926"/>
      <c r="I52" s="926"/>
      <c r="J52" s="943" t="s">
        <v>1129</v>
      </c>
      <c r="K52" s="1042">
        <f>SUM(K49:K51)</f>
        <v>0</v>
      </c>
      <c r="L52" s="926" t="s">
        <v>1128</v>
      </c>
      <c r="M52" s="926">
        <f>$E$12</f>
        <v>0</v>
      </c>
      <c r="N52" s="926" t="s">
        <v>1119</v>
      </c>
      <c r="O52" s="1043">
        <f>K52*M52</f>
        <v>0</v>
      </c>
      <c r="P52" s="952" t="s">
        <v>1104</v>
      </c>
      <c r="Q52" s="965"/>
      <c r="R52" s="965"/>
      <c r="S52" s="932" t="s">
        <v>1127</v>
      </c>
      <c r="T52" s="968">
        <f>SUM(T49:T51)</f>
        <v>0</v>
      </c>
      <c r="U52" s="926" t="s">
        <v>844</v>
      </c>
      <c r="V52" s="953" t="e">
        <f>(T28+T39+T52)/(E9+E10)/E12</f>
        <v>#DIV/0!</v>
      </c>
      <c r="W52" s="925" t="s">
        <v>1116</v>
      </c>
      <c r="X52" s="925"/>
    </row>
    <row r="53" spans="1:24">
      <c r="A53" s="925"/>
      <c r="B53" s="926"/>
      <c r="C53" s="926"/>
      <c r="D53" s="926"/>
      <c r="E53" s="926"/>
      <c r="F53" s="926"/>
      <c r="G53" s="926"/>
      <c r="H53" s="926"/>
      <c r="I53" s="926"/>
      <c r="J53" s="943"/>
      <c r="K53" s="926"/>
      <c r="L53" s="926"/>
      <c r="M53" s="926"/>
      <c r="N53" s="943"/>
      <c r="O53" s="927"/>
      <c r="P53" s="952"/>
      <c r="Q53" s="965"/>
      <c r="R53" s="965"/>
      <c r="S53" s="932"/>
      <c r="T53" s="926"/>
      <c r="U53" s="926"/>
      <c r="V53" s="925"/>
      <c r="W53" s="925"/>
      <c r="X53" s="925"/>
    </row>
    <row r="54" spans="1:24" ht="14.25" thickBot="1">
      <c r="A54" s="925"/>
      <c r="B54" s="926"/>
      <c r="C54" s="926" t="s">
        <v>1195</v>
      </c>
      <c r="D54" s="926"/>
      <c r="E54" s="926"/>
      <c r="F54" s="926"/>
      <c r="G54" s="926" t="s">
        <v>1194</v>
      </c>
      <c r="H54" s="926"/>
      <c r="I54" s="926" t="s">
        <v>1193</v>
      </c>
      <c r="J54" s="926"/>
      <c r="K54" s="926"/>
      <c r="L54" s="926"/>
      <c r="M54" s="926" t="s">
        <v>1123</v>
      </c>
      <c r="N54" s="926"/>
      <c r="O54" s="927"/>
      <c r="P54" s="952"/>
      <c r="Q54" s="965"/>
      <c r="R54" s="965"/>
      <c r="S54" s="932"/>
      <c r="T54" s="926"/>
      <c r="U54" s="926"/>
      <c r="V54" s="925"/>
      <c r="W54" s="925"/>
      <c r="X54" s="925"/>
    </row>
    <row r="55" spans="1:24" ht="15" thickTop="1" thickBot="1">
      <c r="A55" s="925"/>
      <c r="B55" s="926"/>
      <c r="C55" s="926"/>
      <c r="D55" s="945"/>
      <c r="E55" s="926" t="s">
        <v>1192</v>
      </c>
      <c r="F55" s="926"/>
      <c r="G55" s="973">
        <v>15</v>
      </c>
      <c r="H55" s="926" t="s">
        <v>1188</v>
      </c>
      <c r="I55" s="947"/>
      <c r="J55" s="926" t="s">
        <v>1149</v>
      </c>
      <c r="K55" s="972">
        <f>G55*I55</f>
        <v>0</v>
      </c>
      <c r="L55" s="926" t="s">
        <v>1120</v>
      </c>
      <c r="M55" s="926">
        <f>$E$12</f>
        <v>0</v>
      </c>
      <c r="N55" s="926" t="s">
        <v>1119</v>
      </c>
      <c r="O55" s="1043">
        <f>K55*M55</f>
        <v>0</v>
      </c>
      <c r="P55" s="952" t="s">
        <v>1104</v>
      </c>
      <c r="Q55" s="965"/>
      <c r="R55" s="965"/>
      <c r="S55" s="971" t="s">
        <v>1107</v>
      </c>
      <c r="T55" s="970">
        <f>K55*M55</f>
        <v>0</v>
      </c>
      <c r="U55" s="926"/>
      <c r="V55" s="925"/>
      <c r="W55" s="925"/>
      <c r="X55" s="925"/>
    </row>
    <row r="56" spans="1:24" ht="15" thickTop="1" thickBot="1">
      <c r="A56" s="925"/>
      <c r="B56" s="926"/>
      <c r="C56" s="926"/>
      <c r="D56" s="945"/>
      <c r="E56" s="926" t="s">
        <v>1191</v>
      </c>
      <c r="F56" s="926"/>
      <c r="G56" s="973">
        <v>30</v>
      </c>
      <c r="H56" s="926" t="s">
        <v>1188</v>
      </c>
      <c r="I56" s="947"/>
      <c r="J56" s="926" t="s">
        <v>1149</v>
      </c>
      <c r="K56" s="972">
        <f>G56*I56</f>
        <v>0</v>
      </c>
      <c r="L56" s="926" t="s">
        <v>1120</v>
      </c>
      <c r="M56" s="926">
        <f>$E$12</f>
        <v>0</v>
      </c>
      <c r="N56" s="926" t="s">
        <v>1119</v>
      </c>
      <c r="O56" s="1043">
        <f>K56*M56</f>
        <v>0</v>
      </c>
      <c r="P56" s="952" t="s">
        <v>1104</v>
      </c>
      <c r="Q56" s="965"/>
      <c r="R56" s="965"/>
      <c r="S56" s="971" t="s">
        <v>1107</v>
      </c>
      <c r="T56" s="970">
        <f>K56*M56</f>
        <v>0</v>
      </c>
      <c r="U56" s="926"/>
      <c r="V56" s="925"/>
      <c r="W56" s="925"/>
      <c r="X56" s="925"/>
    </row>
    <row r="57" spans="1:24" ht="15" thickTop="1" thickBot="1">
      <c r="A57" s="925"/>
      <c r="B57" s="926"/>
      <c r="C57" s="926"/>
      <c r="D57" s="945"/>
      <c r="E57" s="926" t="s">
        <v>1190</v>
      </c>
      <c r="F57" s="926"/>
      <c r="G57" s="973">
        <v>70</v>
      </c>
      <c r="H57" s="926" t="s">
        <v>1188</v>
      </c>
      <c r="I57" s="947"/>
      <c r="J57" s="926" t="s">
        <v>1149</v>
      </c>
      <c r="K57" s="972">
        <f>G57*I57</f>
        <v>0</v>
      </c>
      <c r="L57" s="926" t="s">
        <v>1120</v>
      </c>
      <c r="M57" s="926">
        <f>$E$12</f>
        <v>0</v>
      </c>
      <c r="N57" s="926" t="s">
        <v>1119</v>
      </c>
      <c r="O57" s="1043">
        <f>K57*M57</f>
        <v>0</v>
      </c>
      <c r="P57" s="952" t="s">
        <v>1104</v>
      </c>
      <c r="Q57" s="965"/>
      <c r="R57" s="965"/>
      <c r="S57" s="971" t="s">
        <v>1107</v>
      </c>
      <c r="T57" s="970">
        <f>K57*M57</f>
        <v>0</v>
      </c>
      <c r="U57" s="926"/>
      <c r="V57" s="925"/>
      <c r="W57" s="925"/>
      <c r="X57" s="925"/>
    </row>
    <row r="58" spans="1:24" ht="15" thickTop="1" thickBot="1">
      <c r="A58" s="925"/>
      <c r="B58" s="926"/>
      <c r="C58" s="926"/>
      <c r="D58" s="945"/>
      <c r="E58" s="926" t="s">
        <v>1189</v>
      </c>
      <c r="F58" s="926"/>
      <c r="G58" s="973">
        <v>50</v>
      </c>
      <c r="H58" s="926" t="s">
        <v>1188</v>
      </c>
      <c r="I58" s="947"/>
      <c r="J58" s="926" t="s">
        <v>1149</v>
      </c>
      <c r="K58" s="972">
        <f>G58*I58</f>
        <v>0</v>
      </c>
      <c r="L58" s="926" t="s">
        <v>1120</v>
      </c>
      <c r="M58" s="926">
        <f>$E$12</f>
        <v>0</v>
      </c>
      <c r="N58" s="926" t="s">
        <v>1119</v>
      </c>
      <c r="O58" s="1043">
        <f>K58*M58</f>
        <v>0</v>
      </c>
      <c r="P58" s="952" t="s">
        <v>1104</v>
      </c>
      <c r="Q58" s="965"/>
      <c r="R58" s="965"/>
      <c r="S58" s="971" t="s">
        <v>1107</v>
      </c>
      <c r="T58" s="970">
        <f>K58*M58</f>
        <v>0</v>
      </c>
      <c r="U58" s="926"/>
      <c r="V58" s="925"/>
      <c r="W58" s="925"/>
      <c r="X58" s="925"/>
    </row>
    <row r="59" spans="1:24" ht="14.25" thickTop="1">
      <c r="A59" s="925"/>
      <c r="B59" s="926"/>
      <c r="C59" s="926"/>
      <c r="D59" s="942"/>
      <c r="E59" s="926"/>
      <c r="F59" s="926"/>
      <c r="G59" s="926"/>
      <c r="H59" s="967" t="s">
        <v>1129</v>
      </c>
      <c r="I59" s="969">
        <f>SUM(I55:I58)</f>
        <v>0</v>
      </c>
      <c r="J59" s="932" t="s">
        <v>1149</v>
      </c>
      <c r="K59" s="926"/>
      <c r="L59" s="926"/>
      <c r="M59" s="926"/>
      <c r="N59" s="926"/>
      <c r="O59" s="927"/>
      <c r="P59" s="952"/>
      <c r="Q59" s="965"/>
      <c r="R59" s="965"/>
      <c r="S59" s="932" t="s">
        <v>1127</v>
      </c>
      <c r="T59" s="968">
        <f>SUM(T55:T58)</f>
        <v>0</v>
      </c>
      <c r="U59" s="926" t="s">
        <v>846</v>
      </c>
      <c r="V59" s="953" t="e">
        <f>(T59)/(I59)/E12</f>
        <v>#DIV/0!</v>
      </c>
      <c r="W59" s="925" t="s">
        <v>1187</v>
      </c>
      <c r="X59" s="925"/>
    </row>
    <row r="60" spans="1:24">
      <c r="A60" s="925"/>
      <c r="B60" s="926"/>
      <c r="C60" s="926"/>
      <c r="D60" s="942"/>
      <c r="E60" s="926"/>
      <c r="F60" s="926"/>
      <c r="G60" s="926" t="s">
        <v>1186</v>
      </c>
      <c r="H60" s="967"/>
      <c r="I60" s="966"/>
      <c r="J60" s="932"/>
      <c r="K60" s="926"/>
      <c r="L60" s="926"/>
      <c r="M60" s="940"/>
      <c r="N60" s="926"/>
      <c r="O60" s="927"/>
      <c r="P60" s="952"/>
      <c r="Q60" s="965"/>
      <c r="R60" s="965"/>
      <c r="S60" s="932"/>
      <c r="T60" s="964"/>
      <c r="U60" s="925"/>
      <c r="V60" s="963"/>
      <c r="W60" s="925"/>
      <c r="X60" s="925"/>
    </row>
    <row r="61" spans="1:24">
      <c r="A61" s="925"/>
      <c r="B61" s="926"/>
      <c r="C61" s="926"/>
      <c r="D61" s="926"/>
      <c r="E61" s="926"/>
      <c r="F61" s="926"/>
      <c r="G61" s="926"/>
      <c r="H61" s="926"/>
      <c r="I61" s="946"/>
      <c r="J61" s="926"/>
      <c r="K61" s="926"/>
      <c r="L61" s="926"/>
      <c r="M61" s="940"/>
      <c r="N61" s="926"/>
      <c r="O61" s="927"/>
      <c r="P61" s="926"/>
      <c r="Q61" s="946"/>
      <c r="R61" s="946"/>
      <c r="S61" s="926"/>
      <c r="T61" s="925"/>
      <c r="U61" s="925"/>
      <c r="V61" s="925"/>
      <c r="W61" s="925"/>
      <c r="X61" s="925"/>
    </row>
    <row r="62" spans="1:24">
      <c r="A62" s="925"/>
      <c r="B62" s="926" t="s">
        <v>1185</v>
      </c>
      <c r="C62" s="926"/>
      <c r="D62" s="926"/>
      <c r="E62" s="926"/>
      <c r="F62" s="926"/>
      <c r="G62" s="926"/>
      <c r="H62" s="926"/>
      <c r="I62" s="926"/>
      <c r="J62" s="926"/>
      <c r="K62" s="926"/>
      <c r="L62" s="952"/>
      <c r="M62" s="926"/>
      <c r="N62" s="926"/>
      <c r="O62" s="927"/>
      <c r="P62" s="926"/>
      <c r="Q62" s="926"/>
      <c r="R62" s="926"/>
      <c r="S62" s="926"/>
      <c r="T62" s="925"/>
      <c r="U62" s="925"/>
      <c r="V62" s="925"/>
      <c r="W62" s="925"/>
      <c r="X62" s="925"/>
    </row>
    <row r="63" spans="1:24">
      <c r="A63" s="925"/>
      <c r="B63" s="926"/>
      <c r="C63" s="926"/>
      <c r="D63" s="926"/>
      <c r="E63" s="926"/>
      <c r="F63" s="926"/>
      <c r="G63" s="926"/>
      <c r="H63" s="926"/>
      <c r="I63" s="926"/>
      <c r="J63" s="945"/>
      <c r="K63" s="962"/>
      <c r="L63" s="926"/>
      <c r="M63" s="962"/>
      <c r="N63" s="926" t="s">
        <v>1107</v>
      </c>
      <c r="O63" s="944">
        <f>T23+T25+T26+T35+T37+T51+T59</f>
        <v>0</v>
      </c>
      <c r="P63" s="926" t="s">
        <v>1104</v>
      </c>
      <c r="Q63" s="926" t="s">
        <v>840</v>
      </c>
      <c r="R63" s="926"/>
      <c r="S63" s="926"/>
      <c r="T63" s="925"/>
      <c r="U63" s="925"/>
      <c r="V63" s="925"/>
      <c r="W63" s="925"/>
      <c r="X63" s="925"/>
    </row>
    <row r="64" spans="1:24" ht="14.25" thickBot="1">
      <c r="A64" s="925"/>
      <c r="B64" s="926"/>
      <c r="C64" s="926"/>
      <c r="D64" s="926"/>
      <c r="E64" s="926"/>
      <c r="F64" s="926"/>
      <c r="G64" s="926"/>
      <c r="H64" s="926"/>
      <c r="I64" s="926"/>
      <c r="J64" s="942"/>
      <c r="K64" s="961"/>
      <c r="L64" s="926"/>
      <c r="M64" s="961"/>
      <c r="N64" s="926" t="s">
        <v>1134</v>
      </c>
      <c r="O64" s="960">
        <f>T21+T22+T24+T33+T34+T36+T49+T50</f>
        <v>0</v>
      </c>
      <c r="P64" s="926" t="s">
        <v>1104</v>
      </c>
      <c r="Q64" s="940" t="s">
        <v>842</v>
      </c>
      <c r="R64" s="926"/>
      <c r="S64" s="926"/>
      <c r="T64" s="925"/>
      <c r="U64" s="925" t="s">
        <v>1184</v>
      </c>
      <c r="V64" s="925"/>
      <c r="W64" s="925"/>
      <c r="X64" s="925"/>
    </row>
    <row r="65" spans="1:24" ht="15" thickTop="1" thickBot="1">
      <c r="A65" s="925"/>
      <c r="B65" s="926"/>
      <c r="C65" s="926"/>
      <c r="D65" s="926"/>
      <c r="E65" s="926"/>
      <c r="F65" s="926"/>
      <c r="G65" s="926"/>
      <c r="H65" s="926"/>
      <c r="I65" s="926"/>
      <c r="J65" s="942"/>
      <c r="K65" s="926"/>
      <c r="L65" s="952"/>
      <c r="M65" s="959"/>
      <c r="N65" s="958" t="s">
        <v>1183</v>
      </c>
      <c r="O65" s="957">
        <f>O63+O64</f>
        <v>0</v>
      </c>
      <c r="P65" s="956" t="s">
        <v>1104</v>
      </c>
      <c r="Q65" s="955" t="s">
        <v>1117</v>
      </c>
      <c r="R65" s="932"/>
      <c r="S65" s="926"/>
      <c r="T65" s="954">
        <f>T28+T39+T52+T59</f>
        <v>0</v>
      </c>
      <c r="U65" s="925" t="s">
        <v>1182</v>
      </c>
      <c r="V65" s="953" t="e">
        <f>T65/(E9+E10)/E12</f>
        <v>#DIV/0!</v>
      </c>
      <c r="W65" s="925" t="s">
        <v>1116</v>
      </c>
      <c r="X65" s="925"/>
    </row>
    <row r="66" spans="1:24" ht="15" thickTop="1" thickBot="1">
      <c r="A66" s="925"/>
      <c r="B66" s="926"/>
      <c r="C66" s="926"/>
      <c r="D66" s="926"/>
      <c r="E66" s="926"/>
      <c r="F66" s="926"/>
      <c r="G66" s="926"/>
      <c r="H66" s="926"/>
      <c r="I66" s="926"/>
      <c r="J66" s="926"/>
      <c r="K66" s="926"/>
      <c r="L66" s="952"/>
      <c r="M66" s="951"/>
      <c r="N66" s="950" t="s">
        <v>1103</v>
      </c>
      <c r="O66" s="1046" t="e">
        <f>O65/$E$11</f>
        <v>#DIV/0!</v>
      </c>
      <c r="P66" s="949" t="s">
        <v>1102</v>
      </c>
      <c r="Q66" s="948"/>
      <c r="R66" s="932"/>
      <c r="S66" s="926"/>
      <c r="T66" s="925"/>
      <c r="U66" s="925"/>
      <c r="V66" s="925"/>
      <c r="W66" s="925"/>
      <c r="X66" s="925"/>
    </row>
    <row r="67" spans="1:24" ht="15" thickTop="1" thickBot="1">
      <c r="A67" s="925"/>
      <c r="B67" s="926" t="s">
        <v>1181</v>
      </c>
      <c r="C67" s="926" t="s">
        <v>1114</v>
      </c>
      <c r="D67" s="926"/>
      <c r="E67" s="926"/>
      <c r="F67" s="926"/>
      <c r="G67" s="926"/>
      <c r="H67" s="926"/>
      <c r="I67" s="926"/>
      <c r="J67" s="926"/>
      <c r="K67" s="926"/>
      <c r="L67" s="926"/>
      <c r="M67" s="946"/>
      <c r="N67" s="926"/>
      <c r="O67" s="927"/>
      <c r="P67" s="926"/>
      <c r="Q67" s="946"/>
      <c r="R67" s="926"/>
      <c r="S67" s="926"/>
      <c r="T67" s="925"/>
      <c r="U67" s="925"/>
      <c r="V67" s="925"/>
      <c r="W67" s="925"/>
      <c r="X67" s="925"/>
    </row>
    <row r="68" spans="1:24" ht="15" thickTop="1" thickBot="1">
      <c r="A68" s="925"/>
      <c r="B68" s="926"/>
      <c r="C68" s="926" t="s">
        <v>1113</v>
      </c>
      <c r="D68" s="926"/>
      <c r="E68" s="926"/>
      <c r="F68" s="926"/>
      <c r="G68" s="926"/>
      <c r="H68" s="947"/>
      <c r="I68" s="926" t="s">
        <v>209</v>
      </c>
      <c r="J68" s="926"/>
      <c r="K68" s="926"/>
      <c r="L68" s="926"/>
      <c r="M68" s="946"/>
      <c r="N68" s="943" t="s">
        <v>1112</v>
      </c>
      <c r="O68" s="1043">
        <f>O65*H68/100</f>
        <v>0</v>
      </c>
      <c r="P68" s="926" t="s">
        <v>1104</v>
      </c>
      <c r="Q68" s="926" t="s">
        <v>1111</v>
      </c>
      <c r="R68" s="926"/>
      <c r="S68" s="926"/>
      <c r="T68" s="925"/>
      <c r="U68" s="925"/>
      <c r="V68" s="925"/>
      <c r="W68" s="925"/>
      <c r="X68" s="925"/>
    </row>
    <row r="69" spans="1:24" ht="14.25" thickTop="1">
      <c r="A69" s="925"/>
      <c r="B69" s="926"/>
      <c r="C69" s="926" t="s">
        <v>1110</v>
      </c>
      <c r="D69" s="926"/>
      <c r="E69" s="926"/>
      <c r="F69" s="926"/>
      <c r="G69" s="926"/>
      <c r="H69" s="926"/>
      <c r="I69" s="926"/>
      <c r="J69" s="926"/>
      <c r="K69" s="926"/>
      <c r="L69" s="926"/>
      <c r="M69" s="946"/>
      <c r="N69" s="943" t="s">
        <v>1109</v>
      </c>
      <c r="O69" s="1043">
        <f>IF(O68&lt;O64,O68,O64)</f>
        <v>0</v>
      </c>
      <c r="P69" s="926" t="s">
        <v>1104</v>
      </c>
      <c r="Q69" s="926" t="s">
        <v>1108</v>
      </c>
      <c r="R69" s="926"/>
      <c r="S69" s="926"/>
      <c r="T69" s="925"/>
      <c r="U69" s="925"/>
      <c r="V69" s="925"/>
      <c r="W69" s="925"/>
      <c r="X69" s="925"/>
    </row>
    <row r="70" spans="1:24">
      <c r="A70" s="925"/>
      <c r="B70" s="926"/>
      <c r="C70" s="926"/>
      <c r="D70" s="926"/>
      <c r="E70" s="926"/>
      <c r="F70" s="926"/>
      <c r="G70" s="926"/>
      <c r="H70" s="926"/>
      <c r="I70" s="926"/>
      <c r="J70" s="926"/>
      <c r="K70" s="926"/>
      <c r="L70" s="926"/>
      <c r="M70" s="926"/>
      <c r="N70" s="926"/>
      <c r="O70" s="927"/>
      <c r="P70" s="926"/>
      <c r="Q70" s="926"/>
      <c r="R70" s="926"/>
      <c r="S70" s="926"/>
      <c r="T70" s="925"/>
      <c r="U70" s="925"/>
      <c r="V70" s="925"/>
      <c r="W70" s="925"/>
      <c r="X70" s="925"/>
    </row>
    <row r="71" spans="1:24">
      <c r="A71" s="925"/>
      <c r="B71" s="926"/>
      <c r="C71" s="926"/>
      <c r="D71" s="926"/>
      <c r="E71" s="926"/>
      <c r="F71" s="926"/>
      <c r="G71" s="926"/>
      <c r="H71" s="926"/>
      <c r="I71" s="926"/>
      <c r="J71" s="926"/>
      <c r="K71" s="926"/>
      <c r="L71" s="926"/>
      <c r="M71" s="945" t="s">
        <v>1107</v>
      </c>
      <c r="N71" s="926"/>
      <c r="O71" s="944">
        <f>O63</f>
        <v>0</v>
      </c>
      <c r="P71" s="926" t="s">
        <v>1104</v>
      </c>
      <c r="Q71" s="926" t="s">
        <v>840</v>
      </c>
      <c r="R71" s="926"/>
      <c r="S71" s="926"/>
      <c r="T71" s="925"/>
      <c r="U71" s="925"/>
      <c r="V71" s="925"/>
      <c r="W71" s="925"/>
      <c r="X71" s="925"/>
    </row>
    <row r="72" spans="1:24" ht="14.25" thickBot="1">
      <c r="A72" s="925"/>
      <c r="B72" s="926"/>
      <c r="C72" s="926"/>
      <c r="D72" s="926"/>
      <c r="E72" s="926"/>
      <c r="F72" s="926"/>
      <c r="G72" s="943"/>
      <c r="H72" s="926"/>
      <c r="I72" s="926"/>
      <c r="J72" s="926"/>
      <c r="K72" s="926"/>
      <c r="L72" s="926"/>
      <c r="M72" s="942" t="s">
        <v>1106</v>
      </c>
      <c r="N72" s="926"/>
      <c r="O72" s="941">
        <f>O64-O69</f>
        <v>0</v>
      </c>
      <c r="P72" s="926" t="s">
        <v>1104</v>
      </c>
      <c r="Q72" s="940" t="s">
        <v>1105</v>
      </c>
      <c r="R72" s="926"/>
      <c r="S72" s="926"/>
      <c r="T72" s="925"/>
      <c r="U72" s="925"/>
      <c r="V72" s="925"/>
      <c r="W72" s="925"/>
      <c r="X72" s="925"/>
    </row>
    <row r="73" spans="1:24" ht="15" thickTop="1" thickBot="1">
      <c r="A73" s="925"/>
      <c r="B73" s="926"/>
      <c r="C73" s="926"/>
      <c r="D73" s="926"/>
      <c r="E73" s="926"/>
      <c r="F73" s="926"/>
      <c r="G73" s="926"/>
      <c r="H73" s="926"/>
      <c r="I73" s="926"/>
      <c r="J73" s="926"/>
      <c r="K73" s="926"/>
      <c r="L73" s="926"/>
      <c r="M73" s="926"/>
      <c r="N73" s="939" t="s">
        <v>1180</v>
      </c>
      <c r="O73" s="938">
        <f>SUM(O71:O72)</f>
        <v>0</v>
      </c>
      <c r="P73" s="937" t="s">
        <v>1104</v>
      </c>
      <c r="Q73" s="936"/>
      <c r="R73" s="925"/>
      <c r="S73" s="926"/>
      <c r="T73" s="925"/>
      <c r="U73" s="925"/>
      <c r="V73" s="925"/>
      <c r="W73" s="925"/>
      <c r="X73" s="925"/>
    </row>
    <row r="74" spans="1:24" ht="15" thickTop="1" thickBot="1">
      <c r="A74" s="925"/>
      <c r="B74" s="926"/>
      <c r="C74" s="925"/>
      <c r="D74" s="926"/>
      <c r="E74" s="926"/>
      <c r="F74" s="926"/>
      <c r="G74" s="926"/>
      <c r="H74" s="926"/>
      <c r="I74" s="926"/>
      <c r="J74" s="926"/>
      <c r="K74" s="926"/>
      <c r="L74" s="926"/>
      <c r="M74" s="926"/>
      <c r="N74" s="935" t="s">
        <v>1103</v>
      </c>
      <c r="O74" s="1047" t="e">
        <f>O73/$E$11</f>
        <v>#DIV/0!</v>
      </c>
      <c r="P74" s="934" t="s">
        <v>1102</v>
      </c>
      <c r="Q74" s="933"/>
      <c r="R74" s="932"/>
      <c r="S74" s="926"/>
      <c r="T74" s="925"/>
      <c r="U74" s="925"/>
      <c r="V74" s="925"/>
      <c r="W74" s="925"/>
      <c r="X74" s="925"/>
    </row>
    <row r="75" spans="1:24" ht="14.25" thickTop="1">
      <c r="A75" s="925"/>
      <c r="B75" s="926"/>
      <c r="C75" s="926" t="s">
        <v>1101</v>
      </c>
      <c r="D75" s="926"/>
      <c r="E75" s="926"/>
      <c r="F75" s="926"/>
      <c r="G75" s="926"/>
      <c r="H75" s="926"/>
      <c r="I75" s="926"/>
      <c r="J75" s="926"/>
      <c r="K75" s="926"/>
      <c r="L75" s="926"/>
      <c r="M75" s="926"/>
      <c r="N75" s="931"/>
      <c r="O75" s="930"/>
      <c r="P75" s="929"/>
      <c r="Q75" s="925"/>
      <c r="R75" s="926"/>
      <c r="S75" s="926"/>
      <c r="T75" s="925"/>
      <c r="U75" s="925"/>
      <c r="V75" s="925"/>
      <c r="W75" s="925"/>
      <c r="X75" s="925"/>
    </row>
    <row r="76" spans="1:24">
      <c r="A76" s="925"/>
      <c r="B76" s="926"/>
      <c r="C76" s="926" t="s">
        <v>1100</v>
      </c>
      <c r="D76" s="926"/>
      <c r="E76" s="926"/>
      <c r="F76" s="926"/>
      <c r="G76" s="926"/>
      <c r="H76" s="926"/>
      <c r="I76" s="926"/>
      <c r="J76" s="926"/>
      <c r="K76" s="926"/>
      <c r="L76" s="926"/>
      <c r="M76" s="926"/>
      <c r="N76" s="926"/>
      <c r="O76" s="927"/>
      <c r="P76" s="926"/>
      <c r="Q76" s="926"/>
      <c r="R76" s="926"/>
      <c r="S76" s="926"/>
      <c r="T76" s="925"/>
      <c r="U76" s="925"/>
      <c r="V76" s="925"/>
      <c r="W76" s="925"/>
      <c r="X76" s="925"/>
    </row>
    <row r="77" spans="1:24">
      <c r="A77" s="925"/>
      <c r="B77" s="926"/>
      <c r="C77" s="926" t="s">
        <v>1179</v>
      </c>
      <c r="D77" s="926"/>
      <c r="E77" s="926"/>
      <c r="F77" s="926"/>
      <c r="G77" s="926"/>
      <c r="H77" s="926"/>
      <c r="I77" s="926"/>
      <c r="J77" s="926"/>
      <c r="K77" s="926"/>
      <c r="L77" s="926"/>
      <c r="M77" s="926"/>
      <c r="N77" s="926"/>
      <c r="O77" s="927"/>
      <c r="P77" s="926"/>
      <c r="Q77" s="926"/>
      <c r="R77" s="926"/>
      <c r="S77" s="926"/>
      <c r="T77" s="925"/>
      <c r="U77" s="925"/>
      <c r="V77" s="925"/>
      <c r="W77" s="925"/>
      <c r="X77" s="925"/>
    </row>
    <row r="78" spans="1:24">
      <c r="A78" s="925"/>
      <c r="B78" s="926"/>
      <c r="C78" s="926" t="s">
        <v>1178</v>
      </c>
      <c r="D78" s="926"/>
      <c r="E78" s="926"/>
      <c r="F78" s="926"/>
      <c r="G78" s="926"/>
      <c r="H78" s="926"/>
      <c r="I78" s="926"/>
      <c r="J78" s="926"/>
      <c r="K78" s="926"/>
      <c r="L78" s="926"/>
      <c r="M78" s="926"/>
      <c r="N78" s="926"/>
      <c r="O78" s="927"/>
      <c r="P78" s="926"/>
      <c r="Q78" s="926"/>
      <c r="R78" s="926"/>
      <c r="S78" s="926"/>
      <c r="T78" s="925"/>
      <c r="U78" s="925"/>
      <c r="V78" s="925"/>
      <c r="W78" s="925"/>
      <c r="X78" s="925"/>
    </row>
    <row r="79" spans="1:24">
      <c r="A79" s="925"/>
      <c r="B79" s="926"/>
      <c r="C79" s="926" t="s">
        <v>1177</v>
      </c>
      <c r="D79" s="926"/>
      <c r="E79" s="926"/>
      <c r="F79" s="926"/>
      <c r="G79" s="926"/>
      <c r="H79" s="926"/>
      <c r="I79" s="926"/>
      <c r="J79" s="926"/>
      <c r="K79" s="926"/>
      <c r="L79" s="926"/>
      <c r="M79" s="926"/>
      <c r="N79" s="926"/>
      <c r="O79" s="927"/>
      <c r="P79" s="926"/>
      <c r="Q79" s="926"/>
      <c r="R79" s="926"/>
      <c r="S79" s="926"/>
      <c r="T79" s="925"/>
      <c r="U79" s="925"/>
      <c r="V79" s="925"/>
      <c r="W79" s="925"/>
      <c r="X79" s="925"/>
    </row>
    <row r="80" spans="1:24" ht="29.25" customHeight="1">
      <c r="A80" s="925"/>
      <c r="B80" s="926"/>
      <c r="C80" s="928" t="s">
        <v>1096</v>
      </c>
      <c r="D80" s="928"/>
      <c r="E80" s="926"/>
      <c r="F80" s="926"/>
      <c r="G80" s="926"/>
      <c r="H80" s="926"/>
      <c r="I80" s="926"/>
      <c r="J80" s="926"/>
      <c r="K80" s="926"/>
      <c r="L80" s="926"/>
      <c r="M80" s="926"/>
      <c r="N80" s="926"/>
      <c r="O80" s="927"/>
      <c r="P80" s="926"/>
      <c r="Q80" s="926"/>
      <c r="R80" s="926"/>
      <c r="S80" s="926"/>
      <c r="T80" s="925"/>
      <c r="U80" s="925"/>
      <c r="V80" s="925"/>
      <c r="W80" s="925"/>
      <c r="X80" s="925"/>
    </row>
    <row r="81" spans="3:3">
      <c r="C81" s="924"/>
    </row>
  </sheetData>
  <sheetProtection algorithmName="SHA-512" hashValue="OYTK54dmlSeuarakVaQlTIa/Hpgj00pSWx+/N5GfQgMjyuAWBPFN9gIrpxCSZ7/Sd499ovKPajw2lBKegTOPaQ==" saltValue="LUfENfkr3CKeunpNsBePQw==" spinCount="100000" sheet="1" objects="1" scenarios="1"/>
  <phoneticPr fontId="3"/>
  <pageMargins left="0.47244094488188981" right="0.27559055118110237" top="0.31" bottom="0.17" header="0.17" footer="0.14000000000000001"/>
  <pageSetup paperSize="9" scale="52" orientation="landscape" r:id="rId1"/>
  <headerFooter alignWithMargins="0"/>
  <rowBreaks count="1" manualBreakCount="1">
    <brk id="80"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
  <sheetViews>
    <sheetView showGridLines="0" workbookViewId="0"/>
  </sheetViews>
  <sheetFormatPr defaultRowHeight="13.5"/>
  <sheetData/>
  <sheetProtection algorithmName="SHA-512" hashValue="qdkF7tXimPpSmJPG3gcT3mRGxVW3L2B4X18kNKCCk2L+yNU9aTdG+XkGiDueG9Nset7zH+/FqJgDFW9Lz1AhnA==" saltValue="dGvzVteXwGWwaM+2eNa09g==" spinCount="100000" sheet="1" objects="1" scenarios="1"/>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fitToPage="1"/>
  </sheetPr>
  <dimension ref="A1:L91"/>
  <sheetViews>
    <sheetView tabSelected="1" zoomScaleNormal="100" zoomScaleSheetLayoutView="100" workbookViewId="0">
      <selection activeCell="C10" sqref="C10:D10"/>
    </sheetView>
  </sheetViews>
  <sheetFormatPr defaultColWidth="0" defaultRowHeight="0" customHeight="1" zeroHeight="1"/>
  <cols>
    <col min="1" max="1" width="1.75" customWidth="1"/>
    <col min="2" max="2" width="21.375" customWidth="1"/>
    <col min="3" max="4" width="23.125" customWidth="1"/>
    <col min="5" max="5" width="20" customWidth="1"/>
    <col min="6" max="6" width="2.25" customWidth="1"/>
    <col min="7" max="7" width="1.625" hidden="1" customWidth="1"/>
    <col min="8" max="8" width="7.375" hidden="1" customWidth="1"/>
    <col min="9" max="9" width="8" style="57" hidden="1" customWidth="1"/>
    <col min="10" max="10" width="11.375" style="57" hidden="1" customWidth="1"/>
    <col min="11" max="11" width="3.625" hidden="1" customWidth="1"/>
    <col min="12" max="16384" width="9" hidden="1"/>
  </cols>
  <sheetData>
    <row r="1" spans="1:12" ht="14.25" customHeight="1">
      <c r="A1" s="1"/>
      <c r="B1" s="4"/>
      <c r="C1" s="1"/>
      <c r="D1" s="1"/>
      <c r="E1" s="1"/>
      <c r="F1" s="1"/>
      <c r="I1" s="306"/>
      <c r="J1" s="306"/>
      <c r="K1" s="306"/>
    </row>
    <row r="2" spans="1:12" ht="14.25" customHeight="1">
      <c r="A2" s="1"/>
      <c r="B2" s="224"/>
      <c r="C2" s="224"/>
      <c r="D2" s="224"/>
      <c r="E2" s="9"/>
      <c r="F2" s="1"/>
      <c r="K2" s="57"/>
    </row>
    <row r="3" spans="1:12" ht="29.25" customHeight="1">
      <c r="A3" s="1"/>
      <c r="B3" s="225"/>
      <c r="C3" s="225"/>
      <c r="D3" s="225"/>
      <c r="E3" s="226"/>
      <c r="F3" s="1"/>
      <c r="K3" s="57"/>
    </row>
    <row r="4" spans="1:12" ht="33" customHeight="1">
      <c r="A4" s="1"/>
      <c r="B4" s="227" t="s">
        <v>0</v>
      </c>
      <c r="C4" s="228"/>
      <c r="D4" s="228"/>
      <c r="E4" s="229"/>
      <c r="F4" s="1"/>
      <c r="I4" s="306"/>
      <c r="J4"/>
      <c r="K4" s="306"/>
    </row>
    <row r="5" spans="1:12" ht="14.25" customHeight="1">
      <c r="A5" s="1"/>
      <c r="B5" s="230" t="s">
        <v>1</v>
      </c>
      <c r="C5" s="231" t="s">
        <v>1275</v>
      </c>
      <c r="D5" s="231"/>
      <c r="E5" s="232"/>
      <c r="F5" s="1"/>
      <c r="I5" s="306"/>
      <c r="J5" s="306"/>
      <c r="K5" s="306"/>
    </row>
    <row r="6" spans="1:12" ht="14.25" customHeight="1">
      <c r="A6" s="1"/>
      <c r="B6" s="233" t="s">
        <v>2</v>
      </c>
      <c r="C6" s="231" t="s">
        <v>1276</v>
      </c>
      <c r="D6" s="231"/>
      <c r="E6" s="232"/>
      <c r="F6" s="1"/>
      <c r="I6" s="306"/>
      <c r="J6" s="306"/>
      <c r="K6" s="306"/>
    </row>
    <row r="7" spans="1:12" ht="9" customHeight="1" thickBot="1">
      <c r="A7" s="1"/>
      <c r="B7" s="9"/>
      <c r="C7" s="9"/>
      <c r="D7" s="9"/>
      <c r="E7" s="9"/>
      <c r="F7" s="1"/>
      <c r="I7" s="306"/>
      <c r="J7" s="306"/>
      <c r="K7" s="306"/>
    </row>
    <row r="8" spans="1:12" ht="17.25" customHeight="1">
      <c r="A8" s="1"/>
      <c r="B8" s="234" t="s">
        <v>3</v>
      </c>
      <c r="C8" s="235"/>
      <c r="D8" s="235"/>
      <c r="E8" s="236"/>
      <c r="F8" s="1"/>
      <c r="H8" s="307"/>
      <c r="I8" s="306"/>
      <c r="K8" s="306"/>
    </row>
    <row r="9" spans="1:12" ht="17.25" customHeight="1">
      <c r="A9" s="1"/>
      <c r="B9" s="237" t="s">
        <v>4</v>
      </c>
      <c r="C9" s="238"/>
      <c r="D9" s="238"/>
      <c r="E9" s="238"/>
      <c r="F9" s="9"/>
      <c r="I9" s="308"/>
      <c r="J9" s="140"/>
      <c r="K9" s="308"/>
    </row>
    <row r="10" spans="1:12" ht="17.25" customHeight="1">
      <c r="A10" s="1"/>
      <c r="B10" s="42" t="s">
        <v>5</v>
      </c>
      <c r="C10" s="1326" t="s">
        <v>6</v>
      </c>
      <c r="D10" s="1327"/>
      <c r="E10" s="43"/>
      <c r="F10" s="240"/>
      <c r="I10" s="306"/>
      <c r="K10" s="306"/>
    </row>
    <row r="11" spans="1:12" ht="17.25" customHeight="1">
      <c r="A11" s="1"/>
      <c r="B11" s="44" t="s">
        <v>7</v>
      </c>
      <c r="C11" s="1324" t="s">
        <v>8</v>
      </c>
      <c r="D11" s="1325"/>
      <c r="E11" s="43"/>
      <c r="F11" s="240"/>
      <c r="I11" s="308"/>
      <c r="J11" s="140"/>
      <c r="K11" s="308"/>
    </row>
    <row r="12" spans="1:12" ht="17.25" customHeight="1">
      <c r="A12" s="1"/>
      <c r="B12" s="44" t="s">
        <v>9</v>
      </c>
      <c r="C12" s="1328">
        <v>45292</v>
      </c>
      <c r="D12" s="1329"/>
      <c r="E12" s="239"/>
      <c r="F12" s="241"/>
      <c r="I12" s="306"/>
      <c r="K12" s="306"/>
    </row>
    <row r="13" spans="1:12" ht="17.25" customHeight="1">
      <c r="A13" s="1"/>
      <c r="B13" s="44" t="s">
        <v>10</v>
      </c>
      <c r="C13" s="1330" t="str">
        <f>C5</f>
        <v>CASBEE-UD_2023版(v.1.0)</v>
      </c>
      <c r="D13" s="1331"/>
      <c r="E13" s="43"/>
      <c r="F13" s="241"/>
      <c r="I13" s="306"/>
      <c r="K13" s="306"/>
    </row>
    <row r="14" spans="1:12" ht="17.25" customHeight="1">
      <c r="A14" s="1"/>
      <c r="B14" s="44" t="s">
        <v>11</v>
      </c>
      <c r="C14" s="301" t="s">
        <v>12</v>
      </c>
      <c r="D14" s="301" t="s">
        <v>13</v>
      </c>
      <c r="E14" s="43"/>
      <c r="F14" s="242"/>
      <c r="I14" s="308"/>
      <c r="J14" s="140"/>
      <c r="K14" s="308"/>
    </row>
    <row r="15" spans="1:12" s="306" customFormat="1" ht="17.25" customHeight="1">
      <c r="A15" s="1"/>
      <c r="B15" s="44"/>
      <c r="C15" s="304" t="s">
        <v>14</v>
      </c>
      <c r="D15" s="302"/>
      <c r="E15" s="43"/>
      <c r="F15" s="243"/>
      <c r="G15"/>
      <c r="H15"/>
      <c r="J15" s="57"/>
      <c r="L15"/>
    </row>
    <row r="16" spans="1:12" ht="17.25" customHeight="1">
      <c r="A16" s="1"/>
      <c r="B16" s="110" t="s">
        <v>15</v>
      </c>
      <c r="C16" s="389">
        <v>80</v>
      </c>
      <c r="D16" s="390"/>
      <c r="E16" s="314" t="s">
        <v>16</v>
      </c>
      <c r="F16" s="243"/>
      <c r="I16" s="308"/>
      <c r="J16" s="140"/>
      <c r="K16" s="308"/>
    </row>
    <row r="17" spans="1:11" ht="17.25" customHeight="1">
      <c r="A17" s="1"/>
      <c r="B17" s="110" t="s">
        <v>17</v>
      </c>
      <c r="C17" s="389">
        <v>800</v>
      </c>
      <c r="D17" s="390"/>
      <c r="E17" s="314" t="s">
        <v>16</v>
      </c>
      <c r="F17" s="243"/>
      <c r="I17" s="306"/>
      <c r="K17" s="306"/>
    </row>
    <row r="18" spans="1:11" ht="17.25" customHeight="1">
      <c r="A18" s="1"/>
      <c r="B18" s="110"/>
      <c r="C18" s="301" t="s">
        <v>18</v>
      </c>
      <c r="D18" s="301" t="s">
        <v>19</v>
      </c>
      <c r="E18" s="43"/>
      <c r="F18" s="243"/>
      <c r="I18" s="306"/>
      <c r="K18" s="306"/>
    </row>
    <row r="19" spans="1:11" ht="17.25" customHeight="1">
      <c r="A19" s="1"/>
      <c r="B19" s="110"/>
      <c r="C19" s="304"/>
      <c r="D19" s="302"/>
      <c r="E19" s="43"/>
      <c r="F19" s="243"/>
      <c r="I19" s="306"/>
      <c r="K19" s="306"/>
    </row>
    <row r="20" spans="1:11" ht="17.25" customHeight="1">
      <c r="A20" s="1"/>
      <c r="B20" s="110" t="s">
        <v>15</v>
      </c>
      <c r="C20" s="389"/>
      <c r="D20" s="390"/>
      <c r="E20" s="314" t="s">
        <v>16</v>
      </c>
      <c r="F20" s="243"/>
      <c r="I20" s="306"/>
      <c r="K20" s="306"/>
    </row>
    <row r="21" spans="1:11" ht="17.25" customHeight="1">
      <c r="A21" s="1"/>
      <c r="B21" s="110" t="s">
        <v>17</v>
      </c>
      <c r="C21" s="389"/>
      <c r="D21" s="390"/>
      <c r="E21" s="314" t="s">
        <v>16</v>
      </c>
      <c r="F21" s="243"/>
      <c r="I21" s="306"/>
      <c r="K21" s="306"/>
    </row>
    <row r="22" spans="1:11" ht="17.25" customHeight="1">
      <c r="A22" s="1"/>
      <c r="B22" s="110"/>
      <c r="C22" s="301" t="s">
        <v>20</v>
      </c>
      <c r="D22" s="301" t="s">
        <v>21</v>
      </c>
      <c r="E22" s="314"/>
      <c r="F22" s="243"/>
      <c r="I22" s="306"/>
      <c r="K22" s="306"/>
    </row>
    <row r="23" spans="1:11" ht="17.25" customHeight="1">
      <c r="A23" s="1"/>
      <c r="B23" s="44" t="s">
        <v>22</v>
      </c>
      <c r="C23" s="389">
        <v>0</v>
      </c>
      <c r="D23" s="432">
        <f>100-C23</f>
        <v>100</v>
      </c>
      <c r="E23" s="43" t="s">
        <v>16</v>
      </c>
      <c r="F23" s="243"/>
      <c r="I23" s="306"/>
      <c r="K23" s="306"/>
    </row>
    <row r="24" spans="1:11" s="309" customFormat="1" ht="17.25" customHeight="1">
      <c r="A24" s="3"/>
      <c r="B24" s="44" t="s">
        <v>23</v>
      </c>
      <c r="C24" s="1318">
        <v>70</v>
      </c>
      <c r="D24" s="1319"/>
      <c r="E24" s="43" t="s">
        <v>16</v>
      </c>
      <c r="F24" s="46"/>
      <c r="G24"/>
      <c r="I24" s="311"/>
      <c r="J24" s="310"/>
      <c r="K24" s="311"/>
    </row>
    <row r="25" spans="1:11" ht="17.25" customHeight="1">
      <c r="A25" s="3"/>
      <c r="B25" s="44" t="s">
        <v>24</v>
      </c>
      <c r="C25" s="1318">
        <v>445</v>
      </c>
      <c r="D25" s="1319"/>
      <c r="E25" s="43" t="s">
        <v>16</v>
      </c>
      <c r="F25" s="46"/>
      <c r="I25" s="311"/>
      <c r="J25" s="310"/>
      <c r="K25" s="311"/>
    </row>
    <row r="26" spans="1:11" ht="17.25" customHeight="1">
      <c r="A26" s="3"/>
      <c r="B26" s="44" t="s">
        <v>25</v>
      </c>
      <c r="C26" s="1324" t="s">
        <v>26</v>
      </c>
      <c r="D26" s="1325"/>
      <c r="E26" s="43"/>
      <c r="F26" s="46"/>
      <c r="I26" s="311"/>
      <c r="J26"/>
      <c r="K26" s="311"/>
    </row>
    <row r="27" spans="1:11" ht="17.25" customHeight="1">
      <c r="A27" s="3"/>
      <c r="B27" s="44"/>
      <c r="C27" s="1324" t="s">
        <v>27</v>
      </c>
      <c r="D27" s="1325"/>
      <c r="E27" s="43"/>
      <c r="F27" s="46"/>
      <c r="I27" s="311"/>
      <c r="J27"/>
      <c r="K27" s="311"/>
    </row>
    <row r="28" spans="1:11" ht="17.25" customHeight="1">
      <c r="A28" s="2"/>
      <c r="B28" s="44" t="s">
        <v>28</v>
      </c>
      <c r="C28" s="1318">
        <v>100</v>
      </c>
      <c r="D28" s="1319"/>
      <c r="E28" s="43" t="s">
        <v>16</v>
      </c>
      <c r="F28" s="9"/>
      <c r="I28" s="312"/>
      <c r="J28"/>
      <c r="K28" s="312"/>
    </row>
    <row r="29" spans="1:11" ht="17.25" customHeight="1">
      <c r="A29" s="2"/>
      <c r="B29" s="44" t="s">
        <v>29</v>
      </c>
      <c r="C29" s="1318">
        <v>760</v>
      </c>
      <c r="D29" s="1319"/>
      <c r="E29" s="43" t="s">
        <v>16</v>
      </c>
      <c r="F29" s="9"/>
      <c r="I29" s="312"/>
      <c r="J29" s="306"/>
      <c r="K29" s="312"/>
    </row>
    <row r="30" spans="1:11" ht="17.25" customHeight="1">
      <c r="A30" s="2"/>
      <c r="B30" s="44" t="s">
        <v>30</v>
      </c>
      <c r="C30" s="1318">
        <v>5</v>
      </c>
      <c r="D30" s="1319"/>
      <c r="E30" s="43" t="s">
        <v>31</v>
      </c>
      <c r="F30" s="9"/>
      <c r="I30" s="313"/>
      <c r="J30" s="306"/>
      <c r="K30" s="313"/>
    </row>
    <row r="31" spans="1:11" ht="17.25" customHeight="1">
      <c r="A31" s="2"/>
      <c r="B31" s="44" t="s">
        <v>32</v>
      </c>
      <c r="C31" s="1318">
        <v>2.5</v>
      </c>
      <c r="D31" s="1319"/>
      <c r="E31" s="43" t="s">
        <v>31</v>
      </c>
      <c r="F31" s="244"/>
      <c r="I31" s="313"/>
      <c r="J31" s="306"/>
      <c r="K31" s="313"/>
    </row>
    <row r="32" spans="1:11" s="306" customFormat="1" ht="17.25" customHeight="1">
      <c r="A32" s="2"/>
      <c r="B32" s="44" t="s">
        <v>33</v>
      </c>
      <c r="C32" s="1316">
        <v>16000</v>
      </c>
      <c r="D32" s="1317"/>
      <c r="E32" s="43" t="s">
        <v>34</v>
      </c>
      <c r="F32" s="244"/>
      <c r="G32"/>
      <c r="H32"/>
      <c r="I32" s="313"/>
      <c r="K32" s="313"/>
    </row>
    <row r="33" spans="1:11" s="306" customFormat="1" ht="17.25" customHeight="1">
      <c r="A33" s="2"/>
      <c r="B33" s="44" t="s">
        <v>35</v>
      </c>
      <c r="C33" s="1318">
        <f>C32/(C31*10000)*100</f>
        <v>64</v>
      </c>
      <c r="D33" s="1319"/>
      <c r="E33" s="43" t="s">
        <v>16</v>
      </c>
      <c r="F33" s="244"/>
      <c r="G33"/>
      <c r="H33"/>
      <c r="I33" s="313"/>
      <c r="J33" s="310"/>
      <c r="K33" s="313"/>
    </row>
    <row r="34" spans="1:11" s="306" customFormat="1" ht="17.25" customHeight="1">
      <c r="A34" s="2"/>
      <c r="B34" s="44" t="s">
        <v>36</v>
      </c>
      <c r="C34" s="1320">
        <v>200000</v>
      </c>
      <c r="D34" s="1321"/>
      <c r="E34" s="43" t="s">
        <v>34</v>
      </c>
      <c r="F34" s="244"/>
      <c r="G34"/>
      <c r="H34"/>
    </row>
    <row r="35" spans="1:11" s="306" customFormat="1" ht="17.25" customHeight="1">
      <c r="A35" s="2"/>
      <c r="B35" s="44" t="s">
        <v>37</v>
      </c>
      <c r="C35" s="1322">
        <f>C34/(C31*10000)*100</f>
        <v>800</v>
      </c>
      <c r="D35" s="1323"/>
      <c r="E35" s="43" t="s">
        <v>16</v>
      </c>
      <c r="F35" s="2"/>
      <c r="G35"/>
      <c r="H35"/>
    </row>
    <row r="36" spans="1:11" ht="14.25" thickBot="1">
      <c r="A36" s="1"/>
      <c r="B36" s="253" t="s">
        <v>38</v>
      </c>
      <c r="C36" s="249"/>
      <c r="D36" s="250"/>
      <c r="E36" s="249"/>
      <c r="F36" s="1"/>
    </row>
    <row r="37" spans="1:11" ht="13.5">
      <c r="A37" s="1"/>
      <c r="B37" s="44" t="s">
        <v>39</v>
      </c>
      <c r="C37" s="1310" t="s">
        <v>40</v>
      </c>
      <c r="D37" s="1311"/>
      <c r="E37" s="1312"/>
      <c r="F37" s="1"/>
    </row>
    <row r="38" spans="1:11" ht="13.5">
      <c r="A38" s="1"/>
      <c r="B38" s="44" t="s">
        <v>41</v>
      </c>
      <c r="C38" s="1313" t="s">
        <v>40</v>
      </c>
      <c r="D38" s="1314"/>
      <c r="E38" s="1315"/>
      <c r="F38" s="1"/>
    </row>
    <row r="39" spans="1:11" ht="17.25" customHeight="1">
      <c r="A39" s="2"/>
      <c r="B39" s="253" t="s">
        <v>42</v>
      </c>
      <c r="C39" s="316"/>
      <c r="D39" s="251"/>
      <c r="E39" s="252"/>
      <c r="F39" s="9"/>
      <c r="I39" s="312"/>
      <c r="J39" s="306"/>
      <c r="K39" s="312"/>
    </row>
    <row r="40" spans="1:11" ht="17.25" customHeight="1">
      <c r="A40" s="2"/>
      <c r="B40" s="47" t="s">
        <v>43</v>
      </c>
      <c r="C40" s="303" t="s">
        <v>770</v>
      </c>
      <c r="D40" s="335"/>
      <c r="E40" s="336"/>
      <c r="F40" s="9"/>
      <c r="I40" s="313"/>
      <c r="J40" s="306"/>
      <c r="K40" s="313"/>
    </row>
    <row r="41" spans="1:11" ht="17.25" customHeight="1">
      <c r="A41" s="2"/>
      <c r="B41" s="47" t="s">
        <v>44</v>
      </c>
      <c r="C41" s="329" t="s">
        <v>45</v>
      </c>
      <c r="D41" s="333" t="s">
        <v>46</v>
      </c>
      <c r="E41" s="334" t="s">
        <v>47</v>
      </c>
      <c r="F41" s="9"/>
      <c r="I41" s="313"/>
      <c r="J41" s="306"/>
      <c r="K41" s="313"/>
    </row>
    <row r="42" spans="1:11" ht="17.25" customHeight="1">
      <c r="A42" s="2"/>
      <c r="B42" s="47"/>
      <c r="C42" s="304" t="s">
        <v>48</v>
      </c>
      <c r="D42" s="304" t="s">
        <v>48</v>
      </c>
      <c r="E42" s="328" t="s">
        <v>48</v>
      </c>
      <c r="F42" s="244"/>
      <c r="I42" s="313"/>
      <c r="J42" s="306"/>
      <c r="K42" s="313"/>
    </row>
    <row r="43" spans="1:11" ht="17.25" customHeight="1">
      <c r="A43" s="2"/>
      <c r="B43" s="327"/>
      <c r="C43" s="329" t="s">
        <v>49</v>
      </c>
      <c r="D43" s="329" t="s">
        <v>50</v>
      </c>
      <c r="E43" s="330" t="s">
        <v>51</v>
      </c>
      <c r="F43" s="244"/>
      <c r="I43" s="313"/>
      <c r="J43" s="306"/>
      <c r="K43" s="313"/>
    </row>
    <row r="44" spans="1:11" ht="17.25" customHeight="1">
      <c r="A44" s="2"/>
      <c r="B44" s="327"/>
      <c r="C44" s="302" t="s">
        <v>48</v>
      </c>
      <c r="D44" s="302" t="s">
        <v>48</v>
      </c>
      <c r="E44" s="331" t="s">
        <v>48</v>
      </c>
      <c r="F44" s="244"/>
      <c r="I44" s="313"/>
      <c r="J44" s="306"/>
      <c r="K44" s="313"/>
    </row>
    <row r="45" spans="1:11" s="306" customFormat="1" ht="17.25" customHeight="1">
      <c r="A45" s="2"/>
      <c r="B45" s="47" t="s">
        <v>52</v>
      </c>
      <c r="C45" s="303" t="s">
        <v>770</v>
      </c>
      <c r="D45" s="332"/>
      <c r="E45" s="48"/>
      <c r="F45" s="244"/>
      <c r="G45"/>
      <c r="H45"/>
      <c r="I45" s="313"/>
      <c r="K45" s="313"/>
    </row>
    <row r="46" spans="1:11" s="306" customFormat="1" ht="17.25" customHeight="1" thickBot="1">
      <c r="A46" s="2"/>
      <c r="B46" s="248" t="s">
        <v>53</v>
      </c>
      <c r="C46" s="315" t="s">
        <v>54</v>
      </c>
      <c r="D46" s="324"/>
      <c r="E46" s="245"/>
      <c r="F46" s="244"/>
      <c r="G46"/>
      <c r="H46"/>
      <c r="I46" s="313"/>
      <c r="J46" s="310"/>
      <c r="K46" s="313"/>
    </row>
    <row r="47" spans="1:11" s="306" customFormat="1" ht="9.75" customHeight="1" thickBot="1">
      <c r="A47" s="2"/>
      <c r="B47" s="1"/>
      <c r="C47" s="1"/>
      <c r="D47" s="1"/>
      <c r="E47" s="1"/>
      <c r="F47" s="2"/>
      <c r="G47"/>
      <c r="H47"/>
    </row>
    <row r="48" spans="1:11" ht="14.25" thickBot="1">
      <c r="A48" s="1"/>
      <c r="B48" s="234" t="s">
        <v>55</v>
      </c>
      <c r="C48" s="68"/>
      <c r="D48" s="68"/>
      <c r="E48" s="69"/>
      <c r="F48" s="1"/>
    </row>
    <row r="49" spans="1:6" ht="13.5">
      <c r="A49" s="1"/>
      <c r="B49" s="246" t="s">
        <v>56</v>
      </c>
      <c r="C49" s="723" t="s">
        <v>57</v>
      </c>
      <c r="D49" s="724"/>
      <c r="E49" s="725"/>
      <c r="F49" s="1"/>
    </row>
    <row r="50" spans="1:6" ht="14.25" thickBot="1">
      <c r="A50" s="1"/>
      <c r="B50" s="247" t="s">
        <v>58</v>
      </c>
      <c r="C50" s="391" t="s">
        <v>59</v>
      </c>
      <c r="D50" s="45"/>
      <c r="E50" s="392"/>
      <c r="F50" s="1"/>
    </row>
    <row r="51" spans="1:6" ht="14.25" thickBot="1">
      <c r="A51" s="1"/>
      <c r="B51" s="247" t="s">
        <v>60</v>
      </c>
      <c r="C51" s="391" t="s">
        <v>61</v>
      </c>
      <c r="D51" s="45"/>
      <c r="E51" s="392"/>
      <c r="F51" s="1"/>
    </row>
    <row r="52" spans="1:6" ht="14.25" thickBot="1">
      <c r="A52" s="1"/>
      <c r="B52" s="247" t="s">
        <v>62</v>
      </c>
      <c r="C52" s="391" t="s">
        <v>63</v>
      </c>
      <c r="D52" s="391" t="s">
        <v>64</v>
      </c>
      <c r="E52" s="393" t="s">
        <v>65</v>
      </c>
      <c r="F52" s="1"/>
    </row>
    <row r="53" spans="1:6" ht="14.25" thickBot="1">
      <c r="A53" s="1"/>
      <c r="B53" s="247" t="s">
        <v>66</v>
      </c>
      <c r="C53" s="747" t="s">
        <v>67</v>
      </c>
      <c r="D53" s="747" t="s">
        <v>68</v>
      </c>
      <c r="E53" s="748" t="s">
        <v>69</v>
      </c>
      <c r="F53" s="1"/>
    </row>
    <row r="54" spans="1:6" ht="13.5">
      <c r="A54" s="1"/>
      <c r="B54" s="1"/>
      <c r="C54" s="1"/>
      <c r="D54" s="1"/>
      <c r="E54" s="1"/>
      <c r="F54" s="1"/>
    </row>
    <row r="55" spans="1:6" ht="13.5" hidden="1"/>
    <row r="56" spans="1:6" ht="13.5" hidden="1"/>
    <row r="57" spans="1:6" ht="13.5" hidden="1"/>
    <row r="58" spans="1:6" ht="13.5" hidden="1"/>
    <row r="59" spans="1:6" ht="13.5" hidden="1"/>
    <row r="60" spans="1:6" ht="13.5" hidden="1"/>
    <row r="61" spans="1:6" ht="13.5" hidden="1"/>
    <row r="62" spans="1:6" ht="13.5" hidden="1"/>
    <row r="63" spans="1:6" ht="13.5" hidden="1"/>
    <row r="64" spans="1:6" ht="13.5" hidden="1"/>
    <row r="65" ht="13.5" hidden="1"/>
    <row r="66" ht="13.5" hidden="1"/>
    <row r="67" ht="13.5" hidden="1"/>
    <row r="68" ht="13.5" hidden="1"/>
    <row r="69" ht="13.5" hidden="1"/>
    <row r="70" ht="13.5" hidden="1"/>
    <row r="71" ht="13.5" hidden="1"/>
    <row r="72" ht="13.5" hidden="1"/>
    <row r="73" ht="13.5" hidden="1"/>
    <row r="74" ht="13.5" hidden="1"/>
    <row r="75" ht="13.5" hidden="1"/>
    <row r="76" ht="13.5" hidden="1"/>
    <row r="77" ht="13.5" hidden="1"/>
    <row r="78" ht="13.5" hidden="1"/>
    <row r="79" ht="13.5" hidden="1"/>
    <row r="80" ht="13.5" hidden="1"/>
    <row r="81" ht="13.5" hidden="1"/>
    <row r="82" ht="13.5" hidden="1"/>
    <row r="83" ht="13.5" hidden="1"/>
    <row r="84" ht="13.5" hidden="1"/>
    <row r="85" ht="13.5" hidden="1"/>
    <row r="86" ht="13.5" hidden="1"/>
    <row r="87" ht="13.5" hidden="1"/>
    <row r="88" ht="13.5" hidden="1"/>
    <row r="89" ht="13.5" hidden="1"/>
    <row r="90" ht="15" hidden="1" customHeight="1"/>
    <row r="91" ht="13.5" hidden="1"/>
  </sheetData>
  <sheetProtection algorithmName="SHA-512" hashValue="2A1PEyE02FiUnw/vbH4lk5ySGOdXorjuGQuT0H26HXY6QATzle7zn4D5uzszxgBVK+6rvEstXBannsdNVAE+fQ==" saltValue="7dz0PgBofvc23AEW4ccrHw==" spinCount="100000" sheet="1" formatCells="0"/>
  <mergeCells count="18">
    <mergeCell ref="C10:D10"/>
    <mergeCell ref="C11:D11"/>
    <mergeCell ref="C12:D12"/>
    <mergeCell ref="C13:D13"/>
    <mergeCell ref="C28:D28"/>
    <mergeCell ref="C29:D29"/>
    <mergeCell ref="C30:D30"/>
    <mergeCell ref="C31:D31"/>
    <mergeCell ref="C24:D24"/>
    <mergeCell ref="C25:D25"/>
    <mergeCell ref="C27:D27"/>
    <mergeCell ref="C26:D26"/>
    <mergeCell ref="C37:E37"/>
    <mergeCell ref="C38:E38"/>
    <mergeCell ref="C32:D32"/>
    <mergeCell ref="C33:D33"/>
    <mergeCell ref="C34:D34"/>
    <mergeCell ref="C35:D35"/>
  </mergeCells>
  <phoneticPr fontId="3"/>
  <conditionalFormatting sqref="E12 C12:C13 C15:D17 C19:D21 D23 C23:C25 C28:C35 C37:C38 C40">
    <cfRule type="cellIs" dxfId="136" priority="1" stopIfTrue="1" operator="equal">
      <formula>""</formula>
    </cfRule>
  </conditionalFormatting>
  <dataValidations disablePrompts="1" count="1">
    <dataValidation type="list" allowBlank="1" showInputMessage="1" showErrorMessage="1" sqref="E12" xr:uid="{00000000-0002-0000-0000-000000000000}">
      <formula1>"予定,竣工"</formula1>
    </dataValidation>
  </dataValidations>
  <hyperlinks>
    <hyperlink ref="C49" location="結果!A1" display="●表示" xr:uid="{00000000-0004-0000-0000-000000000000}"/>
    <hyperlink ref="C50" location="スコア!A1" display="●スコア" xr:uid="{00000000-0004-0000-0000-000001000000}"/>
    <hyperlink ref="C51" location="配慮!A1" display="●配慮" xr:uid="{00000000-0004-0000-0000-000002000000}"/>
    <hyperlink ref="D52" location="採点Q2!A1" display="●Ｑ２" xr:uid="{00000000-0004-0000-0000-000004000000}"/>
    <hyperlink ref="E52" location="採点Q3!A1" display="●Ｑ３" xr:uid="{00000000-0004-0000-0000-000005000000}"/>
    <hyperlink ref="C52" location="採点Q1!A1" display="●Ｑ１" xr:uid="{00000000-0004-0000-0000-000006000000}"/>
    <hyperlink ref="D53:E53" location="採点LR1!A1" display="●Ｌ1" xr:uid="{D467D929-B1CA-4FCF-85B9-57BA824BC437}"/>
    <hyperlink ref="C53" location="採点LR1!A1" display="●ＬＲ１" xr:uid="{00000000-0004-0000-0000-000003000000}"/>
    <hyperlink ref="D53" location="採点LR2!A1" display="●ＬＲ２" xr:uid="{86B53D37-5E24-4FDA-BE54-EAE13FBA0E3E}"/>
    <hyperlink ref="E53" location="採点LR3!A1" display="●ＬＲ３" xr:uid="{DD58555A-653C-4DF5-B109-E225A76D324D}"/>
  </hyperlinks>
  <printOptions horizontalCentered="1"/>
  <pageMargins left="1.1811023622047245" right="0.98425196850393704" top="0.78740157480314965" bottom="0.78740157480314965" header="0.51181102362204722" footer="0.51181102362204722"/>
  <pageSetup paperSize="9" scale="86" orientation="portrait" horizontalDpi="4294967293" verticalDpi="4294967293" r:id="rId1"/>
  <headerFooter alignWithMargins="0"/>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3B08-C4BB-442C-9827-6DEE8C225D95}">
  <sheetPr>
    <pageSetUpPr fitToPage="1"/>
  </sheetPr>
  <dimension ref="A1:AZ214"/>
  <sheetViews>
    <sheetView showGridLines="0" zoomScaleNormal="100" workbookViewId="0">
      <selection activeCell="M15" sqref="M15"/>
    </sheetView>
  </sheetViews>
  <sheetFormatPr defaultColWidth="9" defaultRowHeight="13.9" customHeight="1"/>
  <cols>
    <col min="1" max="1" width="0.75" style="62" customWidth="1"/>
    <col min="2" max="2" width="2.125" style="85" customWidth="1"/>
    <col min="3" max="3" width="15.875" style="85" customWidth="1"/>
    <col min="4" max="4" width="5.375" style="86" customWidth="1"/>
    <col min="5" max="5" width="9.75" style="83" customWidth="1"/>
    <col min="6" max="6" width="6.25" style="65" customWidth="1"/>
    <col min="7" max="7" width="7" style="65" customWidth="1"/>
    <col min="8" max="9" width="11" style="65" customWidth="1"/>
    <col min="10" max="11" width="11" style="81" customWidth="1"/>
    <col min="12" max="12" width="11.875" style="65" customWidth="1"/>
    <col min="13" max="13" width="11.75" style="63" customWidth="1"/>
    <col min="14" max="14" width="8.625" style="63" customWidth="1"/>
    <col min="15" max="15" width="11.5" style="63" customWidth="1"/>
    <col min="16" max="16" width="0.75" style="62" customWidth="1"/>
    <col min="17" max="17" width="4.375" style="62" customWidth="1"/>
    <col min="18" max="18" width="10.5" style="59" hidden="1" customWidth="1"/>
    <col min="19" max="19" width="10.5" style="642" hidden="1" customWidth="1"/>
    <col min="20" max="24" width="10.5" style="59" hidden="1" customWidth="1"/>
    <col min="25" max="25" width="20.625" style="59" hidden="1" customWidth="1"/>
    <col min="26" max="26" width="19.625" style="59" hidden="1" customWidth="1"/>
    <col min="27" max="29" width="5" style="59" hidden="1" customWidth="1"/>
    <col min="30" max="30" width="8.5" style="59" hidden="1" customWidth="1"/>
    <col min="31" max="31" width="5.5" style="59" hidden="1" customWidth="1"/>
    <col min="32" max="32" width="22.875" style="59" hidden="1" customWidth="1"/>
    <col min="33" max="33" width="14.875" style="59" hidden="1" customWidth="1"/>
    <col min="34" max="34" width="5.625" style="59" hidden="1" customWidth="1"/>
    <col min="35" max="35" width="6.125" style="59" hidden="1" customWidth="1"/>
    <col min="36" max="37" width="5.625" style="59" hidden="1" customWidth="1"/>
    <col min="38" max="38" width="8.75" style="59" hidden="1" customWidth="1"/>
    <col min="39" max="39" width="14.75" style="59" hidden="1" customWidth="1"/>
    <col min="40" max="44" width="8.75" style="59" hidden="1" customWidth="1"/>
    <col min="45" max="45" width="19.75" style="59" hidden="1" customWidth="1"/>
    <col min="46" max="47" width="16.75" style="59" hidden="1" customWidth="1"/>
    <col min="48" max="48" width="14.75" style="59" hidden="1" customWidth="1"/>
    <col min="49" max="50" width="9" style="59" customWidth="1"/>
    <col min="51" max="53" width="14.75" style="59" customWidth="1"/>
    <col min="54" max="57" width="9" style="59" customWidth="1"/>
    <col min="58" max="16384" width="9" style="59"/>
  </cols>
  <sheetData>
    <row r="1" spans="2:43" customFormat="1" ht="13.9" customHeight="1" thickBot="1"/>
    <row r="2" spans="2:43" ht="13.9" customHeight="1" thickTop="1">
      <c r="B2"/>
      <c r="C2"/>
      <c r="D2"/>
      <c r="E2"/>
      <c r="F2"/>
      <c r="G2"/>
      <c r="H2"/>
      <c r="I2"/>
      <c r="J2"/>
      <c r="K2"/>
      <c r="L2"/>
      <c r="M2"/>
      <c r="N2"/>
      <c r="O2"/>
      <c r="Q2" s="1289" t="s">
        <v>70</v>
      </c>
      <c r="S2" s="59"/>
    </row>
    <row r="3" spans="2:43" ht="13.9" customHeight="1">
      <c r="B3"/>
      <c r="C3"/>
      <c r="D3"/>
      <c r="E3"/>
      <c r="F3"/>
      <c r="G3"/>
      <c r="H3"/>
      <c r="I3"/>
      <c r="J3"/>
      <c r="K3"/>
      <c r="L3"/>
      <c r="M3"/>
      <c r="N3"/>
      <c r="O3"/>
      <c r="Q3" s="1290"/>
      <c r="S3" s="59"/>
    </row>
    <row r="4" spans="2:43" ht="13.9" customHeight="1">
      <c r="B4"/>
      <c r="C4"/>
      <c r="D4"/>
      <c r="E4"/>
      <c r="F4"/>
      <c r="G4"/>
      <c r="H4"/>
      <c r="I4"/>
      <c r="J4"/>
      <c r="K4"/>
      <c r="L4"/>
      <c r="M4"/>
      <c r="N4"/>
      <c r="O4"/>
      <c r="Q4" s="1290"/>
      <c r="S4" s="59"/>
    </row>
    <row r="5" spans="2:43" ht="13.9" customHeight="1" thickBot="1">
      <c r="B5" s="548"/>
      <c r="C5" s="549"/>
      <c r="D5" s="546"/>
      <c r="E5" s="547"/>
      <c r="F5" s="169"/>
      <c r="G5" s="169"/>
      <c r="H5" s="169"/>
      <c r="I5" s="169"/>
      <c r="J5" s="321" t="s">
        <v>1043</v>
      </c>
      <c r="K5" s="322" t="str">
        <f>メイン!C6</f>
        <v>CASBEE-街区（2023年版）</v>
      </c>
      <c r="L5" s="55"/>
      <c r="M5" s="321"/>
      <c r="N5" s="319"/>
      <c r="O5" s="323" t="str">
        <f>メイン!C5</f>
        <v>CASBEE-UD_2023版(v.1.0)</v>
      </c>
      <c r="Q5" s="1291"/>
      <c r="R5" s="551" t="s">
        <v>74</v>
      </c>
      <c r="S5" s="59"/>
      <c r="U5" s="551" t="s">
        <v>75</v>
      </c>
    </row>
    <row r="6" spans="2:43" ht="5.45" customHeight="1" thickTop="1" thickBot="1">
      <c r="B6" s="552"/>
      <c r="J6" s="553"/>
      <c r="K6" s="553"/>
      <c r="L6" s="554"/>
      <c r="M6" s="83"/>
      <c r="N6" s="83"/>
      <c r="O6" s="83"/>
      <c r="S6" s="59"/>
    </row>
    <row r="7" spans="2:43" ht="15" customHeight="1" thickBot="1">
      <c r="B7" s="160" t="s">
        <v>1044</v>
      </c>
      <c r="C7" s="111"/>
      <c r="D7" s="112"/>
      <c r="E7" s="111"/>
      <c r="F7" s="111"/>
      <c r="G7" s="111"/>
      <c r="H7" s="111"/>
      <c r="I7" s="111"/>
      <c r="J7" s="111"/>
      <c r="K7" s="111"/>
      <c r="L7" s="220" t="s">
        <v>73</v>
      </c>
      <c r="M7" s="60"/>
      <c r="N7" s="60"/>
      <c r="O7" s="61"/>
      <c r="R7" s="555" t="s">
        <v>78</v>
      </c>
      <c r="S7" s="706">
        <f>スコア!V7</f>
        <v>3.0723104056437389</v>
      </c>
      <c r="U7" s="339"/>
      <c r="V7" s="339" t="s">
        <v>79</v>
      </c>
      <c r="W7" s="339" t="s">
        <v>173</v>
      </c>
      <c r="X7" s="339">
        <v>4</v>
      </c>
      <c r="Y7" s="339">
        <v>2</v>
      </c>
      <c r="Z7" s="339" t="s">
        <v>144</v>
      </c>
      <c r="AA7" s="555" t="s">
        <v>174</v>
      </c>
    </row>
    <row r="8" spans="2:43" ht="15" customHeight="1">
      <c r="B8" s="161" t="s">
        <v>1045</v>
      </c>
      <c r="C8" s="202"/>
      <c r="D8" s="425" t="str">
        <f>IF(メイン!C10="","",メイン!C10)</f>
        <v>Aプロジェクト</v>
      </c>
      <c r="E8" s="162"/>
      <c r="F8" s="162"/>
      <c r="G8" s="201"/>
      <c r="H8" s="255" t="s">
        <v>77</v>
      </c>
      <c r="I8" s="809"/>
      <c r="J8" s="765" t="str">
        <f>IF(メイン!C26="","",メイン!C26)</f>
        <v>第一種市街地再開発事業</v>
      </c>
      <c r="K8" s="766"/>
      <c r="L8" s="290"/>
      <c r="M8" s="290"/>
      <c r="N8" s="290"/>
      <c r="O8" s="291"/>
      <c r="R8" s="555" t="s">
        <v>175</v>
      </c>
      <c r="S8" s="706">
        <f>スコア!V99</f>
        <v>2.9012345679012341</v>
      </c>
      <c r="U8" s="339" t="s">
        <v>84</v>
      </c>
      <c r="V8" s="339" t="str">
        <f>スコア!B41</f>
        <v>Q-2 社会</v>
      </c>
      <c r="W8" s="339">
        <v>5</v>
      </c>
      <c r="X8" s="339">
        <v>4</v>
      </c>
      <c r="Y8" s="339">
        <v>2</v>
      </c>
      <c r="Z8" s="339">
        <f>V46</f>
        <v>3</v>
      </c>
      <c r="AA8" s="555">
        <v>3</v>
      </c>
    </row>
    <row r="9" spans="2:43" ht="15" customHeight="1">
      <c r="B9" s="20" t="s">
        <v>81</v>
      </c>
      <c r="C9" s="203"/>
      <c r="D9" s="426" t="str">
        <f>IF(メイン!C11="","",メイン!C11)</f>
        <v>東京都千代田区</v>
      </c>
      <c r="E9" s="19"/>
      <c r="F9" s="21"/>
      <c r="G9" s="124"/>
      <c r="H9" s="67" t="s">
        <v>82</v>
      </c>
      <c r="I9" s="810"/>
      <c r="J9" s="811" t="str">
        <f>ROUND(メイン!C28,0)&amp;"%  ／ "&amp;ROUND(メイン!C29,0)&amp;"%"</f>
        <v>100%  ／ 760%</v>
      </c>
      <c r="K9" s="812"/>
      <c r="L9" s="282"/>
      <c r="M9" s="282"/>
      <c r="N9" s="282"/>
      <c r="O9" s="283"/>
      <c r="R9" s="452" t="s">
        <v>89</v>
      </c>
      <c r="S9" s="452">
        <f>25*(S7-1)</f>
        <v>51.807760141093475</v>
      </c>
      <c r="U9" s="339" t="s">
        <v>90</v>
      </c>
      <c r="V9" s="339" t="str">
        <f>スコア!B74</f>
        <v>Q-3 経済</v>
      </c>
      <c r="W9" s="339">
        <v>5</v>
      </c>
      <c r="X9" s="339">
        <v>4</v>
      </c>
      <c r="Y9" s="339">
        <v>2</v>
      </c>
      <c r="Z9" s="339">
        <f>Y46</f>
        <v>3.1</v>
      </c>
      <c r="AA9" s="555">
        <v>3</v>
      </c>
    </row>
    <row r="10" spans="2:43" ht="15" customHeight="1">
      <c r="B10" s="20" t="s">
        <v>1046</v>
      </c>
      <c r="C10" s="203"/>
      <c r="D10" s="270">
        <f>IF(メイン!C30="","",メイン!C30)</f>
        <v>5</v>
      </c>
      <c r="E10" s="427" t="s">
        <v>87</v>
      </c>
      <c r="F10" s="59"/>
      <c r="G10" s="59"/>
      <c r="H10" s="209" t="s">
        <v>88</v>
      </c>
      <c r="I10" s="813"/>
      <c r="J10" s="814" t="str">
        <f>メイン!C31&amp;"ha"</f>
        <v>2.5ha</v>
      </c>
      <c r="K10" s="815"/>
      <c r="L10" s="282"/>
      <c r="M10" s="282"/>
      <c r="N10" s="282"/>
      <c r="O10" s="283"/>
      <c r="R10" s="452" t="s">
        <v>94</v>
      </c>
      <c r="S10" s="452">
        <f>25*(5-S8)</f>
        <v>52.469135802469147</v>
      </c>
      <c r="U10" s="339" t="s">
        <v>176</v>
      </c>
      <c r="V10" s="339" t="str">
        <f>スコア!B127</f>
        <v>LR-3 周辺環境</v>
      </c>
      <c r="W10" s="339">
        <v>5</v>
      </c>
      <c r="X10" s="339">
        <v>4</v>
      </c>
      <c r="Y10" s="339">
        <v>2</v>
      </c>
      <c r="Z10" s="339">
        <f>Y57</f>
        <v>2.6</v>
      </c>
      <c r="AA10" s="555">
        <v>3</v>
      </c>
    </row>
    <row r="11" spans="2:43" ht="15" customHeight="1">
      <c r="B11" s="20" t="s">
        <v>92</v>
      </c>
      <c r="C11" s="204"/>
      <c r="D11" s="1299">
        <f>IF(メイン!C12="","",メイン!C12)</f>
        <v>45292</v>
      </c>
      <c r="E11" s="1300"/>
      <c r="F11" s="137">
        <f>メイン!E13</f>
        <v>0</v>
      </c>
      <c r="G11" s="210"/>
      <c r="H11" s="209" t="s">
        <v>93</v>
      </c>
      <c r="I11" s="813"/>
      <c r="J11" s="816" t="str">
        <f>ROUND(メイン!C32,0)&amp;"㎡  ／ "&amp;ROUND(メイン!C33,0)&amp;"%"</f>
        <v>16000㎡  ／ 64%</v>
      </c>
      <c r="K11" s="817"/>
      <c r="L11" s="282"/>
      <c r="M11" s="282"/>
      <c r="N11" s="282"/>
      <c r="O11" s="283"/>
      <c r="R11" s="452" t="s">
        <v>100</v>
      </c>
      <c r="S11" s="452">
        <f>S9/S10</f>
        <v>0.9873949579831931</v>
      </c>
      <c r="U11" s="339" t="s">
        <v>177</v>
      </c>
      <c r="V11" s="339" t="str">
        <f>スコア!B107</f>
        <v>LR-2 資源</v>
      </c>
      <c r="W11" s="339">
        <v>5</v>
      </c>
      <c r="X11" s="339">
        <v>4</v>
      </c>
      <c r="Y11" s="339">
        <v>2</v>
      </c>
      <c r="Z11" s="339">
        <f>V57</f>
        <v>3</v>
      </c>
      <c r="AA11" s="555">
        <v>3</v>
      </c>
      <c r="AQ11" s="818"/>
    </row>
    <row r="12" spans="2:43" ht="15" customHeight="1">
      <c r="B12" s="20" t="s">
        <v>97</v>
      </c>
      <c r="C12" s="204"/>
      <c r="D12" s="424" t="s">
        <v>98</v>
      </c>
      <c r="E12" s="256" t="str">
        <f>IF(メイン!C15=0,"",メイン!C15)</f>
        <v>商業地域、防火地域</v>
      </c>
      <c r="F12" s="256"/>
      <c r="G12" s="264"/>
      <c r="H12" s="258" t="s">
        <v>99</v>
      </c>
      <c r="I12" s="819"/>
      <c r="J12" s="820" t="str">
        <f>ROUND(メイン!C34,0)&amp;"㎡  ／ "&amp;ROUND(メイン!C35,0)&amp;"%"</f>
        <v>200000㎡  ／ 800%</v>
      </c>
      <c r="K12" s="821"/>
      <c r="L12" s="282"/>
      <c r="M12" s="282"/>
      <c r="N12" s="282"/>
      <c r="O12" s="283"/>
      <c r="R12" s="452" t="s">
        <v>106</v>
      </c>
      <c r="S12" s="559">
        <f>ROUNDDOWN(S11,1)</f>
        <v>0.9</v>
      </c>
      <c r="U12" s="339" t="s">
        <v>178</v>
      </c>
      <c r="V12" s="339" t="str">
        <f>スコア!B100</f>
        <v>LR-1 エネルギー</v>
      </c>
      <c r="W12" s="339">
        <v>5</v>
      </c>
      <c r="X12" s="339">
        <v>4</v>
      </c>
      <c r="Y12" s="339">
        <v>2</v>
      </c>
      <c r="Z12" s="339">
        <f>S57</f>
        <v>3</v>
      </c>
      <c r="AA12" s="555">
        <v>3</v>
      </c>
    </row>
    <row r="13" spans="2:43" ht="15" customHeight="1">
      <c r="B13" s="710" t="s">
        <v>103</v>
      </c>
      <c r="C13" s="265"/>
      <c r="D13" s="300" t="str">
        <f>"（ "&amp;ROUND(メイン!$C$16,0)&amp;"%　／　"&amp;ROUND(メイン!$C$17,0)&amp;"% ）"</f>
        <v>（ 80%　／　800% ）</v>
      </c>
      <c r="E13" s="21"/>
      <c r="F13" s="268"/>
      <c r="G13" s="269"/>
      <c r="H13" s="209" t="s">
        <v>104</v>
      </c>
      <c r="I13" s="813"/>
      <c r="J13" s="992" t="str">
        <f>メイン!C40</f>
        <v>2023/X/X</v>
      </c>
      <c r="K13" s="767"/>
      <c r="L13" s="282"/>
      <c r="M13" s="285" t="s">
        <v>105</v>
      </c>
      <c r="N13" s="282"/>
      <c r="O13" s="283"/>
      <c r="R13" s="452" t="s">
        <v>110</v>
      </c>
      <c r="S13" s="560">
        <f>IF(AND($S$9&gt;=50,$S$11&gt;=3),1,IF(S12&lt;0.5,1,IF(S12&lt;1,2,IF(S12&lt;1.5,3,IF(S12&lt;3,4,4))))/5)</f>
        <v>0.4</v>
      </c>
      <c r="U13" s="339" t="s">
        <v>101</v>
      </c>
      <c r="V13" s="339" t="str">
        <f>スコア!B8</f>
        <v>Q-1 環境</v>
      </c>
      <c r="W13" s="339">
        <v>5</v>
      </c>
      <c r="X13" s="339">
        <v>4</v>
      </c>
      <c r="Y13" s="339">
        <v>2</v>
      </c>
      <c r="Z13" s="339">
        <f>IF(S46=0,1,S46)</f>
        <v>3</v>
      </c>
      <c r="AA13" s="555">
        <v>3</v>
      </c>
    </row>
    <row r="14" spans="2:43" ht="15" customHeight="1">
      <c r="B14" s="123"/>
      <c r="C14" s="205"/>
      <c r="D14" s="424" t="s">
        <v>107</v>
      </c>
      <c r="E14" s="256" t="str">
        <f>IF(メイン!D15=0,"",メイン!D15)</f>
        <v/>
      </c>
      <c r="F14" s="159"/>
      <c r="G14" s="274"/>
      <c r="H14" s="20" t="s">
        <v>108</v>
      </c>
      <c r="I14" s="822"/>
      <c r="J14" s="823" t="str">
        <f>IF(メイン!C42="","","(1)　 "&amp;メイン!C42)</f>
        <v>(1)　 ■■　■■</v>
      </c>
      <c r="K14" s="824"/>
      <c r="L14" s="282"/>
      <c r="M14" s="285"/>
      <c r="N14" s="282"/>
      <c r="O14" s="283"/>
      <c r="R14" s="452" t="s">
        <v>113</v>
      </c>
      <c r="S14" s="561">
        <f>1-S13</f>
        <v>0.6</v>
      </c>
    </row>
    <row r="15" spans="2:43" ht="15" customHeight="1">
      <c r="B15" s="123"/>
      <c r="C15" s="205"/>
      <c r="D15" s="300" t="str">
        <f>"（ "&amp;ROUND(メイン!$D$16,0)&amp;"%　／　"&amp;ROUND(メイン!$D$17,0)&amp;"% ）"</f>
        <v>（ 0%　／　0% ）</v>
      </c>
      <c r="E15" s="21"/>
      <c r="F15" s="268"/>
      <c r="G15" s="269"/>
      <c r="H15" s="59"/>
      <c r="I15" s="59"/>
      <c r="J15" s="823" t="str">
        <f>IF(メイン!D42="","","(2)　 "&amp;メイン!D42)</f>
        <v>(2)　 ■■　■■</v>
      </c>
      <c r="K15" s="824"/>
      <c r="L15" s="282"/>
      <c r="M15" s="286" t="s">
        <v>109</v>
      </c>
      <c r="N15" s="282"/>
      <c r="O15" s="283"/>
      <c r="S15" s="59"/>
    </row>
    <row r="16" spans="2:43" ht="15" customHeight="1">
      <c r="B16" s="123"/>
      <c r="C16" s="205"/>
      <c r="D16" s="424" t="s">
        <v>111</v>
      </c>
      <c r="E16" s="256" t="str">
        <f>IF(メイン!C19=0,"",メイン!C19)</f>
        <v/>
      </c>
      <c r="F16" s="159"/>
      <c r="G16" s="274"/>
      <c r="H16" s="209"/>
      <c r="I16" s="813"/>
      <c r="J16" s="823" t="str">
        <f>IF(メイン!E42="","","(3)　 "&amp;メイン!E42)</f>
        <v>(3)　 ■■　■■</v>
      </c>
      <c r="K16" s="824"/>
      <c r="L16" s="282"/>
      <c r="M16" s="286" t="s">
        <v>112</v>
      </c>
      <c r="N16" s="282"/>
      <c r="O16" s="283"/>
      <c r="S16" s="59"/>
      <c r="V16" s="62"/>
      <c r="Z16" s="62"/>
    </row>
    <row r="17" spans="2:50" ht="15" customHeight="1">
      <c r="B17" s="67"/>
      <c r="C17" s="206"/>
      <c r="D17" s="300" t="str">
        <f>"（ "&amp;ROUND(メイン!$C$20,0)&amp;"%　／　"&amp;ROUND(メイン!$C$21,0)&amp;"% ）"</f>
        <v>（ 0%　／　0% ）</v>
      </c>
      <c r="E17" s="21"/>
      <c r="F17" s="268"/>
      <c r="G17" s="269"/>
      <c r="H17" s="211"/>
      <c r="I17" s="825"/>
      <c r="J17" s="823" t="str">
        <f>IF(メイン!C44="","","(4)　 "&amp;メイン!C44)</f>
        <v>(4)　 ■■　■■</v>
      </c>
      <c r="K17" s="824"/>
      <c r="L17" s="282"/>
      <c r="M17" s="282"/>
      <c r="N17" s="282"/>
      <c r="O17" s="283"/>
      <c r="S17" s="59"/>
      <c r="T17" s="62"/>
      <c r="U17" s="140"/>
      <c r="V17" s="62"/>
      <c r="W17" s="62"/>
      <c r="X17" s="62"/>
      <c r="Y17" s="62"/>
      <c r="Z17" s="62"/>
      <c r="AA17" s="62"/>
      <c r="AB17" s="62"/>
      <c r="AC17" s="62"/>
      <c r="AD17" s="62"/>
      <c r="AE17" s="62"/>
      <c r="AW17" s="826"/>
      <c r="AX17" s="826"/>
    </row>
    <row r="18" spans="2:50" ht="15" customHeight="1">
      <c r="B18" s="20"/>
      <c r="C18" s="207"/>
      <c r="D18" s="424" t="s">
        <v>114</v>
      </c>
      <c r="E18" s="256" t="str">
        <f>IF(メイン!D19=0,"",メイン!D19)</f>
        <v/>
      </c>
      <c r="F18" s="159"/>
      <c r="G18" s="274"/>
      <c r="H18" s="59"/>
      <c r="I18" s="59"/>
      <c r="J18" s="823" t="str">
        <f>IF(メイン!D44="","","(5)　 "&amp;メイン!D44)</f>
        <v>(5)　 ■■　■■</v>
      </c>
      <c r="K18" s="824"/>
      <c r="L18" s="282"/>
      <c r="M18" s="282"/>
      <c r="N18" s="282"/>
      <c r="O18" s="283"/>
      <c r="R18" s="62"/>
      <c r="S18" s="62"/>
      <c r="T18" s="62"/>
      <c r="U18" s="62"/>
      <c r="V18" s="62"/>
      <c r="W18" s="62"/>
      <c r="X18" s="62"/>
      <c r="Y18" s="62"/>
      <c r="Z18" s="62"/>
      <c r="AA18" s="62"/>
      <c r="AB18" s="62"/>
      <c r="AC18" s="62"/>
      <c r="AD18" s="62"/>
      <c r="AE18" s="62"/>
      <c r="AW18" s="826"/>
      <c r="AX18" s="826"/>
    </row>
    <row r="19" spans="2:50" ht="15" customHeight="1">
      <c r="B19" s="200"/>
      <c r="C19" s="208"/>
      <c r="D19" s="300" t="str">
        <f>"（ "&amp;ROUND(メイン!$D$20,0)&amp;"%　／　"&amp;ROUND(メイン!$D$21,0)&amp;"% ）"</f>
        <v>（ 0%　／　0% ）</v>
      </c>
      <c r="E19" s="21"/>
      <c r="F19" s="268"/>
      <c r="G19" s="269"/>
      <c r="H19" s="214"/>
      <c r="I19" s="827"/>
      <c r="J19" s="828" t="str">
        <f>IF(メイン!E44="","","(6)　 "&amp;メイン!E44)</f>
        <v>(6)　 ■■　■■</v>
      </c>
      <c r="K19" s="829"/>
      <c r="L19" s="292"/>
      <c r="M19" s="293"/>
      <c r="N19" s="294"/>
      <c r="O19" s="295"/>
      <c r="R19" s="300"/>
      <c r="S19" s="427"/>
      <c r="T19" s="62"/>
      <c r="U19" s="62"/>
      <c r="V19" s="427"/>
      <c r="W19" s="63"/>
      <c r="X19" s="62"/>
      <c r="Y19" s="62"/>
      <c r="Z19" s="62"/>
      <c r="AA19" s="62"/>
      <c r="AB19" s="62"/>
      <c r="AC19" s="62"/>
      <c r="AD19" s="62"/>
      <c r="AE19" s="62"/>
      <c r="AW19" s="826"/>
      <c r="AX19" s="826"/>
    </row>
    <row r="20" spans="2:50" ht="15" customHeight="1">
      <c r="B20" s="271" t="s">
        <v>115</v>
      </c>
      <c r="C20" s="272"/>
      <c r="D20" s="300" t="str">
        <f>ROUND(メイン!C24,0)&amp;"%  ／ "&amp;ROUND(メイン!C25,0)&amp;"%"</f>
        <v>70%  ／ 445%</v>
      </c>
      <c r="E20" s="428"/>
      <c r="F20" s="129"/>
      <c r="G20" s="129"/>
      <c r="H20" s="214" t="s">
        <v>116</v>
      </c>
      <c r="I20" s="827"/>
      <c r="J20" s="422" t="str">
        <f>メイン!C45</f>
        <v>2023/X/X</v>
      </c>
      <c r="K20" s="768"/>
      <c r="L20" s="292"/>
      <c r="M20" s="293"/>
      <c r="N20" s="294"/>
      <c r="O20" s="295"/>
      <c r="R20" s="300"/>
      <c r="S20" s="427"/>
      <c r="T20" s="62"/>
      <c r="U20" s="62"/>
      <c r="V20" s="427"/>
      <c r="W20" s="63"/>
      <c r="X20" s="62"/>
      <c r="Y20" s="62"/>
      <c r="Z20" s="62"/>
      <c r="AA20" s="62"/>
      <c r="AB20" s="62"/>
      <c r="AC20" s="62"/>
      <c r="AD20" s="62"/>
      <c r="AE20" s="62"/>
      <c r="AW20" s="826"/>
      <c r="AX20" s="826"/>
    </row>
    <row r="21" spans="2:50" ht="15" customHeight="1" thickBot="1">
      <c r="B21" s="260"/>
      <c r="C21" s="261"/>
      <c r="D21" s="419"/>
      <c r="E21" s="417"/>
      <c r="F21" s="416"/>
      <c r="G21" s="418"/>
      <c r="H21" s="221" t="s">
        <v>119</v>
      </c>
      <c r="I21" s="830"/>
      <c r="J21" s="423" t="str">
        <f>メイン!C46</f>
        <v>□□　□□</v>
      </c>
      <c r="K21" s="769"/>
      <c r="L21" s="296"/>
      <c r="M21" s="297"/>
      <c r="N21" s="298"/>
      <c r="O21" s="299"/>
      <c r="R21" s="300"/>
      <c r="S21" s="427"/>
      <c r="T21" s="62"/>
      <c r="U21" s="62"/>
      <c r="V21" s="427"/>
      <c r="W21" s="63"/>
      <c r="X21" s="62"/>
      <c r="Y21" s="62"/>
      <c r="Z21" s="62"/>
      <c r="AA21" s="62"/>
      <c r="AB21" s="62"/>
      <c r="AC21" s="62"/>
      <c r="AD21" s="62"/>
      <c r="AE21" s="62"/>
      <c r="AW21" s="826"/>
      <c r="AX21" s="826"/>
    </row>
    <row r="22" spans="2:50" ht="5.45" customHeight="1" thickBot="1">
      <c r="B22" s="563"/>
      <c r="C22" s="564"/>
      <c r="D22" s="563"/>
      <c r="E22" s="565"/>
      <c r="F22" s="565"/>
      <c r="G22" s="565"/>
      <c r="H22" s="565"/>
      <c r="I22" s="565"/>
      <c r="J22" s="567"/>
      <c r="K22" s="567"/>
      <c r="L22" s="565"/>
      <c r="M22" s="565"/>
      <c r="N22" s="565"/>
      <c r="O22" s="565"/>
      <c r="R22" s="300"/>
      <c r="S22" s="427"/>
      <c r="T22" s="62"/>
      <c r="U22" s="62"/>
      <c r="V22" s="427"/>
      <c r="W22" s="63"/>
      <c r="X22" s="62"/>
      <c r="Y22" s="62"/>
      <c r="Z22" s="62"/>
      <c r="AA22" s="62"/>
      <c r="AB22" s="62"/>
      <c r="AC22" s="62"/>
      <c r="AD22" s="62"/>
      <c r="AE22" s="62"/>
      <c r="AW22" s="826"/>
      <c r="AX22" s="826"/>
    </row>
    <row r="23" spans="2:50" ht="15" customHeight="1" thickBot="1">
      <c r="B23" s="103" t="s">
        <v>1047</v>
      </c>
      <c r="C23" s="177"/>
      <c r="D23" s="262"/>
      <c r="E23" s="263"/>
      <c r="F23" s="263"/>
      <c r="G23" s="263"/>
      <c r="H23" s="569" t="s">
        <v>825</v>
      </c>
      <c r="I23" s="831"/>
      <c r="J23" s="178"/>
      <c r="K23" s="178"/>
      <c r="L23" s="1332" t="s">
        <v>180</v>
      </c>
      <c r="M23" s="1333"/>
      <c r="N23" s="1333"/>
      <c r="O23" s="1334"/>
      <c r="R23" s="452" t="s">
        <v>181</v>
      </c>
      <c r="S23" s="556" t="s">
        <v>125</v>
      </c>
      <c r="T23" s="556" t="s">
        <v>80</v>
      </c>
      <c r="U23" s="556" t="s">
        <v>126</v>
      </c>
      <c r="AB23" s="62"/>
      <c r="AC23" s="62"/>
      <c r="AD23" s="62"/>
      <c r="AE23" s="62"/>
      <c r="AW23" s="826"/>
      <c r="AX23" s="826"/>
    </row>
    <row r="24" spans="2:50" ht="15" customHeight="1">
      <c r="B24" s="123"/>
      <c r="C24" s="59"/>
      <c r="D24" s="59"/>
      <c r="E24" s="59"/>
      <c r="F24" s="59"/>
      <c r="G24" s="565"/>
      <c r="H24" s="570"/>
      <c r="I24" s="571"/>
      <c r="J24" s="565"/>
      <c r="K24" s="201"/>
      <c r="L24" s="59"/>
      <c r="M24" s="59"/>
      <c r="N24" s="59"/>
      <c r="O24" s="124"/>
      <c r="P24" s="123"/>
      <c r="Q24" s="59"/>
      <c r="R24" s="452" t="s">
        <v>130</v>
      </c>
      <c r="S24" s="557"/>
      <c r="T24" s="573">
        <f>S10</f>
        <v>52.469135802469147</v>
      </c>
      <c r="U24" s="557">
        <v>0</v>
      </c>
      <c r="V24" s="62"/>
      <c r="W24" s="556" t="s">
        <v>127</v>
      </c>
      <c r="X24" s="556"/>
      <c r="Y24" s="62"/>
      <c r="Z24" s="556" t="s">
        <v>128</v>
      </c>
      <c r="AA24" s="556"/>
      <c r="AB24" s="62"/>
      <c r="AC24" s="62"/>
      <c r="AD24" s="62"/>
      <c r="AE24" s="62"/>
      <c r="AF24" s="1271" t="s">
        <v>182</v>
      </c>
      <c r="AG24" s="1272"/>
      <c r="AH24" s="1273"/>
      <c r="AI24" s="651">
        <v>0.5</v>
      </c>
      <c r="AW24" s="826"/>
      <c r="AX24" s="826"/>
    </row>
    <row r="25" spans="2:50" ht="15" customHeight="1">
      <c r="B25" s="574"/>
      <c r="C25" s="832">
        <f>S12</f>
        <v>0.9</v>
      </c>
      <c r="D25" s="59"/>
      <c r="E25" s="59"/>
      <c r="F25" s="59"/>
      <c r="G25" s="59"/>
      <c r="H25" s="576"/>
      <c r="I25" s="319"/>
      <c r="J25" s="577"/>
      <c r="K25" s="578"/>
      <c r="L25" s="515"/>
      <c r="M25" s="59"/>
      <c r="N25" s="59"/>
      <c r="O25" s="124"/>
      <c r="P25" s="123"/>
      <c r="Q25" s="59"/>
      <c r="R25" s="452" t="s">
        <v>131</v>
      </c>
      <c r="S25" s="557"/>
      <c r="T25" s="573">
        <f>S9</f>
        <v>51.807760141093475</v>
      </c>
      <c r="U25" s="557">
        <v>0</v>
      </c>
      <c r="V25" s="62"/>
      <c r="W25" s="557">
        <v>50</v>
      </c>
      <c r="X25" s="557">
        <v>50</v>
      </c>
      <c r="Y25" s="62"/>
      <c r="Z25" s="557">
        <v>0</v>
      </c>
      <c r="AA25" s="557">
        <v>100</v>
      </c>
      <c r="AB25" s="62"/>
      <c r="AC25" s="62"/>
      <c r="AD25" s="62"/>
      <c r="AE25" s="62"/>
      <c r="AF25" s="1271" t="s">
        <v>183</v>
      </c>
      <c r="AG25" s="1272"/>
      <c r="AH25" s="1273"/>
      <c r="AI25" s="650">
        <f>IF(AI24="N/A",0,IF(AI24=1,1,IF(AI24&lt;1.5,1,IF(AI24&lt;2.5,2,IF(AI24&lt;3.5,3,IF(AI24&lt;4.5,4,5)))))/5)</f>
        <v>0.2</v>
      </c>
      <c r="AR25" s="833"/>
      <c r="AW25" s="826"/>
      <c r="AX25" s="826"/>
    </row>
    <row r="26" spans="2:50" ht="10.15" customHeight="1">
      <c r="B26" s="123"/>
      <c r="C26" s="59"/>
      <c r="D26" s="59"/>
      <c r="E26" s="59"/>
      <c r="F26" s="59"/>
      <c r="G26" s="59"/>
      <c r="H26" s="576"/>
      <c r="I26" s="319"/>
      <c r="J26" s="577"/>
      <c r="K26" s="578"/>
      <c r="L26" s="515"/>
      <c r="M26" s="59"/>
      <c r="N26" s="59"/>
      <c r="O26" s="124"/>
      <c r="P26" s="123"/>
      <c r="Q26" s="59"/>
      <c r="R26" s="557">
        <v>0</v>
      </c>
      <c r="S26" s="556">
        <f>T24</f>
        <v>52.469135802469147</v>
      </c>
      <c r="T26" s="580">
        <f>T24</f>
        <v>52.469135802469147</v>
      </c>
      <c r="U26" s="556">
        <v>0.1</v>
      </c>
      <c r="V26" s="62"/>
      <c r="W26" s="557">
        <v>0</v>
      </c>
      <c r="X26" s="557">
        <v>100</v>
      </c>
      <c r="Y26" s="62"/>
      <c r="Z26" s="557">
        <v>50</v>
      </c>
      <c r="AA26" s="557">
        <v>50</v>
      </c>
      <c r="AB26" s="62"/>
      <c r="AC26" s="62"/>
      <c r="AD26" s="62"/>
      <c r="AE26" s="62"/>
      <c r="AF26" s="1274" t="s">
        <v>184</v>
      </c>
      <c r="AG26" s="1275"/>
      <c r="AH26" s="1276"/>
      <c r="AI26" s="650">
        <f>1-AI25</f>
        <v>0.8</v>
      </c>
      <c r="AW26" s="826"/>
      <c r="AX26" s="826"/>
    </row>
    <row r="27" spans="2:50" ht="13.15" customHeight="1">
      <c r="B27" s="581"/>
      <c r="C27" s="582"/>
      <c r="D27" s="582"/>
      <c r="E27" s="582"/>
      <c r="F27" s="582"/>
      <c r="G27" s="582"/>
      <c r="H27" s="834" t="s">
        <v>1048</v>
      </c>
      <c r="I27" s="835" t="s">
        <v>1049</v>
      </c>
      <c r="J27" s="835" t="s">
        <v>1050</v>
      </c>
      <c r="K27" s="836" t="s">
        <v>721</v>
      </c>
      <c r="L27" s="644"/>
      <c r="M27" s="644"/>
      <c r="N27" s="645"/>
      <c r="O27" s="646"/>
      <c r="P27" s="123"/>
      <c r="Q27" s="59"/>
      <c r="R27" s="557">
        <v>0</v>
      </c>
      <c r="S27" s="556">
        <v>0</v>
      </c>
      <c r="T27" s="556">
        <f>T25</f>
        <v>51.807760141093475</v>
      </c>
      <c r="U27" s="587">
        <f>T25</f>
        <v>51.807760141093475</v>
      </c>
      <c r="V27" s="62"/>
      <c r="W27" s="62"/>
      <c r="X27" s="62"/>
      <c r="Y27" s="62"/>
      <c r="Z27" s="62"/>
      <c r="AA27" s="62"/>
      <c r="AB27" s="62"/>
      <c r="AC27" s="62"/>
      <c r="AD27" s="62"/>
      <c r="AE27" s="62"/>
      <c r="AL27" s="780"/>
      <c r="AM27" s="780"/>
      <c r="AN27" s="780"/>
      <c r="AO27" s="780"/>
      <c r="AP27" s="780"/>
      <c r="AQ27" s="780"/>
      <c r="AR27" s="780"/>
      <c r="AS27" s="780"/>
      <c r="AT27" s="780"/>
      <c r="AU27" s="780"/>
      <c r="AV27" s="780"/>
    </row>
    <row r="28" spans="2:50" ht="12.95" customHeight="1">
      <c r="B28" s="123"/>
      <c r="C28" s="59"/>
      <c r="D28" s="59"/>
      <c r="E28" s="59"/>
      <c r="F28" s="59"/>
      <c r="G28" s="644"/>
      <c r="H28" s="837" t="s">
        <v>1051</v>
      </c>
      <c r="I28" s="838" t="s">
        <v>1052</v>
      </c>
      <c r="J28" s="1337" t="s">
        <v>1053</v>
      </c>
      <c r="K28" s="1340" t="s">
        <v>1054</v>
      </c>
      <c r="L28" s="59"/>
      <c r="M28" s="59"/>
      <c r="N28" s="59"/>
      <c r="O28" s="124"/>
      <c r="P28" s="123"/>
      <c r="Q28" s="59"/>
      <c r="S28" s="59"/>
      <c r="V28" s="62"/>
      <c r="W28" s="62"/>
      <c r="X28" s="62"/>
      <c r="Y28" s="62"/>
      <c r="Z28" s="62"/>
      <c r="AA28" s="62"/>
      <c r="AB28" s="62"/>
      <c r="AC28" s="62"/>
      <c r="AD28" s="62"/>
      <c r="AE28" s="62"/>
      <c r="AL28" s="770" t="s">
        <v>777</v>
      </c>
      <c r="AM28" s="770" t="s">
        <v>776</v>
      </c>
      <c r="AN28" s="770" t="s">
        <v>781</v>
      </c>
      <c r="AO28" s="771" t="s">
        <v>728</v>
      </c>
      <c r="AP28" s="772" t="s">
        <v>780</v>
      </c>
      <c r="AQ28" s="780"/>
      <c r="AR28" s="839" t="s">
        <v>782</v>
      </c>
      <c r="AS28" s="840" t="s">
        <v>817</v>
      </c>
      <c r="AT28" s="840" t="s">
        <v>781</v>
      </c>
      <c r="AU28" s="841" t="s">
        <v>728</v>
      </c>
      <c r="AV28" s="842" t="s">
        <v>780</v>
      </c>
    </row>
    <row r="29" spans="2:50" ht="12.95" customHeight="1">
      <c r="B29" s="123"/>
      <c r="C29" s="59"/>
      <c r="D29" s="59"/>
      <c r="E29" s="59"/>
      <c r="F29" s="59"/>
      <c r="G29" s="59"/>
      <c r="H29" s="837" t="s">
        <v>1055</v>
      </c>
      <c r="I29" s="843" t="s">
        <v>1056</v>
      </c>
      <c r="J29" s="1338"/>
      <c r="K29" s="1340"/>
      <c r="L29" s="757"/>
      <c r="M29" s="590"/>
      <c r="N29" s="591"/>
      <c r="O29" s="592"/>
      <c r="P29" s="123"/>
      <c r="Q29" s="59"/>
      <c r="R29" s="593" t="s">
        <v>100</v>
      </c>
      <c r="S29" s="556" t="s">
        <v>132</v>
      </c>
      <c r="T29" s="594">
        <v>0</v>
      </c>
      <c r="U29" s="594">
        <f>100/6</f>
        <v>16.666666666666668</v>
      </c>
      <c r="V29" s="595">
        <f>U29*2</f>
        <v>33.333333333333336</v>
      </c>
      <c r="W29" s="594">
        <f>U29*3</f>
        <v>50</v>
      </c>
      <c r="X29" s="594">
        <f>U29*4</f>
        <v>66.666666666666671</v>
      </c>
      <c r="Y29" s="594">
        <f>U29*5</f>
        <v>83.333333333333343</v>
      </c>
      <c r="Z29" s="594">
        <v>100</v>
      </c>
      <c r="AA29" s="62"/>
      <c r="AB29" s="62"/>
      <c r="AC29" s="62"/>
      <c r="AD29" s="62"/>
      <c r="AE29" s="62"/>
      <c r="AF29" s="648"/>
      <c r="AG29" s="649" t="s">
        <v>185</v>
      </c>
      <c r="AL29" s="781">
        <f>_xlfn.RANK.EQ(AN29,$AN$29:$AN$44,0)+COUNTIF($AN$29:AN29,AN29)-1</f>
        <v>9</v>
      </c>
      <c r="AM29" s="782" t="s">
        <v>800</v>
      </c>
      <c r="AN29" s="760">
        <f>採点LR3!$E$31</f>
        <v>10</v>
      </c>
      <c r="AO29" s="760">
        <f>採点LR3!$E$32</f>
        <v>5</v>
      </c>
      <c r="AP29" s="773">
        <f>採点LR3!$E$33</f>
        <v>-0.5</v>
      </c>
      <c r="AQ29" s="780"/>
      <c r="AR29" s="844">
        <v>1</v>
      </c>
      <c r="AS29" s="845" t="str">
        <f>VLOOKUP($AR29,$AL$29:$AP$44,2,FALSE)</f>
        <v>B6 ｴﾈﾙｷﾞｰ消費</v>
      </c>
      <c r="AT29" s="844">
        <f>VLOOKUP($AR$29,$AL$29:$AP$44,3,FALSE)</f>
        <v>70</v>
      </c>
      <c r="AU29" s="844">
        <f>VLOOKUP($AR$29,$AL$29:$AP$44,4,FALSE)</f>
        <v>5</v>
      </c>
      <c r="AV29" s="846">
        <f>VLOOKUP($AR$29,$AL$29:$AP$44,5,FALSE)</f>
        <v>-0.9285714285714286</v>
      </c>
    </row>
    <row r="30" spans="2:50" ht="12.95" customHeight="1">
      <c r="B30" s="123"/>
      <c r="C30" s="59"/>
      <c r="D30" s="59"/>
      <c r="E30" s="59"/>
      <c r="F30" s="59"/>
      <c r="G30" s="59"/>
      <c r="H30" s="837" t="s">
        <v>1057</v>
      </c>
      <c r="I30" s="838" t="s">
        <v>1058</v>
      </c>
      <c r="J30" s="1339"/>
      <c r="K30" s="1340"/>
      <c r="L30" s="763"/>
      <c r="M30" s="590"/>
      <c r="N30" s="591"/>
      <c r="O30" s="592"/>
      <c r="P30" s="123"/>
      <c r="Q30" s="59"/>
      <c r="R30" s="593"/>
      <c r="S30" s="556" t="s">
        <v>133</v>
      </c>
      <c r="T30" s="594">
        <v>100</v>
      </c>
      <c r="U30" s="594">
        <v>100</v>
      </c>
      <c r="V30" s="594">
        <v>100</v>
      </c>
      <c r="W30" s="594">
        <v>100</v>
      </c>
      <c r="X30" s="594">
        <v>100</v>
      </c>
      <c r="Y30" s="594">
        <v>100</v>
      </c>
      <c r="Z30" s="594">
        <v>100</v>
      </c>
      <c r="AA30" s="62"/>
      <c r="AB30" s="62"/>
      <c r="AC30" s="62"/>
      <c r="AD30" s="62"/>
      <c r="AE30" s="62"/>
      <c r="AF30" s="649" t="s">
        <v>186</v>
      </c>
      <c r="AG30" s="652">
        <v>3</v>
      </c>
      <c r="AL30" s="781">
        <f>_xlfn.RANK.EQ(AN30,$AN$29:$AN$44,0)+COUNTIF($AN$29:AN30,AN30)-1</f>
        <v>5</v>
      </c>
      <c r="AM30" s="782" t="s">
        <v>801</v>
      </c>
      <c r="AN30" s="760">
        <f>採点LR3!$F$31</f>
        <v>20</v>
      </c>
      <c r="AO30" s="760">
        <f>採点LR3!$F$32</f>
        <v>5</v>
      </c>
      <c r="AP30" s="773">
        <f>採点LR3!$F$33</f>
        <v>-0.75</v>
      </c>
      <c r="AQ30" s="780"/>
      <c r="AR30" s="844">
        <v>2</v>
      </c>
      <c r="AS30" s="845" t="str">
        <f>VLOOKUP($AR30,$AL$29:$AP$44,2,FALSE)</f>
        <v>B3 修繕</v>
      </c>
      <c r="AT30" s="844">
        <f>VLOOKUP($AR$30,$AL$29:$AP$44,3,FALSE)</f>
        <v>40</v>
      </c>
      <c r="AU30" s="844">
        <f>VLOOKUP($AR$30,$AL$29:$AP$44,4,FALSE)</f>
        <v>5</v>
      </c>
      <c r="AV30" s="846">
        <f>VLOOKUP($AR$30,$AL$29:$AP$44,5,FALSE)</f>
        <v>0.875</v>
      </c>
    </row>
    <row r="31" spans="2:50" ht="12.95" customHeight="1">
      <c r="B31" s="123"/>
      <c r="C31" s="59"/>
      <c r="D31" s="59"/>
      <c r="E31" s="59"/>
      <c r="F31" s="59"/>
      <c r="G31" s="59"/>
      <c r="H31" s="1341" t="s">
        <v>1059</v>
      </c>
      <c r="I31" s="1342"/>
      <c r="J31" s="1342"/>
      <c r="K31" s="1343"/>
      <c r="L31" s="763"/>
      <c r="M31" s="590"/>
      <c r="N31" s="591"/>
      <c r="O31" s="592"/>
      <c r="P31" s="123"/>
      <c r="Q31" s="59"/>
      <c r="R31" s="593">
        <v>3</v>
      </c>
      <c r="S31" s="556" t="s">
        <v>134</v>
      </c>
      <c r="T31" s="594">
        <v>50</v>
      </c>
      <c r="U31" s="594">
        <f t="shared" ref="U31:X34" si="0">U$29*$R31</f>
        <v>50</v>
      </c>
      <c r="V31" s="594">
        <f t="shared" si="0"/>
        <v>100</v>
      </c>
      <c r="W31" s="594">
        <v>100</v>
      </c>
      <c r="X31" s="594">
        <v>100</v>
      </c>
      <c r="Y31" s="594">
        <v>100</v>
      </c>
      <c r="Z31" s="594">
        <v>100</v>
      </c>
      <c r="AA31" s="62"/>
      <c r="AB31" s="62"/>
      <c r="AC31" s="62"/>
      <c r="AD31" s="62"/>
      <c r="AE31" s="62"/>
      <c r="AF31" s="649" t="s">
        <v>187</v>
      </c>
      <c r="AG31" s="652">
        <v>3</v>
      </c>
      <c r="AL31" s="781">
        <f>_xlfn.RANK.EQ(AN31,$AN$29:$AN$44,0)+COUNTIF($AN$29:AN31,AN31)-1</f>
        <v>10</v>
      </c>
      <c r="AM31" s="782" t="s">
        <v>802</v>
      </c>
      <c r="AN31" s="760">
        <f>採点LR3!$G$31</f>
        <v>10</v>
      </c>
      <c r="AO31" s="760">
        <f>採点LR3!$G$32</f>
        <v>5</v>
      </c>
      <c r="AP31" s="773">
        <f>採点LR3!$G$33</f>
        <v>-0.5</v>
      </c>
      <c r="AQ31" s="780"/>
      <c r="AR31" s="844">
        <v>3</v>
      </c>
      <c r="AS31" s="845" t="str">
        <f>VLOOKUP($AR31,$AL$29:$AP$44,2,FALSE)</f>
        <v>B7 水消費</v>
      </c>
      <c r="AT31" s="844">
        <f>VLOOKUP($AR$31,$AL$29:$AP$44,3,FALSE)</f>
        <v>35</v>
      </c>
      <c r="AU31" s="844">
        <f>VLOOKUP($AR$31,$AL$29:$AP$44,4,FALSE)</f>
        <v>5</v>
      </c>
      <c r="AV31" s="846">
        <f>VLOOKUP($AR$31,$AL$29:$AP$44,5,FALSE)</f>
        <v>-0.8571428571428571</v>
      </c>
    </row>
    <row r="32" spans="2:50" ht="12.95" customHeight="1">
      <c r="B32" s="123"/>
      <c r="C32" s="59"/>
      <c r="D32" s="59"/>
      <c r="E32" s="59"/>
      <c r="F32" s="59"/>
      <c r="G32" s="59"/>
      <c r="H32" s="1344" t="s">
        <v>1060</v>
      </c>
      <c r="I32" s="1345"/>
      <c r="J32" s="847" t="s">
        <v>818</v>
      </c>
      <c r="K32" s="848" t="s">
        <v>728</v>
      </c>
      <c r="L32" s="763"/>
      <c r="M32" s="590"/>
      <c r="N32" s="591"/>
      <c r="O32" s="592"/>
      <c r="P32" s="123"/>
      <c r="Q32" s="59"/>
      <c r="R32" s="593">
        <v>1.5</v>
      </c>
      <c r="S32" s="556" t="s">
        <v>136</v>
      </c>
      <c r="T32" s="594">
        <v>0</v>
      </c>
      <c r="U32" s="594">
        <f t="shared" si="0"/>
        <v>25</v>
      </c>
      <c r="V32" s="594">
        <f t="shared" si="0"/>
        <v>50</v>
      </c>
      <c r="W32" s="594">
        <f t="shared" si="0"/>
        <v>75</v>
      </c>
      <c r="X32" s="594">
        <f t="shared" si="0"/>
        <v>100</v>
      </c>
      <c r="Y32" s="594">
        <v>100</v>
      </c>
      <c r="Z32" s="594">
        <v>100</v>
      </c>
      <c r="AA32" s="62"/>
      <c r="AB32" s="62"/>
      <c r="AC32" s="62"/>
      <c r="AD32" s="62"/>
      <c r="AE32" s="62"/>
      <c r="AF32" s="649" t="s">
        <v>188</v>
      </c>
      <c r="AG32" s="652">
        <v>3</v>
      </c>
      <c r="AL32" s="781">
        <f>_xlfn.RANK.EQ(AN32,$AN$29:$AN$44,0)+COUNTIF($AN$29:AN32,AN32)-1</f>
        <v>14</v>
      </c>
      <c r="AM32" s="782" t="s">
        <v>803</v>
      </c>
      <c r="AN32" s="760">
        <f>採点LR3!$H$31</f>
        <v>5</v>
      </c>
      <c r="AO32" s="760">
        <f>採点LR3!$H$32</f>
        <v>5</v>
      </c>
      <c r="AP32" s="773">
        <f>採点LR3!$H$33</f>
        <v>0</v>
      </c>
      <c r="AQ32" s="780"/>
      <c r="AR32" s="844">
        <v>4</v>
      </c>
      <c r="AS32" s="845" t="str">
        <f>VLOOKUP($AR32,$AL$29:$AP$44,2,FALSE)</f>
        <v>B2 保全</v>
      </c>
      <c r="AT32" s="844">
        <f>VLOOKUP($AR$32,$AL$29:$AP$44,3,FALSE)</f>
        <v>30</v>
      </c>
      <c r="AU32" s="844">
        <f>VLOOKUP($AR$32,$AL$29:$AP$44,4,FALSE)</f>
        <v>5</v>
      </c>
      <c r="AV32" s="846">
        <f>VLOOKUP($AR$32,$AL$29:$AP$44,5,FALSE)</f>
        <v>-0.83333333333333337</v>
      </c>
    </row>
    <row r="33" spans="2:52" ht="12.95" customHeight="1">
      <c r="B33" s="123"/>
      <c r="C33" s="59"/>
      <c r="D33" s="59"/>
      <c r="E33" s="59"/>
      <c r="F33" s="59"/>
      <c r="G33" s="59"/>
      <c r="H33" s="1346" t="str">
        <f>VLOOKUP($AR29,$AL$29:$AP$44,2,FALSE)</f>
        <v>B6 ｴﾈﾙｷﾞｰ消費</v>
      </c>
      <c r="I33" s="1347"/>
      <c r="J33" s="849">
        <f>VLOOKUP($AR$29,$AL$29:$AP$44,3,FALSE)</f>
        <v>70</v>
      </c>
      <c r="K33" s="850">
        <f>VLOOKUP($AR$29,$AL$29:$AP$44,4,FALSE)</f>
        <v>5</v>
      </c>
      <c r="L33" s="757"/>
      <c r="M33" s="590"/>
      <c r="N33" s="591"/>
      <c r="O33" s="592"/>
      <c r="P33" s="123"/>
      <c r="Q33" s="59"/>
      <c r="R33" s="593">
        <v>1</v>
      </c>
      <c r="S33" s="556" t="s">
        <v>139</v>
      </c>
      <c r="T33" s="594">
        <v>0</v>
      </c>
      <c r="U33" s="594">
        <f t="shared" si="0"/>
        <v>16.666666666666668</v>
      </c>
      <c r="V33" s="594">
        <f t="shared" si="0"/>
        <v>33.333333333333336</v>
      </c>
      <c r="W33" s="594">
        <f t="shared" si="0"/>
        <v>50</v>
      </c>
      <c r="X33" s="594">
        <f t="shared" si="0"/>
        <v>66.666666666666671</v>
      </c>
      <c r="Y33" s="594">
        <f>Y$29*$R33</f>
        <v>83.333333333333343</v>
      </c>
      <c r="Z33" s="594">
        <f>Z$29*$R33</f>
        <v>100</v>
      </c>
      <c r="AA33" s="62"/>
      <c r="AB33" s="62"/>
      <c r="AC33" s="62"/>
      <c r="AD33" s="62"/>
      <c r="AE33" s="62"/>
      <c r="AF33" s="649" t="s">
        <v>189</v>
      </c>
      <c r="AG33" s="652">
        <v>3</v>
      </c>
      <c r="AL33" s="781">
        <f>_xlfn.RANK.EQ(AN33,$AN$29:$AN$44,0)+COUNTIF($AN$29:AN33,AN33)-1</f>
        <v>15</v>
      </c>
      <c r="AM33" s="782" t="s">
        <v>804</v>
      </c>
      <c r="AN33" s="760">
        <f>採点LR3!$I$31</f>
        <v>5</v>
      </c>
      <c r="AO33" s="760">
        <f>採点LR3!$I$32</f>
        <v>5</v>
      </c>
      <c r="AP33" s="773">
        <f>採点LR3!$I$33</f>
        <v>0</v>
      </c>
      <c r="AQ33" s="780"/>
      <c r="AR33" s="844">
        <v>5</v>
      </c>
      <c r="AS33" s="845" t="str">
        <f>VLOOKUP($AR33,$AL$29:$AP$44,2,FALSE)</f>
        <v>A2 工場輸送</v>
      </c>
      <c r="AT33" s="844">
        <f>VLOOKUP($AR$33,$AL$29:$AP$44,3,FALSE)</f>
        <v>20</v>
      </c>
      <c r="AU33" s="844">
        <f>VLOOKUP($AR$33,$AL$29:$AP$44,4,FALSE)</f>
        <v>5</v>
      </c>
      <c r="AV33" s="846">
        <f>VLOOKUP($AR$33,$AL$29:$AP$44,5,FALSE)</f>
        <v>-0.75</v>
      </c>
    </row>
    <row r="34" spans="2:52" ht="12.95" customHeight="1">
      <c r="B34" s="123"/>
      <c r="C34" s="59"/>
      <c r="D34" s="59"/>
      <c r="E34" s="59"/>
      <c r="F34" s="59"/>
      <c r="G34" s="59"/>
      <c r="H34" s="1346" t="str">
        <f>VLOOKUP($AR30,$AL$29:$AP$44,2,FALSE)</f>
        <v>B3 修繕</v>
      </c>
      <c r="I34" s="1347"/>
      <c r="J34" s="849">
        <f>VLOOKUP($AR$30,$AL$29:$AP$44,3,FALSE)</f>
        <v>40</v>
      </c>
      <c r="K34" s="850">
        <f>VLOOKUP($AR$30,$AL$29:$AP$44,4,FALSE)</f>
        <v>5</v>
      </c>
      <c r="L34" s="758"/>
      <c r="M34" s="590"/>
      <c r="N34" s="591"/>
      <c r="O34" s="592"/>
      <c r="P34" s="123"/>
      <c r="Q34" s="59"/>
      <c r="R34" s="593">
        <v>0.5</v>
      </c>
      <c r="S34" s="556" t="s">
        <v>143</v>
      </c>
      <c r="T34" s="594">
        <v>0</v>
      </c>
      <c r="U34" s="594">
        <f t="shared" si="0"/>
        <v>8.3333333333333339</v>
      </c>
      <c r="V34" s="594">
        <f t="shared" si="0"/>
        <v>16.666666666666668</v>
      </c>
      <c r="W34" s="594">
        <f t="shared" si="0"/>
        <v>25</v>
      </c>
      <c r="X34" s="594">
        <f t="shared" si="0"/>
        <v>33.333333333333336</v>
      </c>
      <c r="Y34" s="594">
        <f>Y$29*$R34</f>
        <v>41.666666666666671</v>
      </c>
      <c r="Z34" s="594">
        <f>Z$29*$R34</f>
        <v>50</v>
      </c>
      <c r="AA34" s="62"/>
      <c r="AB34" s="62"/>
      <c r="AC34" s="62"/>
      <c r="AD34" s="62"/>
      <c r="AE34" s="62"/>
      <c r="AF34" s="649" t="s">
        <v>190</v>
      </c>
      <c r="AG34" s="652">
        <v>3</v>
      </c>
      <c r="AL34" s="781">
        <f>_xlfn.RANK.EQ(AN34,$AN$29:$AN$44,0)+COUNTIF($AN$29:AN34,AN34)-1</f>
        <v>6</v>
      </c>
      <c r="AM34" s="782" t="s">
        <v>805</v>
      </c>
      <c r="AN34" s="774">
        <f>採点LR3!$E$36</f>
        <v>20</v>
      </c>
      <c r="AO34" s="774">
        <f>採点LR3!$E$37</f>
        <v>5</v>
      </c>
      <c r="AP34" s="775">
        <f>採点LR3!$E$38</f>
        <v>-0.75</v>
      </c>
      <c r="AQ34" s="780"/>
      <c r="AR34" s="833"/>
      <c r="AS34" s="833"/>
      <c r="AT34" s="833"/>
      <c r="AU34" s="851" t="s">
        <v>819</v>
      </c>
    </row>
    <row r="35" spans="2:52" ht="12.95" customHeight="1" thickBot="1">
      <c r="B35" s="123"/>
      <c r="C35" s="59"/>
      <c r="D35" s="59"/>
      <c r="E35" s="59"/>
      <c r="F35" s="59"/>
      <c r="G35" s="59"/>
      <c r="H35" s="1346" t="str">
        <f>VLOOKUP($AR31,$AL$29:$AP$44,2,FALSE)</f>
        <v>B7 水消費</v>
      </c>
      <c r="I35" s="1347"/>
      <c r="J35" s="849">
        <f>VLOOKUP($AR$31,$AL$29:$AP$44,3,FALSE)</f>
        <v>35</v>
      </c>
      <c r="K35" s="850">
        <f>VLOOKUP($AR$31,$AL$29:$AP$44,4,FALSE)</f>
        <v>5</v>
      </c>
      <c r="L35" s="759"/>
      <c r="M35" s="590"/>
      <c r="N35" s="591"/>
      <c r="O35" s="592"/>
      <c r="P35" s="123"/>
      <c r="Q35" s="59"/>
      <c r="R35" s="596"/>
      <c r="S35" s="140"/>
      <c r="T35" s="597"/>
      <c r="U35" s="597"/>
      <c r="V35" s="597"/>
      <c r="W35" s="597"/>
      <c r="X35" s="597"/>
      <c r="Y35" s="597"/>
      <c r="Z35" s="597"/>
      <c r="AA35" s="62"/>
      <c r="AB35" s="62"/>
      <c r="AC35" s="62"/>
      <c r="AD35" s="62"/>
      <c r="AE35" s="62"/>
      <c r="AF35" s="649" t="s">
        <v>191</v>
      </c>
      <c r="AG35" s="652">
        <v>3</v>
      </c>
      <c r="AL35" s="781">
        <f>_xlfn.RANK.EQ(AN35,$AN$29:$AN$44,0)+COUNTIF($AN$29:AN35,AN35)-1</f>
        <v>4</v>
      </c>
      <c r="AM35" s="782" t="s">
        <v>806</v>
      </c>
      <c r="AN35" s="774">
        <f>採点LR3!$F$36</f>
        <v>30</v>
      </c>
      <c r="AO35" s="774">
        <f>採点LR3!$F$37</f>
        <v>5</v>
      </c>
      <c r="AP35" s="775">
        <f>採点LR3!$F$38</f>
        <v>-0.83333333333333337</v>
      </c>
      <c r="AQ35" s="780"/>
      <c r="AR35" s="1348" t="s">
        <v>816</v>
      </c>
      <c r="AS35" s="1348"/>
      <c r="AT35" s="852"/>
      <c r="AU35" s="852"/>
      <c r="AV35" s="780"/>
    </row>
    <row r="36" spans="2:52" ht="12.95" customHeight="1" thickBot="1">
      <c r="B36" s="123"/>
      <c r="C36" s="59"/>
      <c r="D36" s="59"/>
      <c r="E36" s="59"/>
      <c r="F36" s="59"/>
      <c r="G36" s="59"/>
      <c r="H36" s="1346" t="str">
        <f>VLOOKUP($AR32,$AL$29:$AP$44,2,FALSE)</f>
        <v>B2 保全</v>
      </c>
      <c r="I36" s="1347"/>
      <c r="J36" s="849">
        <f>VLOOKUP($AR$32,$AL$29:$AP$44,3,FALSE)</f>
        <v>30</v>
      </c>
      <c r="K36" s="850">
        <f>VLOOKUP($AR$32,$AL$29:$AP$44,4,FALSE)</f>
        <v>5</v>
      </c>
      <c r="L36" s="759"/>
      <c r="M36" s="590"/>
      <c r="N36" s="591"/>
      <c r="O36" s="592"/>
      <c r="P36" s="123"/>
      <c r="Q36" s="59"/>
      <c r="R36" s="452" t="s">
        <v>192</v>
      </c>
      <c r="S36" s="732">
        <f>T37/5</f>
        <v>0.4</v>
      </c>
      <c r="T36" s="597">
        <f>IF(U36=W36,X42,X43)</f>
        <v>5</v>
      </c>
      <c r="U36" s="601" t="s">
        <v>193</v>
      </c>
      <c r="V36" s="602" t="s">
        <v>194</v>
      </c>
      <c r="W36" s="716" t="s">
        <v>193</v>
      </c>
      <c r="X36" t="s">
        <v>195</v>
      </c>
      <c r="Y36" s="597"/>
      <c r="Z36" s="597"/>
      <c r="AA36" s="62"/>
      <c r="AB36" s="62"/>
      <c r="AC36" s="62"/>
      <c r="AD36" s="62"/>
      <c r="AE36" s="62"/>
      <c r="AF36" s="649" t="s">
        <v>196</v>
      </c>
      <c r="AG36" s="652">
        <v>3</v>
      </c>
      <c r="AL36" s="781">
        <f>_xlfn.RANK.EQ(AN36,$AN$29:$AN$44,0)+COUNTIF($AN$29:AN36,AN36)-1</f>
        <v>2</v>
      </c>
      <c r="AM36" s="782" t="s">
        <v>807</v>
      </c>
      <c r="AN36" s="774">
        <f>採点LR3!$G$36</f>
        <v>40</v>
      </c>
      <c r="AO36" s="774">
        <f>採点LR3!$G$37</f>
        <v>5</v>
      </c>
      <c r="AP36" s="775">
        <f>採点LR3!$G$38</f>
        <v>0.875</v>
      </c>
      <c r="AQ36" s="780"/>
      <c r="AR36" s="853" t="str">
        <f>採点LR3!$E$61</f>
        <v>〇</v>
      </c>
      <c r="AS36" s="854" t="s">
        <v>1061</v>
      </c>
      <c r="AT36" s="758"/>
      <c r="AU36" s="758"/>
      <c r="AV36" s="780"/>
    </row>
    <row r="37" spans="2:52" ht="12.95" customHeight="1" thickBot="1">
      <c r="B37" s="123"/>
      <c r="C37" s="59"/>
      <c r="D37" s="59"/>
      <c r="E37" s="59"/>
      <c r="F37" s="59"/>
      <c r="G37" s="59"/>
      <c r="H37" s="1346" t="str">
        <f>VLOOKUP($AR33,$AL$29:$AP$44,2,FALSE)</f>
        <v>A2 工場輸送</v>
      </c>
      <c r="I37" s="1347"/>
      <c r="J37" s="849">
        <f>VLOOKUP($AR$33,$AL$29:$AP$44,3,FALSE)</f>
        <v>20</v>
      </c>
      <c r="K37" s="850">
        <f>VLOOKUP($AR$33,$AL$29:$AP$44,4,FALSE)</f>
        <v>5</v>
      </c>
      <c r="L37" s="759"/>
      <c r="M37" s="59"/>
      <c r="N37" s="59"/>
      <c r="O37" s="124"/>
      <c r="P37" s="123"/>
      <c r="Q37" s="59"/>
      <c r="R37" s="452" t="s">
        <v>113</v>
      </c>
      <c r="S37" s="561">
        <f>1-S36</f>
        <v>0.6</v>
      </c>
      <c r="T37" s="733">
        <f>Y60</f>
        <v>2</v>
      </c>
      <c r="U37" s="601" t="s">
        <v>197</v>
      </c>
      <c r="V37" s="597" t="str">
        <f>IF(U36=W37,V36,"")</f>
        <v/>
      </c>
      <c r="W37" s="601" t="s">
        <v>198</v>
      </c>
      <c r="X37" t="s">
        <v>199</v>
      </c>
      <c r="Y37" s="597"/>
      <c r="Z37" s="597"/>
      <c r="AA37" s="62"/>
      <c r="AB37" s="62"/>
      <c r="AC37" s="62"/>
      <c r="AD37" s="62"/>
      <c r="AE37" s="62"/>
      <c r="AF37" s="649" t="s">
        <v>200</v>
      </c>
      <c r="AG37" s="652">
        <v>3</v>
      </c>
      <c r="AL37" s="781">
        <f>_xlfn.RANK.EQ(AN37,$AN$29:$AN$44,0)+COUNTIF($AN$29:AN37,AN37)-1</f>
        <v>7</v>
      </c>
      <c r="AM37" s="782" t="s">
        <v>808</v>
      </c>
      <c r="AN37" s="776">
        <f>採点LR3!$H$36</f>
        <v>20</v>
      </c>
      <c r="AO37" s="776">
        <f>採点LR3!$H$37</f>
        <v>5</v>
      </c>
      <c r="AP37" s="777">
        <f>採点LR3!$H$38</f>
        <v>-0.75</v>
      </c>
      <c r="AQ37" s="780"/>
      <c r="AR37" s="853" t="str">
        <f>採点LR3!$E$62</f>
        <v>-</v>
      </c>
      <c r="AS37" s="854" t="s">
        <v>1062</v>
      </c>
      <c r="AT37" s="758"/>
      <c r="AU37" s="758"/>
      <c r="AV37" s="780"/>
    </row>
    <row r="38" spans="2:52" ht="12.95" customHeight="1" thickBot="1">
      <c r="B38" s="123"/>
      <c r="C38" s="59"/>
      <c r="D38" s="59"/>
      <c r="E38" s="59"/>
      <c r="F38" s="59"/>
      <c r="G38" s="59"/>
      <c r="H38" s="1341" t="s">
        <v>1063</v>
      </c>
      <c r="I38" s="1342"/>
      <c r="J38" s="1342"/>
      <c r="K38" s="1343"/>
      <c r="L38" s="759"/>
      <c r="M38" s="59"/>
      <c r="N38" s="180"/>
      <c r="O38" s="124"/>
      <c r="P38" s="123"/>
      <c r="Q38" s="59"/>
      <c r="S38" s="59"/>
      <c r="AA38" s="62"/>
      <c r="AB38" s="62"/>
      <c r="AC38" s="62"/>
      <c r="AD38" s="62"/>
      <c r="AE38" s="62"/>
      <c r="AF38" s="649" t="s">
        <v>201</v>
      </c>
      <c r="AG38" s="652">
        <v>3</v>
      </c>
      <c r="AL38" s="781">
        <f>_xlfn.RANK.EQ(AN38,$AN$29:$AN$44,0)+COUNTIF($AN$29:AN38,AN38)-1</f>
        <v>11</v>
      </c>
      <c r="AM38" s="782" t="s">
        <v>809</v>
      </c>
      <c r="AN38" s="778">
        <f>採点LR3!$I$36</f>
        <v>10</v>
      </c>
      <c r="AO38" s="778">
        <f>採点LR3!$I$37</f>
        <v>5</v>
      </c>
      <c r="AP38" s="779">
        <f>採点LR3!$I$38</f>
        <v>-0.5</v>
      </c>
      <c r="AQ38" s="780"/>
      <c r="AR38" s="853" t="str">
        <f>採点LR3!$E$63</f>
        <v>-</v>
      </c>
      <c r="AS38" s="854" t="s">
        <v>1064</v>
      </c>
      <c r="AT38" s="780"/>
      <c r="AU38" s="780"/>
      <c r="AV38" s="780"/>
    </row>
    <row r="39" spans="2:52" ht="12.95" customHeight="1" thickBot="1">
      <c r="B39" s="123"/>
      <c r="C39" s="59"/>
      <c r="D39" s="59"/>
      <c r="E39" s="59"/>
      <c r="F39" s="59"/>
      <c r="G39" s="59"/>
      <c r="H39" s="855" t="str">
        <f>IF(AR36="〇","þ","¨")</f>
        <v>þ</v>
      </c>
      <c r="I39" s="856" t="str">
        <f>IF(AR37="〇","þ","¨")</f>
        <v>¨</v>
      </c>
      <c r="J39" s="856" t="str">
        <f>IF(AS38="〇","þ","¨")</f>
        <v>¨</v>
      </c>
      <c r="K39" s="857" t="str">
        <f>IF(AT39="〇","þ","¨")</f>
        <v>¨</v>
      </c>
      <c r="L39" s="759"/>
      <c r="M39" s="59"/>
      <c r="N39" s="603"/>
      <c r="O39" s="124"/>
      <c r="P39" s="123"/>
      <c r="Q39" s="59"/>
      <c r="R39" s="606" t="s">
        <v>739</v>
      </c>
      <c r="S39" s="607" t="s">
        <v>723</v>
      </c>
      <c r="T39" s="607" t="s">
        <v>724</v>
      </c>
      <c r="U39" s="607" t="s">
        <v>725</v>
      </c>
      <c r="V39" s="607" t="s">
        <v>726</v>
      </c>
      <c r="W39" s="607" t="s">
        <v>727</v>
      </c>
      <c r="X39" s="607" t="s">
        <v>737</v>
      </c>
      <c r="Y39" s="555" t="s">
        <v>729</v>
      </c>
      <c r="Z39" s="555" t="s">
        <v>731</v>
      </c>
      <c r="AA39" s="555" t="s">
        <v>732</v>
      </c>
      <c r="AB39" s="555" t="s">
        <v>733</v>
      </c>
      <c r="AC39" s="555" t="s">
        <v>734</v>
      </c>
      <c r="AD39" s="555" t="s">
        <v>736</v>
      </c>
      <c r="AF39" s="649" t="s">
        <v>211</v>
      </c>
      <c r="AG39" s="652">
        <v>3</v>
      </c>
      <c r="AL39" s="781">
        <f>_xlfn.RANK.EQ(AN39,$AN$29:$AN$44,0)+COUNTIF($AN$29:AN39,AN39)-1</f>
        <v>1</v>
      </c>
      <c r="AM39" s="782" t="s">
        <v>810</v>
      </c>
      <c r="AN39" s="778">
        <f>採点LR3!$E$41</f>
        <v>70</v>
      </c>
      <c r="AO39" s="778">
        <f>採点LR3!$E$42</f>
        <v>5</v>
      </c>
      <c r="AP39" s="779">
        <f>採点LR3!$E$43</f>
        <v>-0.9285714285714286</v>
      </c>
      <c r="AQ39" s="780"/>
      <c r="AR39" s="853" t="str">
        <f>採点LR3!$E$64</f>
        <v>-</v>
      </c>
      <c r="AS39" s="854" t="s">
        <v>1065</v>
      </c>
    </row>
    <row r="40" spans="2:52" ht="12.95" customHeight="1" thickBot="1">
      <c r="B40" s="123"/>
      <c r="C40" s="420"/>
      <c r="D40" s="59"/>
      <c r="E40" s="59"/>
      <c r="F40" s="59"/>
      <c r="G40" s="59"/>
      <c r="H40" s="855" t="str">
        <f>IF(AR44="〇","þ","¨")</f>
        <v>þ</v>
      </c>
      <c r="I40" s="856" t="str">
        <f>IF(AR45="〇","þ","¨")</f>
        <v>¨</v>
      </c>
      <c r="J40" s="856"/>
      <c r="K40" s="764"/>
      <c r="L40" s="59"/>
      <c r="M40" s="604"/>
      <c r="N40" s="59"/>
      <c r="O40" s="124"/>
      <c r="P40" s="123"/>
      <c r="Q40" s="59"/>
      <c r="R40" s="555" t="s">
        <v>736</v>
      </c>
      <c r="S40" s="339"/>
      <c r="T40" s="339"/>
      <c r="U40" s="339"/>
      <c r="V40" s="339"/>
      <c r="W40" s="339"/>
      <c r="X40" s="339"/>
      <c r="Y40" s="339"/>
      <c r="Z40" s="339"/>
      <c r="AA40" s="339"/>
      <c r="AB40" s="339"/>
      <c r="AC40" s="339"/>
      <c r="AD40" s="731" t="e">
        <f>採点LR3!#REF!</f>
        <v>#REF!</v>
      </c>
      <c r="AF40" s="649" t="s">
        <v>214</v>
      </c>
      <c r="AG40" s="652">
        <v>3</v>
      </c>
      <c r="AL40" s="781">
        <f>_xlfn.RANK.EQ(AN40,$AN$29:$AN$44,0)+COUNTIF($AN$29:AN40,AN40)-1</f>
        <v>3</v>
      </c>
      <c r="AM40" s="782" t="s">
        <v>811</v>
      </c>
      <c r="AN40" s="778">
        <f>採点LR3!$F$41</f>
        <v>35</v>
      </c>
      <c r="AO40" s="778">
        <f>採点LR3!$F$42</f>
        <v>5</v>
      </c>
      <c r="AP40" s="779">
        <f>採点LR3!$F$43</f>
        <v>-0.8571428571428571</v>
      </c>
      <c r="AQ40" s="780"/>
      <c r="AR40" s="853" t="str">
        <f>採点LR3!$E$65</f>
        <v>〇</v>
      </c>
      <c r="AS40" s="854" t="s">
        <v>1066</v>
      </c>
    </row>
    <row r="41" spans="2:52" ht="12.95" customHeight="1" thickBot="1">
      <c r="B41" s="181"/>
      <c r="C41" s="122"/>
      <c r="D41" s="122"/>
      <c r="E41" s="122"/>
      <c r="F41" s="122"/>
      <c r="G41" s="122"/>
      <c r="H41" s="858" t="str">
        <f>IF(AR40="〇","þ","¨")</f>
        <v>þ</v>
      </c>
      <c r="I41" s="859" t="str">
        <f>IF(AR41="〇","þ","¨")</f>
        <v>þ</v>
      </c>
      <c r="J41" s="859" t="str">
        <f>IF(AR42="〇","þ","¨")</f>
        <v>þ</v>
      </c>
      <c r="K41" s="860" t="str">
        <f>IF(AR43="〇","þ","¨")</f>
        <v>¨</v>
      </c>
      <c r="L41" s="94" t="s">
        <v>202</v>
      </c>
      <c r="M41" s="605"/>
      <c r="N41" s="122"/>
      <c r="O41" s="125"/>
      <c r="P41" s="123"/>
      <c r="Q41" s="59"/>
      <c r="R41" s="730" t="s">
        <v>735</v>
      </c>
      <c r="S41" s="339"/>
      <c r="T41" s="339"/>
      <c r="U41" s="339"/>
      <c r="V41" s="339"/>
      <c r="W41" s="339"/>
      <c r="X41" s="339"/>
      <c r="Y41" s="339"/>
      <c r="Z41" s="731">
        <f>採点LR3!E47</f>
        <v>5</v>
      </c>
      <c r="AA41" s="731">
        <f>採点LR3!F47</f>
        <v>5</v>
      </c>
      <c r="AB41" s="731">
        <f>採点LR3!G47</f>
        <v>5</v>
      </c>
      <c r="AC41" s="731">
        <f>採点LR3!H47</f>
        <v>5</v>
      </c>
      <c r="AD41" s="339"/>
      <c r="AF41" s="649" t="s">
        <v>220</v>
      </c>
      <c r="AG41" s="652">
        <v>3</v>
      </c>
      <c r="AL41" s="781">
        <f>_xlfn.RANK.EQ(AN41,$AN$29:$AN$44,0)+COUNTIF($AN$29:AN41,AN41)-1</f>
        <v>12</v>
      </c>
      <c r="AM41" s="782" t="s">
        <v>812</v>
      </c>
      <c r="AN41" s="778">
        <f>採点LR3!$E$46</f>
        <v>10</v>
      </c>
      <c r="AO41" s="778">
        <f>採点LR3!$E$47</f>
        <v>5</v>
      </c>
      <c r="AP41" s="779">
        <f>採点LR3!$E$48</f>
        <v>-0.5</v>
      </c>
      <c r="AQ41" s="780"/>
      <c r="AR41" s="853" t="str">
        <f>採点LR3!$E$66</f>
        <v>〇</v>
      </c>
      <c r="AS41" s="854" t="s">
        <v>1067</v>
      </c>
    </row>
    <row r="42" spans="2:52" ht="15" customHeight="1" thickBot="1">
      <c r="B42" s="97" t="s">
        <v>212</v>
      </c>
      <c r="C42" s="98"/>
      <c r="D42" s="99"/>
      <c r="E42" s="98"/>
      <c r="F42" s="98"/>
      <c r="G42" s="98"/>
      <c r="H42" s="994"/>
      <c r="I42" s="994"/>
      <c r="J42" s="995"/>
      <c r="K42" s="995"/>
      <c r="L42" s="98"/>
      <c r="M42" s="220" t="s">
        <v>1214</v>
      </c>
      <c r="N42" s="102"/>
      <c r="O42" s="996"/>
      <c r="R42" s="730" t="s">
        <v>730</v>
      </c>
      <c r="S42" s="339"/>
      <c r="T42" s="339"/>
      <c r="U42" s="339"/>
      <c r="V42" s="339"/>
      <c r="W42" s="339"/>
      <c r="X42" s="731">
        <f>採点LR3!E37</f>
        <v>5</v>
      </c>
      <c r="Y42" s="731">
        <f>採点LR3!F37</f>
        <v>5</v>
      </c>
      <c r="Z42" s="339"/>
      <c r="AA42" s="339"/>
      <c r="AB42" s="339"/>
      <c r="AC42" s="339"/>
      <c r="AD42" s="339"/>
      <c r="AL42" s="781">
        <f>_xlfn.RANK.EQ(AN42,$AN$29:$AN$44,0)+COUNTIF($AN$29:AN42,AN42)-1</f>
        <v>13</v>
      </c>
      <c r="AM42" s="782" t="s">
        <v>813</v>
      </c>
      <c r="AN42" s="776">
        <f>採点LR3!$F$46</f>
        <v>10</v>
      </c>
      <c r="AO42" s="776">
        <f>採点LR3!$F$47</f>
        <v>5</v>
      </c>
      <c r="AP42" s="777">
        <f>採点LR3!$F$48</f>
        <v>-0.5</v>
      </c>
      <c r="AQ42" s="780"/>
      <c r="AR42" s="853" t="str">
        <f>採点LR3!$E$67</f>
        <v>〇</v>
      </c>
      <c r="AS42" s="854" t="s">
        <v>1068</v>
      </c>
    </row>
    <row r="43" spans="2:52" ht="15" customHeight="1" thickBot="1">
      <c r="B43" s="997" t="s">
        <v>1093</v>
      </c>
      <c r="C43" s="632"/>
      <c r="D43" s="632"/>
      <c r="E43" s="998"/>
      <c r="F43" s="632"/>
      <c r="G43" s="632"/>
      <c r="H43" s="632"/>
      <c r="I43" s="632"/>
      <c r="J43" s="632"/>
      <c r="K43" s="999" t="s">
        <v>1091</v>
      </c>
      <c r="L43" s="1000">
        <f>スコア!R7</f>
        <v>3</v>
      </c>
      <c r="M43" s="1001" t="s">
        <v>1215</v>
      </c>
      <c r="N43" s="632"/>
      <c r="O43" s="993"/>
      <c r="R43" s="730" t="s">
        <v>722</v>
      </c>
      <c r="S43" s="731">
        <f>採点LR3!E32</f>
        <v>5</v>
      </c>
      <c r="T43" s="731">
        <f>採点LR3!F32</f>
        <v>5</v>
      </c>
      <c r="U43" s="731">
        <f>採点LR3!G32</f>
        <v>5</v>
      </c>
      <c r="V43" s="731">
        <f>採点LR3!H32</f>
        <v>5</v>
      </c>
      <c r="W43" s="731">
        <f>採点LR3!I32</f>
        <v>5</v>
      </c>
      <c r="X43" s="339"/>
      <c r="Y43" s="339"/>
      <c r="Z43" s="339"/>
      <c r="AA43" s="339"/>
      <c r="AB43" s="339"/>
      <c r="AC43" s="339"/>
      <c r="AD43" s="339"/>
      <c r="AH43"/>
      <c r="AL43" s="781">
        <f>_xlfn.RANK.EQ(AN43,$AN$29:$AN$44,0)+COUNTIF($AN$29:AN43,AN43)-1</f>
        <v>8</v>
      </c>
      <c r="AM43" s="782" t="s">
        <v>814</v>
      </c>
      <c r="AN43" s="778">
        <f>採点LR3!$G$46</f>
        <v>20</v>
      </c>
      <c r="AO43" s="778">
        <f>採点LR3!$G$47</f>
        <v>5</v>
      </c>
      <c r="AP43" s="779">
        <f>採点LR3!$G$48</f>
        <v>-0.75</v>
      </c>
      <c r="AQ43" s="780"/>
      <c r="AR43" s="853" t="str">
        <f>採点LR3!$E$68</f>
        <v>-</v>
      </c>
      <c r="AS43" s="854" t="s">
        <v>1069</v>
      </c>
    </row>
    <row r="44" spans="2:52" ht="15" customHeight="1" thickBot="1">
      <c r="B44" s="123"/>
      <c r="C44" s="551" t="str">
        <f>配慮!B7</f>
        <v>Q-1 環境</v>
      </c>
      <c r="D44" s="615"/>
      <c r="E44" s="615"/>
      <c r="F44" s="615"/>
      <c r="G44" s="692" t="str">
        <f>配慮!B8</f>
        <v>Q-2 社会</v>
      </c>
      <c r="J44" s="62"/>
      <c r="K44" s="655" t="str">
        <f>配慮!B9</f>
        <v>Q-3 経済</v>
      </c>
      <c r="M44" s="660"/>
      <c r="N44" s="62"/>
      <c r="O44" s="618">
        <f>AG46</f>
        <v>12</v>
      </c>
      <c r="S44" s="59"/>
      <c r="AA44" s="62"/>
      <c r="AB44" s="62"/>
      <c r="AC44" s="62"/>
      <c r="AD44" s="62"/>
      <c r="AE44" s="62"/>
      <c r="AH44"/>
      <c r="AI44" s="620"/>
      <c r="AJ44" s="620"/>
      <c r="AL44" s="781">
        <f>_xlfn.RANK.EQ(AN44,$AN$29:$AN$44,0)+COUNTIF($AN$29:AN44,AN44)-1</f>
        <v>16</v>
      </c>
      <c r="AM44" s="782" t="s">
        <v>815</v>
      </c>
      <c r="AN44" s="778">
        <f>採点LR3!$H$46</f>
        <v>5</v>
      </c>
      <c r="AO44" s="778">
        <f>採点LR3!$H$47</f>
        <v>5</v>
      </c>
      <c r="AP44" s="779">
        <f>採点LR3!$H$48</f>
        <v>0</v>
      </c>
      <c r="AQ44" s="780"/>
      <c r="AR44" s="853" t="str">
        <f>採点LR3!$E$69</f>
        <v>〇</v>
      </c>
      <c r="AS44" s="854" t="s">
        <v>1070</v>
      </c>
    </row>
    <row r="45" spans="2:52" ht="15" customHeight="1" thickBot="1">
      <c r="B45" s="123"/>
      <c r="C45" s="74"/>
      <c r="D45" s="75"/>
      <c r="E45" s="657">
        <f>S46</f>
        <v>3</v>
      </c>
      <c r="F45" s="59"/>
      <c r="H45" s="59"/>
      <c r="I45" s="59"/>
      <c r="J45" s="615">
        <f>V46</f>
        <v>3</v>
      </c>
      <c r="K45" s="615"/>
      <c r="L45" s="657">
        <f>Y46</f>
        <v>3.1</v>
      </c>
      <c r="M45" s="661"/>
      <c r="N45" s="617"/>
      <c r="O45" s="618"/>
      <c r="R45" s="452"/>
      <c r="S45" s="452" t="s">
        <v>144</v>
      </c>
      <c r="T45" s="452" t="s">
        <v>223</v>
      </c>
      <c r="U45" s="452"/>
      <c r="V45" s="452" t="s">
        <v>144</v>
      </c>
      <c r="W45" s="452" t="s">
        <v>223</v>
      </c>
      <c r="X45" s="452"/>
      <c r="Y45" s="452" t="s">
        <v>144</v>
      </c>
      <c r="Z45" s="452" t="s">
        <v>223</v>
      </c>
      <c r="AA45" s="62"/>
      <c r="AB45" s="62"/>
      <c r="AC45" s="62"/>
      <c r="AD45" s="62"/>
      <c r="AE45" s="62"/>
      <c r="AF45" s="452"/>
      <c r="AG45" s="452" t="s">
        <v>224</v>
      </c>
      <c r="AH45"/>
      <c r="AL45" s="781" t="e">
        <f>_xlfn.RANK.EQ(AN45,$AN$29:$AN$44,0)+COUNTIF($AN$29:AN45,AN45)-1</f>
        <v>#N/A</v>
      </c>
      <c r="AM45" s="783" t="s">
        <v>799</v>
      </c>
      <c r="AN45" s="778">
        <f>採点LR3!$H$51</f>
        <v>0</v>
      </c>
      <c r="AO45" s="778">
        <f>採点LR3!$H$52</f>
        <v>0</v>
      </c>
      <c r="AP45" s="779">
        <f>採点LR3!$H$53</f>
        <v>0</v>
      </c>
      <c r="AQ45" s="780"/>
      <c r="AR45" s="853" t="str">
        <f>採点LR3!$E$70</f>
        <v>-</v>
      </c>
      <c r="AS45" s="854" t="s">
        <v>1071</v>
      </c>
    </row>
    <row r="46" spans="2:52" ht="15" customHeight="1">
      <c r="B46" s="123"/>
      <c r="C46" s="59"/>
      <c r="D46" s="59"/>
      <c r="E46" s="59"/>
      <c r="F46" s="59"/>
      <c r="L46" s="62"/>
      <c r="M46" s="662"/>
      <c r="N46" s="62"/>
      <c r="O46" s="562"/>
      <c r="R46" s="621" t="str">
        <f>C44</f>
        <v>Q-1 環境</v>
      </c>
      <c r="S46" s="702">
        <f>スコア!R8</f>
        <v>3</v>
      </c>
      <c r="T46" s="701">
        <f>スコア!V8</f>
        <v>3.074074074074074</v>
      </c>
      <c r="U46" s="656" t="str">
        <f>G44</f>
        <v>Q-2 社会</v>
      </c>
      <c r="V46" s="623">
        <f>スコア!R41</f>
        <v>3</v>
      </c>
      <c r="W46" s="701">
        <f>スコア!V41</f>
        <v>3</v>
      </c>
      <c r="X46" s="621" t="e">
        <f>#REF!</f>
        <v>#REF!</v>
      </c>
      <c r="Y46" s="623">
        <f>スコア!R74</f>
        <v>3.1</v>
      </c>
      <c r="Z46" s="701">
        <f>スコア!V74</f>
        <v>3.1428571428571428</v>
      </c>
      <c r="AA46" s="62"/>
      <c r="AB46" s="62"/>
      <c r="AC46" s="62"/>
      <c r="AD46" s="62"/>
      <c r="AE46" s="62"/>
      <c r="AF46" s="556">
        <f>結果!M44</f>
        <v>0</v>
      </c>
      <c r="AG46" s="704">
        <f>スコア!J152</f>
        <v>12</v>
      </c>
      <c r="AH46"/>
      <c r="AT46"/>
      <c r="AU46"/>
      <c r="AV46"/>
      <c r="AW46"/>
      <c r="AX46"/>
      <c r="AY46"/>
      <c r="AZ46"/>
    </row>
    <row r="47" spans="2:52" ht="15" customHeight="1" thickBot="1">
      <c r="B47" s="123"/>
      <c r="C47" s="59"/>
      <c r="D47" s="59"/>
      <c r="E47" s="59"/>
      <c r="F47" s="59"/>
      <c r="L47" s="62"/>
      <c r="M47" s="662"/>
      <c r="N47" s="62"/>
      <c r="O47" s="562"/>
      <c r="S47" s="59"/>
      <c r="AA47" s="62"/>
      <c r="AB47" s="62"/>
      <c r="AC47" s="62"/>
      <c r="AD47" s="62"/>
      <c r="AE47" s="62"/>
      <c r="AH47"/>
      <c r="AR47" s="1335" t="s">
        <v>1072</v>
      </c>
      <c r="AS47" s="1336"/>
      <c r="AT47"/>
      <c r="AU47"/>
      <c r="AV47"/>
      <c r="AW47"/>
      <c r="AX47"/>
      <c r="AY47"/>
      <c r="AZ47"/>
    </row>
    <row r="48" spans="2:52" ht="15" customHeight="1" thickBot="1">
      <c r="B48" s="123"/>
      <c r="C48" s="59"/>
      <c r="D48" s="59"/>
      <c r="E48" s="59"/>
      <c r="F48" s="59"/>
      <c r="L48" s="62"/>
      <c r="M48" s="662"/>
      <c r="N48" s="62"/>
      <c r="O48" s="562"/>
      <c r="R48" s="452"/>
      <c r="S48" s="452" t="s">
        <v>144</v>
      </c>
      <c r="T48" s="452" t="s">
        <v>225</v>
      </c>
      <c r="U48" s="452"/>
      <c r="V48" s="452" t="s">
        <v>144</v>
      </c>
      <c r="W48" s="452" t="s">
        <v>225</v>
      </c>
      <c r="X48" s="452"/>
      <c r="Y48" s="624" t="s">
        <v>144</v>
      </c>
      <c r="Z48" s="452" t="s">
        <v>225</v>
      </c>
      <c r="AA48" s="62"/>
      <c r="AB48" s="62"/>
      <c r="AC48" s="62"/>
      <c r="AD48" s="62"/>
      <c r="AE48" s="62"/>
      <c r="AF48" s="452"/>
      <c r="AG48" s="452" t="s">
        <v>224</v>
      </c>
      <c r="AH48"/>
      <c r="AR48" s="1003" t="str">
        <f>採点LR3!$E$21</f>
        <v>〇</v>
      </c>
      <c r="AS48" s="1004" t="s">
        <v>1073</v>
      </c>
      <c r="AT48"/>
      <c r="AU48"/>
      <c r="AV48"/>
      <c r="AW48"/>
      <c r="AX48"/>
      <c r="AY48"/>
      <c r="AZ48"/>
    </row>
    <row r="49" spans="1:52" ht="15" customHeight="1" thickBot="1">
      <c r="B49" s="123"/>
      <c r="C49" s="59"/>
      <c r="D49" s="59"/>
      <c r="E49" s="59"/>
      <c r="F49" s="59"/>
      <c r="L49" s="62"/>
      <c r="M49" s="662"/>
      <c r="N49" s="62"/>
      <c r="O49" s="562"/>
      <c r="R49" s="626" t="s">
        <v>226</v>
      </c>
      <c r="S49" s="622">
        <f>スコア!R9</f>
        <v>3</v>
      </c>
      <c r="T49" s="452" t="str">
        <f>IF(S49=0,"N.A.","")</f>
        <v/>
      </c>
      <c r="U49" s="556" t="s">
        <v>227</v>
      </c>
      <c r="V49" s="623">
        <f>スコア!R42</f>
        <v>3</v>
      </c>
      <c r="W49" s="452" t="str">
        <f>IF(V49=0,"N.A.","")</f>
        <v/>
      </c>
      <c r="X49" s="626" t="s">
        <v>228</v>
      </c>
      <c r="Y49" s="623">
        <f>スコア!R75</f>
        <v>3</v>
      </c>
      <c r="Z49" s="452" t="str">
        <f>IF(Y49=0,"N.A.","")</f>
        <v/>
      </c>
      <c r="AA49" s="62"/>
      <c r="AB49" s="62"/>
      <c r="AC49" s="62"/>
      <c r="AD49" s="62"/>
      <c r="AE49" s="62"/>
      <c r="AF49" s="638" t="str">
        <f>スコア!C153</f>
        <v>エリアマネジメント</v>
      </c>
      <c r="AG49" s="705">
        <f>スコア!J153</f>
        <v>3</v>
      </c>
      <c r="AH49"/>
      <c r="AR49" s="1003" t="str">
        <f>採点LR3!$E$22</f>
        <v>-</v>
      </c>
      <c r="AS49" s="1004" t="s">
        <v>1074</v>
      </c>
      <c r="AT49"/>
      <c r="AU49"/>
      <c r="AV49"/>
      <c r="AW49"/>
      <c r="AX49"/>
      <c r="AY49"/>
      <c r="AZ49"/>
    </row>
    <row r="50" spans="1:52" ht="15" customHeight="1" thickBot="1">
      <c r="B50" s="123"/>
      <c r="C50" s="59"/>
      <c r="D50" s="59"/>
      <c r="E50" s="59"/>
      <c r="F50" s="59"/>
      <c r="L50" s="62"/>
      <c r="M50" s="662"/>
      <c r="N50" s="62"/>
      <c r="O50" s="562"/>
      <c r="R50" s="626" t="s">
        <v>229</v>
      </c>
      <c r="S50" s="622">
        <f>スコア!R25</f>
        <v>3.2</v>
      </c>
      <c r="T50" s="452" t="str">
        <f>IF(S50=0,"N.A.","")</f>
        <v/>
      </c>
      <c r="U50" s="556" t="s">
        <v>230</v>
      </c>
      <c r="V50" s="623">
        <f>スコア!R50</f>
        <v>3</v>
      </c>
      <c r="W50" s="452" t="str">
        <f>IF(V50=0,"N.A.","")</f>
        <v/>
      </c>
      <c r="X50" s="690" t="s">
        <v>231</v>
      </c>
      <c r="Y50" s="623">
        <f>スコア!R85</f>
        <v>3.5</v>
      </c>
      <c r="Z50" s="452" t="str">
        <f>IF(Y50=0,"N.A.","")</f>
        <v/>
      </c>
      <c r="AA50" s="62"/>
      <c r="AB50" s="62"/>
      <c r="AC50" s="62"/>
      <c r="AD50" s="62"/>
      <c r="AE50" s="62"/>
      <c r="AF50" s="638" t="str">
        <f>スコア!L153</f>
        <v>エネルギーマネジメント</v>
      </c>
      <c r="AG50" s="705">
        <f>スコア!R153</f>
        <v>3</v>
      </c>
      <c r="AH50"/>
      <c r="AR50" s="1003" t="str">
        <f>採点LR3!$E$23</f>
        <v>-</v>
      </c>
      <c r="AS50" s="1004" t="s">
        <v>1075</v>
      </c>
      <c r="AT50"/>
      <c r="AU50"/>
      <c r="AV50"/>
      <c r="AW50"/>
      <c r="AX50"/>
      <c r="AY50"/>
      <c r="AZ50"/>
    </row>
    <row r="51" spans="1:52" ht="15" customHeight="1" thickBot="1">
      <c r="B51" s="123"/>
      <c r="C51" s="59"/>
      <c r="D51" s="59"/>
      <c r="E51" s="59"/>
      <c r="F51" s="59"/>
      <c r="G51" s="625"/>
      <c r="H51" s="625"/>
      <c r="I51" s="625"/>
      <c r="L51" s="62"/>
      <c r="M51" s="662"/>
      <c r="N51" s="62"/>
      <c r="O51" s="562"/>
      <c r="R51" s="690" t="s">
        <v>232</v>
      </c>
      <c r="S51" s="622">
        <f>スコア!R39</f>
        <v>3</v>
      </c>
      <c r="T51" s="452" t="str">
        <f>IF(S51=0,"N.A.","")</f>
        <v/>
      </c>
      <c r="U51" s="556" t="s">
        <v>233</v>
      </c>
      <c r="V51" s="623">
        <f>スコア!R55</f>
        <v>3</v>
      </c>
      <c r="W51" s="452" t="str">
        <f>IF(V51=0,"N.A.","")</f>
        <v/>
      </c>
      <c r="X51" s="626" t="s">
        <v>234</v>
      </c>
      <c r="Y51" s="623">
        <f>スコア!R90</f>
        <v>3</v>
      </c>
      <c r="Z51" s="452" t="str">
        <f>IF(Y51=0,"N.A.","")</f>
        <v/>
      </c>
      <c r="AA51" s="62"/>
      <c r="AB51" s="62"/>
      <c r="AC51" s="62"/>
      <c r="AD51" s="62"/>
      <c r="AE51" s="62"/>
      <c r="AF51" s="638" t="str">
        <f>スコア!C158</f>
        <v>交通マネジメント</v>
      </c>
      <c r="AG51" s="705">
        <f>スコア!J158</f>
        <v>3</v>
      </c>
      <c r="AH51"/>
      <c r="AR51" s="1003">
        <f>採点LR3!$E$24</f>
        <v>0</v>
      </c>
      <c r="AS51" s="1004" t="s">
        <v>1076</v>
      </c>
      <c r="AT51"/>
      <c r="AU51"/>
      <c r="AV51"/>
      <c r="AW51"/>
      <c r="AX51"/>
      <c r="AY51"/>
      <c r="AZ51"/>
    </row>
    <row r="52" spans="1:52" ht="15" customHeight="1" thickBot="1">
      <c r="B52" s="123"/>
      <c r="C52" s="59"/>
      <c r="D52" s="59"/>
      <c r="E52" s="59"/>
      <c r="F52" s="59"/>
      <c r="G52" s="625"/>
      <c r="H52" s="625"/>
      <c r="I52" s="625"/>
      <c r="L52" s="62"/>
      <c r="M52" s="662"/>
      <c r="N52" s="62"/>
      <c r="O52" s="562"/>
      <c r="R52" s="690" t="s">
        <v>237</v>
      </c>
      <c r="S52" s="622">
        <f>スコア!R40</f>
        <v>3</v>
      </c>
      <c r="T52" s="452" t="str">
        <f>IF(S52=0,"N.A.","")</f>
        <v/>
      </c>
      <c r="U52" s="556" t="s">
        <v>238</v>
      </c>
      <c r="V52" s="623">
        <f>スコア!R60</f>
        <v>3</v>
      </c>
      <c r="W52" s="452" t="str">
        <f t="shared" ref="W52:W54" si="1">IF(V52=0,"N.A.","")</f>
        <v/>
      </c>
      <c r="X52" s="690" t="s">
        <v>239</v>
      </c>
      <c r="Y52" s="623">
        <f>スコア!R98</f>
        <v>3</v>
      </c>
      <c r="Z52" s="452" t="str">
        <f>IF(Y52=0,"N.A.","")</f>
        <v/>
      </c>
      <c r="AA52" s="62"/>
      <c r="AB52" s="62"/>
      <c r="AC52" s="62"/>
      <c r="AD52" s="62"/>
      <c r="AE52" s="62"/>
      <c r="AF52" s="638" t="str">
        <f>スコア!L158</f>
        <v>発展的マネジメント</v>
      </c>
      <c r="AG52" s="705">
        <f>スコア!R168</f>
        <v>3</v>
      </c>
      <c r="AH52"/>
      <c r="AR52" s="1003">
        <f>採点LR3!$E$25</f>
        <v>0</v>
      </c>
      <c r="AS52" s="1005" t="s">
        <v>1077</v>
      </c>
      <c r="AT52"/>
      <c r="AU52"/>
      <c r="AV52"/>
      <c r="AW52"/>
      <c r="AX52"/>
      <c r="AY52"/>
      <c r="AZ52"/>
    </row>
    <row r="53" spans="1:52" ht="15" customHeight="1" thickBot="1">
      <c r="B53" s="123"/>
      <c r="C53" s="59"/>
      <c r="D53" s="59"/>
      <c r="E53" s="59"/>
      <c r="F53" s="59"/>
      <c r="G53" s="80"/>
      <c r="H53" s="558"/>
      <c r="I53" s="558"/>
      <c r="J53" s="627"/>
      <c r="K53" s="627"/>
      <c r="L53" s="629"/>
      <c r="M53" s="662"/>
      <c r="N53" s="62"/>
      <c r="O53" s="562"/>
      <c r="R53"/>
      <c r="S53"/>
      <c r="T53"/>
      <c r="U53" s="556" t="s">
        <v>240</v>
      </c>
      <c r="V53" s="623">
        <f>スコア!R68</f>
        <v>3</v>
      </c>
      <c r="W53" s="452" t="str">
        <f t="shared" si="1"/>
        <v/>
      </c>
      <c r="X53" s="62"/>
      <c r="Y53" s="62"/>
      <c r="Z53" s="62"/>
      <c r="AA53" s="62"/>
      <c r="AB53" s="62"/>
      <c r="AC53" s="62"/>
      <c r="AD53" s="62"/>
      <c r="AE53" s="62"/>
      <c r="AH53"/>
      <c r="AR53" s="1003">
        <f>採点LR3!$E$26</f>
        <v>0</v>
      </c>
      <c r="AS53" s="1005" t="s">
        <v>823</v>
      </c>
      <c r="AT53"/>
      <c r="AU53"/>
      <c r="AV53"/>
      <c r="AW53"/>
      <c r="AX53"/>
      <c r="AY53"/>
      <c r="AZ53"/>
    </row>
    <row r="54" spans="1:52" ht="15" customHeight="1">
      <c r="A54" s="630"/>
      <c r="B54" s="631" t="s">
        <v>1094</v>
      </c>
      <c r="C54" s="632"/>
      <c r="D54" s="633"/>
      <c r="E54" s="632"/>
      <c r="F54" s="632"/>
      <c r="G54" s="632"/>
      <c r="H54" s="612"/>
      <c r="I54" s="612"/>
      <c r="J54" s="612"/>
      <c r="K54" s="614" t="s">
        <v>1092</v>
      </c>
      <c r="L54" s="709">
        <f>スコア!R99</f>
        <v>2.9</v>
      </c>
      <c r="M54" s="1001" t="s">
        <v>1216</v>
      </c>
      <c r="N54" s="632"/>
      <c r="O54" s="993"/>
      <c r="R54"/>
      <c r="S54"/>
      <c r="T54"/>
      <c r="U54" s="691" t="s">
        <v>241</v>
      </c>
      <c r="V54" s="623">
        <f>スコア!R72</f>
        <v>3</v>
      </c>
      <c r="W54" s="452" t="str">
        <f t="shared" si="1"/>
        <v/>
      </c>
      <c r="X54" s="62"/>
      <c r="Y54" s="62"/>
      <c r="Z54" s="62"/>
      <c r="AA54" s="62"/>
      <c r="AB54" s="62"/>
      <c r="AC54" s="62"/>
      <c r="AD54" s="62"/>
      <c r="AE54" s="62"/>
      <c r="AH54"/>
      <c r="AT54"/>
      <c r="AU54"/>
      <c r="AV54"/>
      <c r="AW54"/>
      <c r="AX54"/>
      <c r="AY54"/>
      <c r="AZ54"/>
    </row>
    <row r="55" spans="1:52" ht="15" customHeight="1">
      <c r="B55" s="70"/>
      <c r="C55" s="71" t="str">
        <f>配慮!B10</f>
        <v>LR-1 エネルギー</v>
      </c>
      <c r="D55" s="71"/>
      <c r="E55" s="634"/>
      <c r="F55" s="71"/>
      <c r="G55" s="71" t="str">
        <f>配慮!B11</f>
        <v>LR-2 資源</v>
      </c>
      <c r="J55" s="71"/>
      <c r="K55" s="707" t="str">
        <f>配慮!B12</f>
        <v>LR-3 周辺環境</v>
      </c>
      <c r="L55" s="655"/>
      <c r="M55" s="660"/>
      <c r="N55" s="62"/>
      <c r="O55" s="618">
        <f>AG57</f>
        <v>9</v>
      </c>
      <c r="S55" s="59"/>
      <c r="AA55" s="62"/>
      <c r="AB55" s="62"/>
      <c r="AC55" s="62"/>
      <c r="AD55" s="62"/>
      <c r="AE55" s="62"/>
      <c r="AH55"/>
      <c r="AT55"/>
      <c r="AU55"/>
      <c r="AV55"/>
      <c r="AW55"/>
      <c r="AX55"/>
      <c r="AY55"/>
      <c r="AZ55"/>
    </row>
    <row r="56" spans="1:52" ht="15" customHeight="1">
      <c r="B56" s="73"/>
      <c r="C56" s="74"/>
      <c r="D56" s="75"/>
      <c r="E56" s="617"/>
      <c r="F56" s="615">
        <f>S57</f>
        <v>3</v>
      </c>
      <c r="H56" s="59"/>
      <c r="I56" s="59"/>
      <c r="J56" s="615">
        <f>V57</f>
        <v>3</v>
      </c>
      <c r="K56" s="615"/>
      <c r="L56" s="657">
        <f>Y57</f>
        <v>2.6</v>
      </c>
      <c r="M56" s="662"/>
      <c r="N56" s="62"/>
      <c r="O56" s="618"/>
      <c r="R56" s="452"/>
      <c r="S56" s="452" t="s">
        <v>144</v>
      </c>
      <c r="T56" s="452" t="s">
        <v>223</v>
      </c>
      <c r="U56" s="452"/>
      <c r="V56" s="452" t="s">
        <v>144</v>
      </c>
      <c r="W56" s="452" t="s">
        <v>223</v>
      </c>
      <c r="X56" s="452"/>
      <c r="Y56" s="452" t="s">
        <v>144</v>
      </c>
      <c r="Z56" s="452" t="s">
        <v>223</v>
      </c>
      <c r="AA56" s="62"/>
      <c r="AB56" s="62"/>
      <c r="AC56" s="62"/>
      <c r="AD56" s="62"/>
      <c r="AE56" s="62"/>
      <c r="AF56" s="452"/>
      <c r="AG56" s="452" t="s">
        <v>224</v>
      </c>
      <c r="AH56"/>
    </row>
    <row r="57" spans="1:52" ht="15" customHeight="1">
      <c r="B57" s="73"/>
      <c r="C57" s="78"/>
      <c r="D57" s="78"/>
      <c r="E57" s="79"/>
      <c r="F57" s="80"/>
      <c r="G57" s="80"/>
      <c r="H57" s="80"/>
      <c r="I57" s="80"/>
      <c r="M57" s="662"/>
      <c r="N57" s="62"/>
      <c r="O57" s="562"/>
      <c r="R57" s="556" t="str">
        <f>C55</f>
        <v>LR-1 エネルギー</v>
      </c>
      <c r="S57" s="623">
        <f>スコア!R100</f>
        <v>3</v>
      </c>
      <c r="T57" s="701">
        <f>スコア!V100</f>
        <v>3</v>
      </c>
      <c r="U57" s="556" t="str">
        <f>G55</f>
        <v>LR-2 資源</v>
      </c>
      <c r="V57" s="635">
        <f>スコア!R107</f>
        <v>3</v>
      </c>
      <c r="W57" s="701">
        <f>スコア!V107</f>
        <v>3.0555555555555554</v>
      </c>
      <c r="X57" s="556">
        <f>L55</f>
        <v>0</v>
      </c>
      <c r="Y57" s="623">
        <f>スコア!R127</f>
        <v>2.6</v>
      </c>
      <c r="Z57" s="701">
        <f>スコア!V127</f>
        <v>2.6481481481481479</v>
      </c>
      <c r="AA57" s="62"/>
      <c r="AB57" s="62"/>
      <c r="AC57" s="62"/>
      <c r="AD57" s="62"/>
      <c r="AE57" s="62"/>
      <c r="AF57" s="556">
        <f>結果!M55</f>
        <v>0</v>
      </c>
      <c r="AG57" s="704">
        <f>スコア!J167</f>
        <v>9</v>
      </c>
      <c r="AH57"/>
    </row>
    <row r="58" spans="1:52" ht="15" customHeight="1">
      <c r="B58" s="73"/>
      <c r="C58" s="63"/>
      <c r="D58" s="82"/>
      <c r="M58" s="662"/>
      <c r="N58" s="62"/>
      <c r="O58" s="562"/>
      <c r="S58" s="59"/>
      <c r="Y58" s="636"/>
      <c r="AA58" s="62"/>
      <c r="AB58" s="62"/>
      <c r="AC58" s="62"/>
      <c r="AD58" s="62"/>
      <c r="AE58" s="62"/>
      <c r="AH58"/>
    </row>
    <row r="59" spans="1:52" ht="15" customHeight="1">
      <c r="B59" s="73"/>
      <c r="M59" s="73"/>
      <c r="O59" s="562"/>
      <c r="R59" s="452"/>
      <c r="S59" s="452" t="s">
        <v>144</v>
      </c>
      <c r="T59" s="452" t="s">
        <v>225</v>
      </c>
      <c r="U59" s="452"/>
      <c r="V59" s="452" t="s">
        <v>144</v>
      </c>
      <c r="W59" s="452" t="s">
        <v>225</v>
      </c>
      <c r="X59" s="452"/>
      <c r="Y59" s="624" t="s">
        <v>144</v>
      </c>
      <c r="Z59" s="452" t="s">
        <v>225</v>
      </c>
      <c r="AA59" s="62"/>
      <c r="AB59" s="62"/>
      <c r="AC59" s="62"/>
      <c r="AD59" s="62"/>
      <c r="AE59" s="62"/>
      <c r="AF59" s="452"/>
      <c r="AG59" s="452" t="s">
        <v>224</v>
      </c>
      <c r="AH59"/>
    </row>
    <row r="60" spans="1:52" ht="15" customHeight="1">
      <c r="B60" s="87"/>
      <c r="M60" s="73"/>
      <c r="O60" s="64"/>
      <c r="R60" s="691" t="s">
        <v>242</v>
      </c>
      <c r="S60" s="637">
        <f>スコア!R101</f>
        <v>3</v>
      </c>
      <c r="T60" s="452" t="str">
        <f>IF(S60=0,"N.A.","")</f>
        <v/>
      </c>
      <c r="U60" s="638" t="s">
        <v>243</v>
      </c>
      <c r="V60" s="623">
        <f>スコア!R108</f>
        <v>3</v>
      </c>
      <c r="W60" s="452" t="str">
        <f>IF(V60=0,"N.A.","")</f>
        <v/>
      </c>
      <c r="X60" s="691" t="s">
        <v>753</v>
      </c>
      <c r="Y60" s="623">
        <f>スコア!R128</f>
        <v>2</v>
      </c>
      <c r="Z60" s="452" t="str">
        <f>IF(Y60=0,"N.A.","")</f>
        <v/>
      </c>
      <c r="AA60" s="62"/>
      <c r="AB60" s="62"/>
      <c r="AC60" s="62"/>
      <c r="AD60" s="62"/>
      <c r="AE60" s="62"/>
      <c r="AF60" s="638" t="str">
        <f>スコア!C168</f>
        <v>環境のスマート化</v>
      </c>
      <c r="AG60" s="705">
        <f>スコア!J168</f>
        <v>3</v>
      </c>
      <c r="AH60"/>
    </row>
    <row r="61" spans="1:52" ht="15" customHeight="1">
      <c r="B61" s="87"/>
      <c r="M61" s="73"/>
      <c r="O61" s="64"/>
      <c r="R61" s="691" t="s">
        <v>245</v>
      </c>
      <c r="S61" s="637">
        <f>スコア!R102</f>
        <v>3</v>
      </c>
      <c r="T61" s="452" t="str">
        <f>IF(S61=0,"N.A.","")</f>
        <v/>
      </c>
      <c r="U61" s="638" t="s">
        <v>246</v>
      </c>
      <c r="V61" s="623">
        <f>スコア!R111</f>
        <v>3.1</v>
      </c>
      <c r="W61" s="452" t="str">
        <f>IF(V61=0,"N.A.","")</f>
        <v/>
      </c>
      <c r="X61" s="691" t="s">
        <v>247</v>
      </c>
      <c r="Y61" s="623">
        <f>スコア!R129</f>
        <v>3</v>
      </c>
      <c r="Z61" s="452" t="str">
        <f>IF(Y61=0,"N.A.","")</f>
        <v/>
      </c>
      <c r="AA61" s="62"/>
      <c r="AB61" s="62"/>
      <c r="AC61" s="62"/>
      <c r="AD61" s="62"/>
      <c r="AE61" s="62"/>
      <c r="AF61" s="638" t="str">
        <f>スコア!C170</f>
        <v>社会のスマート化</v>
      </c>
      <c r="AG61" s="705">
        <f>スコア!J170</f>
        <v>3</v>
      </c>
      <c r="AH61"/>
    </row>
    <row r="62" spans="1:52" ht="15" customHeight="1">
      <c r="B62" s="87"/>
      <c r="M62" s="73"/>
      <c r="O62" s="64"/>
      <c r="R62" s="691" t="s">
        <v>248</v>
      </c>
      <c r="S62" s="637">
        <f>スコア!R103</f>
        <v>3</v>
      </c>
      <c r="T62" s="452" t="str">
        <f>IF(S62=0,"N.A.","")</f>
        <v/>
      </c>
      <c r="U62" s="444" t="s">
        <v>249</v>
      </c>
      <c r="V62" s="623">
        <f>スコア!R119</f>
        <v>3</v>
      </c>
      <c r="W62" s="452" t="str">
        <f>IF(V62=0,"N.A.","")</f>
        <v/>
      </c>
      <c r="X62" s="691" t="s">
        <v>250</v>
      </c>
      <c r="Y62" s="623">
        <f>スコア!R136</f>
        <v>2.9</v>
      </c>
      <c r="Z62" s="452" t="str">
        <f>IF(Y62=0,"N.A.","")</f>
        <v/>
      </c>
      <c r="AA62" s="62"/>
      <c r="AB62" s="62"/>
      <c r="AC62" s="62"/>
      <c r="AD62" s="62"/>
      <c r="AE62" s="62"/>
      <c r="AF62" s="638" t="str">
        <f>スコア!L168</f>
        <v>経済のスマート化</v>
      </c>
      <c r="AG62" s="705">
        <f>スコア!R168</f>
        <v>3</v>
      </c>
      <c r="AH62"/>
    </row>
    <row r="63" spans="1:52" ht="15" customHeight="1">
      <c r="B63" s="87"/>
      <c r="M63" s="73"/>
      <c r="O63" s="64"/>
      <c r="R63" s="691" t="s">
        <v>251</v>
      </c>
      <c r="S63" s="637">
        <f>スコア!R104</f>
        <v>3</v>
      </c>
      <c r="T63" s="452" t="str">
        <f>IF(S63=0,"N.A.","")</f>
        <v/>
      </c>
      <c r="U63" s="62"/>
      <c r="V63" s="641"/>
      <c r="W63" s="641"/>
      <c r="X63" s="641"/>
      <c r="Y63" s="641"/>
      <c r="Z63" s="641"/>
      <c r="AA63" s="62"/>
      <c r="AB63" s="62"/>
      <c r="AC63" s="62"/>
      <c r="AD63" s="62"/>
      <c r="AE63" s="62"/>
      <c r="AH63"/>
    </row>
    <row r="64" spans="1:52" ht="15" customHeight="1" thickBot="1">
      <c r="B64" s="88"/>
      <c r="C64" s="89"/>
      <c r="D64" s="90"/>
      <c r="E64" s="89"/>
      <c r="F64" s="91"/>
      <c r="G64" s="91"/>
      <c r="H64" s="91"/>
      <c r="I64" s="91"/>
      <c r="J64" s="93"/>
      <c r="K64" s="93"/>
      <c r="L64" s="93"/>
      <c r="M64" s="647"/>
      <c r="N64" s="94"/>
      <c r="O64" s="95"/>
      <c r="R64"/>
      <c r="S64"/>
      <c r="T64"/>
      <c r="U64"/>
      <c r="V64"/>
      <c r="W64"/>
      <c r="X64"/>
      <c r="Y64"/>
      <c r="Z64"/>
      <c r="AA64"/>
      <c r="AB64"/>
      <c r="AC64"/>
      <c r="AD64"/>
      <c r="AE64"/>
      <c r="AF64"/>
      <c r="AG64"/>
      <c r="AH64"/>
      <c r="AI64"/>
      <c r="AJ64"/>
      <c r="AK64"/>
      <c r="AL64"/>
      <c r="AM64"/>
      <c r="AN64"/>
      <c r="AO64"/>
      <c r="AP64"/>
      <c r="AQ64"/>
      <c r="AR64"/>
      <c r="AS64"/>
      <c r="AT64"/>
      <c r="AU64"/>
      <c r="AV64"/>
    </row>
    <row r="65" spans="2:48" ht="3.6" customHeight="1" thickBot="1">
      <c r="B65" s="639"/>
      <c r="C65" s="84"/>
      <c r="D65" s="640"/>
      <c r="R65"/>
      <c r="S65"/>
      <c r="T65"/>
      <c r="U65"/>
      <c r="V65"/>
      <c r="W65"/>
      <c r="X65"/>
      <c r="Y65"/>
      <c r="Z65"/>
      <c r="AA65"/>
      <c r="AB65"/>
      <c r="AC65"/>
      <c r="AD65"/>
      <c r="AE65"/>
      <c r="AF65"/>
      <c r="AG65"/>
      <c r="AH65"/>
      <c r="AI65"/>
      <c r="AJ65"/>
      <c r="AK65"/>
      <c r="AL65"/>
      <c r="AM65"/>
      <c r="AN65"/>
      <c r="AO65"/>
      <c r="AP65"/>
      <c r="AQ65"/>
      <c r="AR65"/>
      <c r="AS65"/>
      <c r="AT65"/>
      <c r="AU65"/>
      <c r="AV65"/>
    </row>
    <row r="66" spans="2:48" customFormat="1" ht="15" customHeight="1">
      <c r="B66" s="97" t="s">
        <v>164</v>
      </c>
      <c r="C66" s="98"/>
      <c r="D66" s="99"/>
      <c r="E66" s="98"/>
      <c r="F66" s="98"/>
      <c r="G66" s="98"/>
      <c r="H66" s="100"/>
      <c r="I66" s="100"/>
      <c r="J66" s="98"/>
      <c r="K66" s="98"/>
      <c r="L66" s="98"/>
      <c r="M66" s="102"/>
      <c r="N66" s="102"/>
      <c r="O66" s="182"/>
    </row>
    <row r="67" spans="2:48" customFormat="1" ht="15" customHeight="1">
      <c r="B67" s="183" t="str">
        <f>配慮!B6</f>
        <v>総合</v>
      </c>
      <c r="C67" s="184"/>
      <c r="D67" s="185"/>
      <c r="E67" s="184"/>
      <c r="F67" s="184"/>
      <c r="G67" s="184"/>
      <c r="H67" s="184"/>
      <c r="I67" s="184"/>
      <c r="J67" s="184"/>
      <c r="K67" s="184"/>
      <c r="L67" s="808" t="str">
        <f>配慮!B13</f>
        <v>その他</v>
      </c>
      <c r="M67" s="188"/>
      <c r="N67" s="188"/>
      <c r="O67" s="189"/>
    </row>
    <row r="68" spans="2:48" customFormat="1" ht="28.15" customHeight="1">
      <c r="B68" s="1286" t="str">
        <f>IF(配慮!C6="","",配慮!C6)</f>
        <v/>
      </c>
      <c r="C68" s="1287"/>
      <c r="D68" s="1287"/>
      <c r="E68" s="1287"/>
      <c r="F68" s="1287"/>
      <c r="G68" s="1287"/>
      <c r="H68" s="1287"/>
      <c r="I68" s="1287"/>
      <c r="J68" s="1287"/>
      <c r="K68" s="1287"/>
      <c r="L68" s="1264" t="str">
        <f>IF(配慮!C13="","",配慮!C13)</f>
        <v/>
      </c>
      <c r="M68" s="1262"/>
      <c r="N68" s="1262"/>
      <c r="O68" s="1265"/>
    </row>
    <row r="69" spans="2:48" customFormat="1" ht="15" customHeight="1">
      <c r="B69" s="190" t="str">
        <f>配慮!B7</f>
        <v>Q-1 環境</v>
      </c>
      <c r="C69" s="188"/>
      <c r="D69" s="188"/>
      <c r="E69" s="188"/>
      <c r="F69" s="188"/>
      <c r="G69" s="191"/>
      <c r="H69" s="275" t="str">
        <f>配慮!B8</f>
        <v>Q-2 社会</v>
      </c>
      <c r="I69" s="277"/>
      <c r="J69" s="192"/>
      <c r="K69" s="192"/>
      <c r="L69" s="276" t="str">
        <f>配慮!B9</f>
        <v>Q-3 経済</v>
      </c>
      <c r="M69" s="194"/>
      <c r="N69" s="195"/>
      <c r="O69" s="196"/>
    </row>
    <row r="70" spans="2:48" customFormat="1" ht="29.45" customHeight="1">
      <c r="B70" s="1261" t="str">
        <f>IF(配慮!C7="","",配慮!C7)</f>
        <v/>
      </c>
      <c r="C70" s="1262"/>
      <c r="D70" s="1262"/>
      <c r="E70" s="1262"/>
      <c r="F70" s="1262"/>
      <c r="G70" s="1263"/>
      <c r="H70" s="1264" t="str">
        <f>IF(配慮!C8="","",配慮!C8)</f>
        <v/>
      </c>
      <c r="I70" s="1262"/>
      <c r="J70" s="1262"/>
      <c r="K70" s="1262"/>
      <c r="L70" s="1264" t="str">
        <f>IF(配慮!C9="","",配慮!C9)</f>
        <v/>
      </c>
      <c r="M70" s="1262"/>
      <c r="N70" s="1262"/>
      <c r="O70" s="1265"/>
    </row>
    <row r="71" spans="2:48" customFormat="1" ht="15" customHeight="1">
      <c r="B71" s="190" t="str">
        <f>配慮!B10</f>
        <v>LR-1 エネルギー</v>
      </c>
      <c r="C71" s="197"/>
      <c r="D71" s="185"/>
      <c r="E71" s="185"/>
      <c r="F71" s="185"/>
      <c r="G71" s="198"/>
      <c r="H71" s="277" t="str">
        <f>配慮!B11</f>
        <v>LR-2 資源</v>
      </c>
      <c r="I71" s="277"/>
      <c r="J71" s="188"/>
      <c r="K71" s="188"/>
      <c r="L71" s="276" t="str">
        <f>配慮!B12</f>
        <v>LR-3 周辺環境</v>
      </c>
      <c r="M71" s="197"/>
      <c r="N71" s="185"/>
      <c r="O71" s="199"/>
    </row>
    <row r="72" spans="2:48" customFormat="1" ht="28.9" customHeight="1" thickBot="1">
      <c r="B72" s="1266" t="str">
        <f>IF(配慮!C10="","",配慮!C10)</f>
        <v/>
      </c>
      <c r="C72" s="1267"/>
      <c r="D72" s="1267"/>
      <c r="E72" s="1267"/>
      <c r="F72" s="1267"/>
      <c r="G72" s="1268"/>
      <c r="H72" s="1269" t="str">
        <f>IF(配慮!C11="","",配慮!C11)</f>
        <v/>
      </c>
      <c r="I72" s="1267"/>
      <c r="J72" s="1267"/>
      <c r="K72" s="1267"/>
      <c r="L72" s="1269" t="str">
        <f>IF(配慮!C12="","",配慮!C12)</f>
        <v/>
      </c>
      <c r="M72" s="1267"/>
      <c r="N72" s="1267"/>
      <c r="O72" s="1270"/>
    </row>
    <row r="73" spans="2:48" customFormat="1" ht="7.15" customHeight="1" thickBot="1"/>
    <row r="74" spans="2:48" customFormat="1" ht="15" customHeight="1">
      <c r="B74" s="97" t="s">
        <v>171</v>
      </c>
      <c r="C74" s="98"/>
      <c r="D74" s="99"/>
      <c r="E74" s="98"/>
      <c r="F74" s="98"/>
      <c r="G74" s="98"/>
      <c r="H74" s="100"/>
      <c r="I74" s="100"/>
      <c r="J74" s="98"/>
      <c r="K74" s="98"/>
      <c r="L74" s="98"/>
      <c r="M74" s="102"/>
      <c r="N74" s="102"/>
      <c r="O74" s="182"/>
    </row>
    <row r="75" spans="2:48" customFormat="1" ht="15" customHeight="1">
      <c r="B75" s="1283" t="s">
        <v>172</v>
      </c>
      <c r="C75" s="1284"/>
      <c r="D75" s="1284"/>
      <c r="E75" s="1284"/>
      <c r="F75" s="1284"/>
      <c r="G75" s="1284"/>
      <c r="H75" s="1284"/>
      <c r="I75" s="1284"/>
      <c r="J75" s="1284"/>
      <c r="K75" s="1284"/>
      <c r="L75" s="1284"/>
      <c r="M75" s="1284"/>
      <c r="N75" s="1284"/>
      <c r="O75" s="1285"/>
    </row>
    <row r="76" spans="2:48" customFormat="1" ht="13.9" customHeight="1">
      <c r="B76" s="1255" t="str">
        <f>IF(メイン!C37="","",メイン!C37)</f>
        <v>○○○</v>
      </c>
      <c r="C76" s="1256"/>
      <c r="D76" s="1256"/>
      <c r="E76" s="1256"/>
      <c r="F76" s="1256"/>
      <c r="G76" s="1256"/>
      <c r="H76" s="1256"/>
      <c r="I76" s="1256"/>
      <c r="J76" s="1256"/>
      <c r="K76" s="1256"/>
      <c r="L76" s="1256"/>
      <c r="M76" s="1256"/>
      <c r="N76" s="1256"/>
      <c r="O76" s="1257"/>
    </row>
    <row r="77" spans="2:48" customFormat="1" ht="13.9" customHeight="1" thickBot="1">
      <c r="B77" s="1258" t="str">
        <f>IF(メイン!C38="","",メイン!C38)</f>
        <v>○○○</v>
      </c>
      <c r="C77" s="1259"/>
      <c r="D77" s="1259"/>
      <c r="E77" s="1259"/>
      <c r="F77" s="1259"/>
      <c r="G77" s="1259"/>
      <c r="H77" s="1259"/>
      <c r="I77" s="1259"/>
      <c r="J77" s="1259"/>
      <c r="K77" s="1259"/>
      <c r="L77" s="1259"/>
      <c r="M77" s="1259"/>
      <c r="N77" s="1259"/>
      <c r="O77" s="1260"/>
    </row>
    <row r="78" spans="2:48" customFormat="1" ht="6" customHeight="1"/>
    <row r="79" spans="2:48" customFormat="1" ht="13.9" customHeight="1">
      <c r="B79" s="306" t="s">
        <v>252</v>
      </c>
    </row>
    <row r="80" spans="2:48" customFormat="1" ht="13.9" customHeight="1">
      <c r="B80" s="306" t="s">
        <v>1227</v>
      </c>
    </row>
    <row r="81" spans="2:48" customFormat="1" ht="13.9" customHeight="1">
      <c r="B81" s="306"/>
    </row>
    <row r="82" spans="2:48" customFormat="1" ht="13.9" customHeight="1"/>
    <row r="83" spans="2:48" customFormat="1" ht="13.9" customHeight="1"/>
    <row r="84" spans="2:48" customFormat="1" ht="13.9" customHeight="1"/>
    <row r="85" spans="2:48" customFormat="1" ht="13.9" customHeight="1"/>
    <row r="86" spans="2:48" customFormat="1" ht="13.9" customHeight="1"/>
    <row r="87" spans="2:48" customFormat="1" ht="13.9" customHeight="1"/>
    <row r="88" spans="2:48" customFormat="1" ht="13.9" customHeight="1"/>
    <row r="89" spans="2:48" customFormat="1" ht="13.9" customHeight="1"/>
    <row r="90" spans="2:48" customFormat="1" ht="13.9" customHeight="1"/>
    <row r="91" spans="2:48" customFormat="1" ht="13.9" customHeight="1"/>
    <row r="92" spans="2:48" customFormat="1" ht="13.9" customHeight="1"/>
    <row r="93" spans="2:48" customFormat="1" ht="13.9" customHeight="1"/>
    <row r="94" spans="2:48" customFormat="1" ht="13.9" customHeight="1"/>
    <row r="95" spans="2:48" customFormat="1" ht="13.9" customHeight="1">
      <c r="R95" s="59"/>
      <c r="S95" s="642"/>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row>
    <row r="96" spans="2:48" customFormat="1" ht="13.9" customHeight="1">
      <c r="R96" s="59"/>
      <c r="S96" s="642"/>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row>
    <row r="97" spans="2:48" ht="13.9" customHeight="1">
      <c r="G97" s="132"/>
      <c r="L97" s="132"/>
      <c r="AF97" s="62"/>
      <c r="AG97" s="62"/>
      <c r="AH97" s="62"/>
      <c r="AI97" s="62"/>
      <c r="AJ97" s="62"/>
      <c r="AK97" s="62"/>
      <c r="AL97" s="62"/>
      <c r="AM97" s="62"/>
      <c r="AN97" s="62"/>
      <c r="AO97" s="62"/>
      <c r="AP97" s="62"/>
      <c r="AQ97" s="62"/>
      <c r="AR97" s="62"/>
      <c r="AS97" s="62"/>
      <c r="AT97" s="62"/>
      <c r="AU97" s="62"/>
      <c r="AV97" s="62"/>
    </row>
    <row r="98" spans="2:48" ht="13.9" customHeight="1">
      <c r="E98" s="63"/>
      <c r="F98" s="132"/>
      <c r="G98" s="132"/>
      <c r="H98" s="132"/>
      <c r="I98" s="132"/>
      <c r="L98" s="132"/>
      <c r="AF98" s="62"/>
      <c r="AG98" s="62"/>
      <c r="AH98" s="62"/>
      <c r="AI98" s="62"/>
      <c r="AJ98" s="62"/>
      <c r="AK98" s="62"/>
      <c r="AL98" s="62"/>
      <c r="AM98" s="62"/>
      <c r="AN98" s="62"/>
      <c r="AO98" s="62"/>
      <c r="AP98" s="62"/>
      <c r="AQ98" s="62"/>
      <c r="AR98" s="62"/>
      <c r="AS98" s="62"/>
      <c r="AT98" s="62"/>
      <c r="AU98" s="62"/>
      <c r="AV98" s="62"/>
    </row>
    <row r="99" spans="2:48" s="62" customFormat="1" ht="13.9" customHeight="1">
      <c r="B99" s="85"/>
      <c r="C99" s="121"/>
      <c r="D99" s="82"/>
      <c r="E99" s="63"/>
      <c r="F99" s="132"/>
      <c r="G99" s="132"/>
      <c r="H99" s="132"/>
      <c r="I99" s="132"/>
      <c r="J99" s="66"/>
      <c r="K99" s="66"/>
      <c r="L99" s="132"/>
      <c r="M99" s="63"/>
      <c r="N99" s="63"/>
      <c r="O99" s="63"/>
      <c r="R99" s="59"/>
      <c r="S99" s="642"/>
      <c r="T99" s="59"/>
      <c r="U99" s="59"/>
      <c r="V99" s="59"/>
      <c r="W99" s="59"/>
      <c r="X99" s="59"/>
      <c r="Y99" s="59"/>
      <c r="Z99" s="59"/>
      <c r="AA99" s="59"/>
      <c r="AB99" s="59"/>
      <c r="AC99" s="59"/>
      <c r="AD99" s="59"/>
      <c r="AE99" s="59"/>
    </row>
    <row r="100" spans="2:48" s="62" customFormat="1" ht="13.9" customHeight="1">
      <c r="B100" s="133"/>
      <c r="C100" s="134"/>
      <c r="D100" s="135"/>
      <c r="E100" s="63"/>
      <c r="F100" s="132"/>
      <c r="G100" s="130"/>
      <c r="H100" s="130"/>
      <c r="I100" s="130"/>
      <c r="J100" s="131"/>
      <c r="K100" s="131"/>
      <c r="L100" s="66"/>
      <c r="M100" s="63"/>
      <c r="N100" s="63"/>
      <c r="O100" s="63"/>
      <c r="R100" s="59"/>
      <c r="S100" s="642"/>
      <c r="T100" s="59"/>
      <c r="U100" s="59"/>
      <c r="V100" s="59"/>
      <c r="W100" s="59"/>
      <c r="X100" s="59"/>
      <c r="Y100" s="59"/>
      <c r="Z100" s="59"/>
      <c r="AA100" s="59"/>
      <c r="AB100" s="59"/>
      <c r="AC100" s="59"/>
      <c r="AD100" s="59"/>
      <c r="AE100" s="59"/>
    </row>
    <row r="101" spans="2:48" s="62" customFormat="1" ht="13.9" customHeight="1">
      <c r="B101" s="133"/>
      <c r="C101" s="133"/>
      <c r="D101" s="136"/>
      <c r="E101" s="83"/>
      <c r="F101" s="65"/>
      <c r="G101" s="130"/>
      <c r="H101" s="130"/>
      <c r="I101" s="130"/>
      <c r="J101" s="131"/>
      <c r="K101" s="131"/>
      <c r="L101" s="66"/>
      <c r="M101" s="63"/>
      <c r="N101" s="63"/>
      <c r="O101" s="63"/>
      <c r="R101" s="59"/>
      <c r="S101" s="642"/>
      <c r="T101" s="59"/>
      <c r="U101" s="59"/>
      <c r="V101" s="59"/>
      <c r="W101" s="59"/>
      <c r="X101" s="59"/>
      <c r="Y101" s="59"/>
      <c r="Z101" s="59"/>
      <c r="AA101" s="59"/>
      <c r="AB101" s="59"/>
      <c r="AC101" s="59"/>
      <c r="AD101" s="59"/>
      <c r="AE101" s="59"/>
    </row>
    <row r="102" spans="2:48" s="62" customFormat="1" ht="13.9" customHeight="1">
      <c r="B102" s="85"/>
      <c r="C102" s="85"/>
      <c r="D102" s="86"/>
      <c r="E102" s="83"/>
      <c r="F102" s="65"/>
      <c r="G102" s="65"/>
      <c r="H102" s="65"/>
      <c r="I102" s="65"/>
      <c r="J102" s="81"/>
      <c r="K102" s="81"/>
      <c r="L102" s="65"/>
      <c r="M102" s="63"/>
      <c r="N102" s="63"/>
      <c r="O102" s="63"/>
      <c r="R102" s="59"/>
      <c r="S102" s="642"/>
      <c r="T102" s="59"/>
      <c r="U102" s="59"/>
      <c r="V102" s="59"/>
      <c r="W102" s="59"/>
      <c r="X102" s="59"/>
      <c r="Y102" s="59"/>
      <c r="Z102" s="59"/>
      <c r="AA102" s="59"/>
      <c r="AB102" s="59"/>
      <c r="AC102" s="59"/>
      <c r="AD102" s="59"/>
      <c r="AE102" s="59"/>
    </row>
    <row r="103" spans="2:48" s="62" customFormat="1" ht="13.9" customHeight="1">
      <c r="B103" s="85"/>
      <c r="C103" s="85"/>
      <c r="D103" s="86"/>
      <c r="E103" s="83"/>
      <c r="F103" s="65"/>
      <c r="G103" s="65"/>
      <c r="H103" s="65"/>
      <c r="I103" s="65"/>
      <c r="J103" s="81"/>
      <c r="K103" s="81"/>
      <c r="L103" s="65"/>
      <c r="M103" s="63"/>
      <c r="N103" s="63"/>
      <c r="O103" s="63"/>
      <c r="R103" s="59"/>
      <c r="S103" s="642"/>
      <c r="T103" s="59"/>
      <c r="U103" s="59"/>
      <c r="V103" s="59"/>
      <c r="W103" s="59"/>
      <c r="X103" s="59"/>
      <c r="Y103" s="59"/>
      <c r="Z103" s="59"/>
      <c r="AA103" s="59"/>
      <c r="AB103" s="59"/>
      <c r="AC103" s="59"/>
      <c r="AD103" s="59"/>
      <c r="AE103" s="59"/>
    </row>
    <row r="104" spans="2:48" s="62" customFormat="1" ht="13.9" customHeight="1">
      <c r="B104" s="85"/>
      <c r="C104" s="85"/>
      <c r="D104" s="86"/>
      <c r="E104" s="83"/>
      <c r="F104" s="65"/>
      <c r="G104" s="65"/>
      <c r="H104" s="65"/>
      <c r="I104" s="65"/>
      <c r="J104" s="81"/>
      <c r="K104" s="81"/>
      <c r="L104" s="65"/>
      <c r="M104" s="63"/>
      <c r="N104" s="63"/>
      <c r="O104" s="63"/>
      <c r="R104" s="59"/>
      <c r="S104" s="642"/>
      <c r="T104" s="59"/>
      <c r="U104" s="59"/>
      <c r="V104" s="59"/>
      <c r="W104" s="59"/>
      <c r="X104" s="59"/>
      <c r="Y104" s="59"/>
      <c r="Z104" s="59"/>
      <c r="AA104" s="59"/>
      <c r="AB104" s="59"/>
      <c r="AC104" s="59"/>
      <c r="AD104" s="59"/>
      <c r="AE104" s="59"/>
    </row>
    <row r="105" spans="2:48" s="62" customFormat="1" ht="13.9" customHeight="1">
      <c r="B105" s="85"/>
      <c r="C105" s="85"/>
      <c r="D105" s="86"/>
      <c r="E105" s="83"/>
      <c r="F105" s="65"/>
      <c r="G105" s="65"/>
      <c r="H105" s="65"/>
      <c r="I105" s="65"/>
      <c r="J105" s="81"/>
      <c r="K105" s="81"/>
      <c r="L105" s="65"/>
      <c r="M105" s="63"/>
      <c r="N105" s="63"/>
      <c r="O105" s="63"/>
      <c r="R105" s="59"/>
      <c r="S105" s="642"/>
      <c r="T105" s="59"/>
      <c r="U105" s="59"/>
      <c r="V105" s="59"/>
      <c r="W105" s="59"/>
      <c r="X105" s="59"/>
      <c r="Y105" s="59"/>
      <c r="Z105" s="59"/>
      <c r="AA105" s="59"/>
      <c r="AB105" s="59"/>
      <c r="AC105" s="59"/>
      <c r="AD105" s="59"/>
      <c r="AE105" s="59"/>
    </row>
    <row r="106" spans="2:48" s="62" customFormat="1" ht="13.9" customHeight="1">
      <c r="B106" s="85"/>
      <c r="C106" s="85"/>
      <c r="D106" s="86"/>
      <c r="E106" s="83"/>
      <c r="F106" s="65"/>
      <c r="G106" s="65"/>
      <c r="H106" s="65"/>
      <c r="I106" s="65"/>
      <c r="J106" s="81"/>
      <c r="K106" s="81"/>
      <c r="L106" s="65"/>
      <c r="M106" s="63"/>
      <c r="N106" s="63"/>
      <c r="O106" s="63"/>
      <c r="R106" s="59"/>
      <c r="S106" s="642"/>
      <c r="T106" s="59"/>
      <c r="U106" s="59"/>
      <c r="V106" s="59"/>
      <c r="W106" s="59"/>
      <c r="X106" s="59"/>
      <c r="Y106" s="59"/>
      <c r="Z106" s="59"/>
      <c r="AA106" s="59"/>
      <c r="AB106" s="59"/>
      <c r="AC106" s="59"/>
      <c r="AD106" s="59"/>
      <c r="AE106" s="59"/>
    </row>
    <row r="107" spans="2:48" s="62" customFormat="1" ht="13.9" customHeight="1">
      <c r="B107" s="85"/>
      <c r="C107" s="85"/>
      <c r="D107" s="86"/>
      <c r="E107" s="83"/>
      <c r="F107" s="65"/>
      <c r="G107" s="65"/>
      <c r="H107" s="65"/>
      <c r="I107" s="65"/>
      <c r="J107" s="81"/>
      <c r="K107" s="81"/>
      <c r="L107" s="65"/>
      <c r="M107" s="63"/>
      <c r="N107" s="63"/>
      <c r="O107" s="63"/>
      <c r="R107" s="59"/>
      <c r="S107" s="642"/>
      <c r="T107" s="59"/>
      <c r="U107" s="59"/>
      <c r="V107" s="59"/>
      <c r="W107" s="59"/>
      <c r="X107" s="59"/>
      <c r="Y107" s="59"/>
      <c r="Z107" s="59"/>
      <c r="AA107" s="59"/>
      <c r="AB107" s="59"/>
      <c r="AC107" s="59"/>
      <c r="AD107" s="59"/>
      <c r="AE107" s="59"/>
    </row>
    <row r="108" spans="2:48" s="62" customFormat="1" ht="13.9" customHeight="1">
      <c r="B108" s="85"/>
      <c r="C108" s="85"/>
      <c r="D108" s="86"/>
      <c r="E108" s="83"/>
      <c r="F108" s="65"/>
      <c r="G108" s="65"/>
      <c r="H108" s="65"/>
      <c r="I108" s="65"/>
      <c r="J108" s="81"/>
      <c r="K108" s="81"/>
      <c r="L108" s="65"/>
      <c r="M108" s="63"/>
      <c r="N108" s="63"/>
      <c r="O108" s="63"/>
      <c r="R108" s="59"/>
      <c r="S108" s="642"/>
      <c r="T108" s="59"/>
      <c r="U108" s="59"/>
      <c r="V108" s="59"/>
      <c r="W108" s="59"/>
      <c r="X108" s="59"/>
      <c r="Y108" s="59"/>
      <c r="Z108" s="59"/>
      <c r="AA108" s="59"/>
      <c r="AB108" s="59"/>
      <c r="AC108" s="59"/>
      <c r="AD108" s="59"/>
      <c r="AE108" s="59"/>
    </row>
    <row r="109" spans="2:48" s="62" customFormat="1" ht="13.9" customHeight="1">
      <c r="B109" s="85"/>
      <c r="C109" s="85"/>
      <c r="D109" s="86"/>
      <c r="E109" s="83"/>
      <c r="F109" s="65"/>
      <c r="G109" s="65"/>
      <c r="H109" s="65"/>
      <c r="I109" s="65"/>
      <c r="J109" s="81"/>
      <c r="K109" s="81"/>
      <c r="L109" s="65"/>
      <c r="M109" s="63"/>
      <c r="N109" s="63"/>
      <c r="O109" s="63"/>
      <c r="R109" s="59"/>
      <c r="S109" s="642"/>
      <c r="T109" s="59"/>
      <c r="U109" s="59"/>
      <c r="V109" s="59"/>
      <c r="W109" s="59"/>
      <c r="X109" s="59"/>
      <c r="Y109" s="59"/>
      <c r="Z109" s="59"/>
      <c r="AA109" s="59"/>
      <c r="AB109" s="59"/>
      <c r="AC109" s="59"/>
      <c r="AD109" s="59"/>
      <c r="AE109" s="59"/>
    </row>
    <row r="110" spans="2:48" s="62" customFormat="1" ht="13.9" customHeight="1">
      <c r="B110" s="85"/>
      <c r="C110" s="85"/>
      <c r="D110" s="86"/>
      <c r="E110" s="83"/>
      <c r="F110" s="65"/>
      <c r="G110" s="65"/>
      <c r="H110" s="65"/>
      <c r="I110" s="65"/>
      <c r="J110" s="81"/>
      <c r="K110" s="81"/>
      <c r="L110" s="65"/>
      <c r="M110" s="63"/>
      <c r="N110" s="63"/>
      <c r="O110" s="63"/>
      <c r="R110" s="59"/>
      <c r="S110" s="642"/>
      <c r="T110" s="59"/>
      <c r="U110" s="59"/>
      <c r="V110" s="59"/>
      <c r="W110" s="59"/>
      <c r="X110" s="59"/>
      <c r="Y110" s="59"/>
      <c r="Z110" s="59"/>
      <c r="AA110" s="59"/>
      <c r="AB110" s="59"/>
      <c r="AC110" s="59"/>
      <c r="AD110" s="59"/>
      <c r="AE110" s="59"/>
    </row>
    <row r="111" spans="2:48" s="62" customFormat="1" ht="13.9" customHeight="1">
      <c r="B111" s="85"/>
      <c r="C111" s="85"/>
      <c r="D111" s="86"/>
      <c r="E111" s="83"/>
      <c r="F111" s="65"/>
      <c r="G111" s="65"/>
      <c r="H111" s="65"/>
      <c r="I111" s="65"/>
      <c r="J111" s="81"/>
      <c r="K111" s="81"/>
      <c r="L111" s="65"/>
      <c r="M111" s="63"/>
      <c r="N111" s="63"/>
      <c r="O111" s="63"/>
      <c r="R111" s="59"/>
      <c r="S111" s="642"/>
      <c r="T111" s="59"/>
      <c r="U111" s="59"/>
      <c r="V111" s="59"/>
      <c r="W111" s="59"/>
      <c r="X111" s="59"/>
      <c r="Y111" s="59"/>
      <c r="Z111" s="59"/>
      <c r="AA111" s="59"/>
      <c r="AB111" s="59"/>
      <c r="AC111" s="59"/>
      <c r="AD111" s="59"/>
      <c r="AE111" s="59"/>
    </row>
    <row r="112" spans="2:48" s="62" customFormat="1" ht="13.9" customHeight="1">
      <c r="B112" s="85"/>
      <c r="C112" s="85"/>
      <c r="D112" s="86"/>
      <c r="E112" s="83"/>
      <c r="F112" s="65"/>
      <c r="G112" s="65"/>
      <c r="H112" s="65"/>
      <c r="I112" s="65"/>
      <c r="J112" s="81"/>
      <c r="K112" s="81"/>
      <c r="L112" s="65"/>
      <c r="M112" s="63"/>
      <c r="N112" s="63"/>
      <c r="O112" s="63"/>
      <c r="R112" s="59"/>
      <c r="S112" s="642"/>
      <c r="T112" s="59"/>
      <c r="U112" s="59"/>
      <c r="V112" s="59"/>
      <c r="W112" s="59"/>
      <c r="X112" s="59"/>
      <c r="Y112" s="59"/>
      <c r="Z112" s="59"/>
      <c r="AA112" s="59"/>
      <c r="AB112" s="59"/>
      <c r="AC112" s="59"/>
      <c r="AD112" s="59"/>
      <c r="AE112" s="59"/>
    </row>
    <row r="113" spans="2:31" s="62" customFormat="1" ht="13.9" customHeight="1">
      <c r="B113" s="85"/>
      <c r="C113" s="85"/>
      <c r="D113" s="86"/>
      <c r="E113" s="83"/>
      <c r="F113" s="65"/>
      <c r="G113" s="65"/>
      <c r="H113" s="65"/>
      <c r="I113" s="65"/>
      <c r="J113" s="81"/>
      <c r="K113" s="81"/>
      <c r="L113" s="65"/>
      <c r="M113" s="63"/>
      <c r="N113" s="63"/>
      <c r="O113" s="63"/>
      <c r="R113" s="59"/>
      <c r="S113" s="642"/>
      <c r="T113" s="59"/>
      <c r="U113" s="59"/>
      <c r="V113" s="59"/>
      <c r="W113" s="59"/>
      <c r="X113" s="59"/>
      <c r="Y113" s="59"/>
      <c r="Z113" s="59"/>
      <c r="AA113" s="59"/>
      <c r="AB113" s="59"/>
      <c r="AC113" s="59"/>
      <c r="AD113" s="59"/>
      <c r="AE113" s="59"/>
    </row>
    <row r="114" spans="2:31" s="62" customFormat="1" ht="13.9" customHeight="1">
      <c r="B114" s="85"/>
      <c r="C114" s="85"/>
      <c r="D114" s="86"/>
      <c r="E114" s="83"/>
      <c r="F114" s="65"/>
      <c r="G114" s="65"/>
      <c r="H114" s="65"/>
      <c r="I114" s="65"/>
      <c r="J114" s="81"/>
      <c r="K114" s="81"/>
      <c r="L114" s="65"/>
      <c r="M114" s="63"/>
      <c r="N114" s="63"/>
      <c r="O114" s="63"/>
      <c r="R114" s="59"/>
      <c r="S114" s="642"/>
      <c r="T114" s="59"/>
      <c r="U114" s="59"/>
      <c r="V114" s="59"/>
      <c r="W114" s="59"/>
      <c r="X114" s="59"/>
      <c r="Y114" s="59"/>
      <c r="Z114" s="59"/>
      <c r="AA114" s="59"/>
      <c r="AB114" s="59"/>
      <c r="AC114" s="59"/>
      <c r="AD114" s="59"/>
      <c r="AE114" s="59"/>
    </row>
    <row r="115" spans="2:31" s="62" customFormat="1" ht="13.9" customHeight="1">
      <c r="B115" s="85"/>
      <c r="C115" s="85"/>
      <c r="D115" s="86"/>
      <c r="E115" s="83"/>
      <c r="F115" s="65"/>
      <c r="G115" s="65"/>
      <c r="H115" s="65"/>
      <c r="I115" s="65"/>
      <c r="J115" s="81"/>
      <c r="K115" s="81"/>
      <c r="L115" s="65"/>
      <c r="M115" s="63"/>
      <c r="N115" s="63"/>
      <c r="O115" s="63"/>
      <c r="R115" s="59"/>
      <c r="S115" s="642"/>
      <c r="T115" s="59"/>
      <c r="U115" s="59"/>
      <c r="V115" s="59"/>
      <c r="W115" s="59"/>
      <c r="X115" s="59"/>
      <c r="Y115" s="59"/>
      <c r="Z115" s="59"/>
      <c r="AA115" s="59"/>
      <c r="AB115" s="59"/>
      <c r="AC115" s="59"/>
      <c r="AD115" s="59"/>
      <c r="AE115" s="59"/>
    </row>
    <row r="116" spans="2:31" s="62" customFormat="1" ht="13.9" customHeight="1">
      <c r="B116" s="85"/>
      <c r="C116" s="85"/>
      <c r="D116" s="86"/>
      <c r="E116" s="83"/>
      <c r="F116" s="65"/>
      <c r="G116" s="65"/>
      <c r="H116" s="65"/>
      <c r="I116" s="65"/>
      <c r="J116" s="81"/>
      <c r="K116" s="81"/>
      <c r="L116" s="65"/>
      <c r="M116" s="63"/>
      <c r="N116" s="63"/>
      <c r="O116" s="63"/>
      <c r="R116" s="59"/>
      <c r="S116" s="642"/>
      <c r="T116" s="59"/>
      <c r="U116" s="59"/>
      <c r="V116" s="59"/>
      <c r="W116" s="59"/>
      <c r="X116" s="59"/>
      <c r="Y116" s="59"/>
      <c r="Z116" s="59"/>
      <c r="AA116" s="59"/>
      <c r="AB116" s="59"/>
      <c r="AC116" s="59"/>
      <c r="AD116" s="59"/>
      <c r="AE116" s="59"/>
    </row>
    <row r="117" spans="2:31" s="62" customFormat="1" ht="13.9" customHeight="1">
      <c r="B117" s="85"/>
      <c r="C117" s="85"/>
      <c r="D117" s="86"/>
      <c r="E117" s="83"/>
      <c r="F117" s="65"/>
      <c r="G117" s="65"/>
      <c r="H117" s="65"/>
      <c r="I117" s="65"/>
      <c r="J117" s="81"/>
      <c r="K117" s="81"/>
      <c r="L117" s="65"/>
      <c r="M117" s="63"/>
      <c r="N117" s="63"/>
      <c r="O117" s="63"/>
      <c r="R117" s="59"/>
      <c r="S117" s="642"/>
      <c r="T117" s="59"/>
      <c r="U117" s="59"/>
      <c r="V117" s="59"/>
      <c r="W117" s="59"/>
      <c r="X117" s="59"/>
      <c r="Y117" s="59"/>
      <c r="Z117" s="59"/>
      <c r="AA117" s="59"/>
      <c r="AB117" s="59"/>
      <c r="AC117" s="59"/>
      <c r="AD117" s="59"/>
      <c r="AE117" s="59"/>
    </row>
    <row r="118" spans="2:31" s="62" customFormat="1" ht="13.9" customHeight="1">
      <c r="B118" s="85"/>
      <c r="C118" s="85"/>
      <c r="D118" s="86"/>
      <c r="E118" s="83"/>
      <c r="F118" s="65"/>
      <c r="G118" s="65"/>
      <c r="H118" s="65"/>
      <c r="I118" s="65"/>
      <c r="J118" s="81"/>
      <c r="K118" s="81"/>
      <c r="L118" s="65"/>
      <c r="M118" s="63"/>
      <c r="N118" s="63"/>
      <c r="O118" s="63"/>
      <c r="R118" s="59"/>
      <c r="S118" s="642"/>
      <c r="T118" s="59"/>
      <c r="U118" s="59"/>
      <c r="V118" s="59"/>
      <c r="W118" s="59"/>
      <c r="X118" s="59"/>
      <c r="Y118" s="59"/>
      <c r="Z118" s="59"/>
      <c r="AA118" s="59"/>
      <c r="AB118" s="59"/>
      <c r="AC118" s="59"/>
      <c r="AD118" s="59"/>
      <c r="AE118" s="59"/>
    </row>
    <row r="119" spans="2:31" s="62" customFormat="1" ht="13.9" customHeight="1">
      <c r="B119" s="85"/>
      <c r="C119" s="85"/>
      <c r="D119" s="86"/>
      <c r="E119" s="83"/>
      <c r="F119" s="65"/>
      <c r="G119" s="65"/>
      <c r="H119" s="65"/>
      <c r="I119" s="65"/>
      <c r="J119" s="81"/>
      <c r="K119" s="81"/>
      <c r="L119" s="65"/>
      <c r="M119" s="63"/>
      <c r="N119" s="63"/>
      <c r="O119" s="63"/>
      <c r="R119" s="59"/>
      <c r="S119" s="642"/>
      <c r="T119" s="59"/>
      <c r="U119" s="59"/>
      <c r="V119" s="59"/>
      <c r="W119" s="59"/>
      <c r="X119" s="59"/>
      <c r="Y119" s="59"/>
      <c r="Z119" s="59"/>
      <c r="AA119" s="59"/>
      <c r="AB119" s="59"/>
      <c r="AC119" s="59"/>
      <c r="AD119" s="59"/>
      <c r="AE119" s="59"/>
    </row>
    <row r="120" spans="2:31" s="62" customFormat="1" ht="13.9" customHeight="1">
      <c r="B120" s="85"/>
      <c r="C120" s="85"/>
      <c r="D120" s="86"/>
      <c r="E120" s="83"/>
      <c r="F120" s="65"/>
      <c r="G120" s="65"/>
      <c r="H120" s="65"/>
      <c r="I120" s="65"/>
      <c r="J120" s="81"/>
      <c r="K120" s="81"/>
      <c r="L120" s="65"/>
      <c r="M120" s="63"/>
      <c r="N120" s="63"/>
      <c r="O120" s="63"/>
      <c r="R120" s="59"/>
      <c r="S120" s="642"/>
      <c r="T120" s="59"/>
      <c r="U120" s="59"/>
      <c r="V120" s="59"/>
      <c r="W120" s="59"/>
      <c r="X120" s="59"/>
      <c r="Y120" s="59"/>
      <c r="Z120" s="59"/>
      <c r="AA120" s="59"/>
      <c r="AB120" s="59"/>
      <c r="AC120" s="59"/>
      <c r="AD120" s="59"/>
      <c r="AE120" s="59"/>
    </row>
    <row r="121" spans="2:31" s="62" customFormat="1" ht="13.9" customHeight="1">
      <c r="B121" s="85"/>
      <c r="C121" s="85"/>
      <c r="D121" s="86"/>
      <c r="E121" s="83"/>
      <c r="F121" s="65"/>
      <c r="G121" s="65"/>
      <c r="H121" s="65"/>
      <c r="I121" s="65"/>
      <c r="J121" s="81"/>
      <c r="K121" s="81"/>
      <c r="L121" s="65"/>
      <c r="M121" s="63"/>
      <c r="N121" s="63"/>
      <c r="O121" s="63"/>
      <c r="R121" s="59"/>
      <c r="S121" s="642"/>
      <c r="T121" s="59"/>
      <c r="U121" s="59"/>
      <c r="V121" s="59"/>
      <c r="W121" s="59"/>
      <c r="X121" s="59"/>
      <c r="Y121" s="59"/>
      <c r="Z121" s="59"/>
      <c r="AA121" s="59"/>
      <c r="AB121" s="59"/>
      <c r="AC121" s="59"/>
      <c r="AD121" s="59"/>
      <c r="AE121" s="59"/>
    </row>
    <row r="122" spans="2:31" s="62" customFormat="1" ht="13.9" customHeight="1">
      <c r="B122" s="85"/>
      <c r="C122" s="85"/>
      <c r="D122" s="86"/>
      <c r="E122" s="83"/>
      <c r="F122" s="65"/>
      <c r="G122" s="65"/>
      <c r="H122" s="65"/>
      <c r="I122" s="65"/>
      <c r="J122" s="81"/>
      <c r="K122" s="81"/>
      <c r="L122" s="65"/>
      <c r="M122" s="63"/>
      <c r="N122" s="63"/>
      <c r="O122" s="63"/>
      <c r="R122" s="59"/>
      <c r="S122" s="642"/>
      <c r="T122" s="59"/>
      <c r="U122" s="59"/>
      <c r="V122" s="59"/>
      <c r="W122" s="59"/>
      <c r="X122" s="59"/>
      <c r="Y122" s="59"/>
      <c r="Z122" s="59"/>
      <c r="AA122" s="59"/>
      <c r="AB122" s="59"/>
      <c r="AC122" s="59"/>
      <c r="AD122" s="59"/>
      <c r="AE122" s="59"/>
    </row>
    <row r="123" spans="2:31" s="62" customFormat="1" ht="13.9" customHeight="1">
      <c r="B123" s="85"/>
      <c r="C123" s="85"/>
      <c r="D123" s="86"/>
      <c r="E123" s="83"/>
      <c r="F123" s="65"/>
      <c r="G123" s="65"/>
      <c r="H123" s="65"/>
      <c r="I123" s="65"/>
      <c r="J123" s="81"/>
      <c r="K123" s="81"/>
      <c r="L123" s="65"/>
      <c r="M123" s="63"/>
      <c r="N123" s="63"/>
      <c r="O123" s="63"/>
      <c r="R123" s="59"/>
      <c r="S123" s="642"/>
      <c r="T123" s="59"/>
      <c r="U123" s="59"/>
      <c r="V123" s="59"/>
      <c r="W123" s="59"/>
      <c r="X123" s="59"/>
      <c r="Y123" s="59"/>
      <c r="Z123" s="59"/>
      <c r="AA123" s="59"/>
      <c r="AB123" s="59"/>
      <c r="AC123" s="59"/>
      <c r="AD123" s="59"/>
      <c r="AE123" s="59"/>
    </row>
    <row r="124" spans="2:31" s="62" customFormat="1" ht="13.9" customHeight="1">
      <c r="B124" s="85"/>
      <c r="C124" s="85"/>
      <c r="D124" s="86"/>
      <c r="E124" s="83"/>
      <c r="F124" s="65"/>
      <c r="G124" s="65"/>
      <c r="H124" s="65"/>
      <c r="I124" s="65"/>
      <c r="J124" s="81"/>
      <c r="K124" s="81"/>
      <c r="L124" s="65"/>
      <c r="M124" s="63"/>
      <c r="N124" s="63"/>
      <c r="O124" s="63"/>
      <c r="R124" s="59"/>
      <c r="S124" s="642"/>
      <c r="T124" s="59"/>
      <c r="U124" s="59"/>
      <c r="V124" s="59"/>
      <c r="W124" s="59"/>
      <c r="X124" s="59"/>
      <c r="Y124" s="59"/>
      <c r="Z124" s="59"/>
      <c r="AA124" s="59"/>
      <c r="AB124" s="59"/>
      <c r="AC124" s="59"/>
      <c r="AD124" s="59"/>
      <c r="AE124" s="59"/>
    </row>
    <row r="125" spans="2:31" s="62" customFormat="1" ht="13.9" customHeight="1">
      <c r="B125" s="85"/>
      <c r="C125" s="85"/>
      <c r="D125" s="86"/>
      <c r="E125" s="83"/>
      <c r="F125" s="65"/>
      <c r="G125" s="65"/>
      <c r="H125" s="65"/>
      <c r="I125" s="65"/>
      <c r="J125" s="81"/>
      <c r="K125" s="81"/>
      <c r="L125" s="65"/>
      <c r="M125" s="63"/>
      <c r="N125" s="63"/>
      <c r="O125" s="63"/>
      <c r="R125" s="59"/>
      <c r="S125" s="642"/>
      <c r="T125" s="59"/>
      <c r="U125" s="59"/>
      <c r="V125" s="59"/>
      <c r="W125" s="59"/>
      <c r="X125" s="59"/>
      <c r="Y125" s="59"/>
      <c r="Z125" s="59"/>
      <c r="AA125" s="59"/>
      <c r="AB125" s="59"/>
      <c r="AC125" s="59"/>
      <c r="AD125" s="59"/>
      <c r="AE125" s="59"/>
    </row>
    <row r="126" spans="2:31" s="62" customFormat="1" ht="13.9" customHeight="1">
      <c r="B126" s="85"/>
      <c r="C126" s="85"/>
      <c r="D126" s="86"/>
      <c r="E126" s="83"/>
      <c r="F126" s="65"/>
      <c r="G126" s="65"/>
      <c r="H126" s="65"/>
      <c r="I126" s="65"/>
      <c r="J126" s="81"/>
      <c r="K126" s="81"/>
      <c r="L126" s="65"/>
      <c r="M126" s="63"/>
      <c r="N126" s="63"/>
      <c r="O126" s="63"/>
      <c r="R126" s="59"/>
      <c r="S126" s="642"/>
      <c r="T126" s="59"/>
      <c r="U126" s="59"/>
      <c r="V126" s="59"/>
      <c r="W126" s="59"/>
      <c r="X126" s="59"/>
      <c r="Y126" s="59"/>
      <c r="Z126" s="59"/>
      <c r="AA126" s="59"/>
      <c r="AB126" s="59"/>
      <c r="AC126" s="59"/>
      <c r="AD126" s="59"/>
      <c r="AE126" s="59"/>
    </row>
    <row r="127" spans="2:31" s="62" customFormat="1" ht="13.9" customHeight="1">
      <c r="B127" s="85"/>
      <c r="C127" s="85"/>
      <c r="D127" s="86"/>
      <c r="E127" s="83"/>
      <c r="F127" s="65"/>
      <c r="G127" s="65"/>
      <c r="H127" s="65"/>
      <c r="I127" s="65"/>
      <c r="J127" s="81"/>
      <c r="K127" s="81"/>
      <c r="L127" s="65"/>
      <c r="M127" s="63"/>
      <c r="N127" s="63"/>
      <c r="O127" s="63"/>
      <c r="R127" s="59"/>
      <c r="S127" s="642"/>
      <c r="T127" s="59"/>
      <c r="U127" s="59"/>
      <c r="V127" s="59"/>
      <c r="W127" s="59"/>
      <c r="X127" s="59"/>
      <c r="Y127" s="59"/>
      <c r="Z127" s="59"/>
      <c r="AA127" s="59"/>
      <c r="AB127" s="59"/>
      <c r="AC127" s="59"/>
      <c r="AD127" s="59"/>
      <c r="AE127" s="59"/>
    </row>
    <row r="128" spans="2:31" s="62" customFormat="1" ht="13.9" customHeight="1">
      <c r="B128" s="85"/>
      <c r="C128" s="85"/>
      <c r="D128" s="86"/>
      <c r="E128" s="83"/>
      <c r="F128" s="65"/>
      <c r="G128" s="65"/>
      <c r="H128" s="65"/>
      <c r="I128" s="65"/>
      <c r="J128" s="81"/>
      <c r="K128" s="81"/>
      <c r="L128" s="65"/>
      <c r="M128" s="63"/>
      <c r="N128" s="63"/>
      <c r="O128" s="63"/>
      <c r="R128" s="59"/>
      <c r="S128" s="642"/>
      <c r="T128" s="59"/>
      <c r="U128" s="59"/>
      <c r="V128" s="59"/>
      <c r="W128" s="59"/>
      <c r="X128" s="59"/>
      <c r="Y128" s="59"/>
      <c r="Z128" s="59"/>
      <c r="AA128" s="59"/>
      <c r="AB128" s="59"/>
      <c r="AC128" s="59"/>
      <c r="AD128" s="59"/>
      <c r="AE128" s="59"/>
    </row>
    <row r="129" spans="2:31" s="62" customFormat="1" ht="13.9" customHeight="1">
      <c r="B129" s="85"/>
      <c r="C129" s="85"/>
      <c r="D129" s="86"/>
      <c r="E129" s="83"/>
      <c r="F129" s="65"/>
      <c r="G129" s="65"/>
      <c r="H129" s="65"/>
      <c r="I129" s="65"/>
      <c r="J129" s="81"/>
      <c r="K129" s="81"/>
      <c r="L129" s="65"/>
      <c r="M129" s="63"/>
      <c r="N129" s="63"/>
      <c r="O129" s="63"/>
      <c r="R129" s="59"/>
      <c r="S129" s="642"/>
      <c r="T129" s="59"/>
      <c r="U129" s="59"/>
      <c r="V129" s="59"/>
      <c r="W129" s="59"/>
      <c r="X129" s="59"/>
      <c r="Y129" s="59"/>
      <c r="Z129" s="59"/>
      <c r="AA129" s="59"/>
      <c r="AB129" s="59"/>
      <c r="AC129" s="59"/>
      <c r="AD129" s="59"/>
      <c r="AE129" s="59"/>
    </row>
    <row r="130" spans="2:31" s="62" customFormat="1" ht="13.9" customHeight="1">
      <c r="B130" s="85"/>
      <c r="C130" s="85"/>
      <c r="D130" s="86"/>
      <c r="E130" s="83"/>
      <c r="F130" s="65"/>
      <c r="G130" s="65"/>
      <c r="H130" s="65"/>
      <c r="I130" s="65"/>
      <c r="J130" s="81"/>
      <c r="K130" s="81"/>
      <c r="L130" s="65"/>
      <c r="M130" s="63"/>
      <c r="N130" s="63"/>
      <c r="O130" s="63"/>
      <c r="R130" s="59"/>
      <c r="S130" s="642"/>
      <c r="T130" s="59"/>
      <c r="U130" s="59"/>
      <c r="V130" s="59"/>
      <c r="W130" s="59"/>
      <c r="X130" s="59"/>
      <c r="Y130" s="59"/>
      <c r="Z130" s="59"/>
      <c r="AA130" s="59"/>
      <c r="AB130" s="59"/>
      <c r="AC130" s="59"/>
      <c r="AD130" s="59"/>
      <c r="AE130" s="59"/>
    </row>
    <row r="131" spans="2:31" s="62" customFormat="1" ht="13.9" customHeight="1">
      <c r="B131" s="85"/>
      <c r="C131" s="85"/>
      <c r="D131" s="86"/>
      <c r="E131" s="83"/>
      <c r="F131" s="65"/>
      <c r="G131" s="65"/>
      <c r="H131" s="65"/>
      <c r="I131" s="65"/>
      <c r="J131" s="81"/>
      <c r="K131" s="81"/>
      <c r="L131" s="65"/>
      <c r="M131" s="63"/>
      <c r="N131" s="63"/>
      <c r="O131" s="63"/>
      <c r="R131" s="59"/>
      <c r="S131" s="642"/>
      <c r="T131" s="59"/>
      <c r="U131" s="59"/>
      <c r="V131" s="59"/>
      <c r="W131" s="59"/>
      <c r="X131" s="59"/>
      <c r="Y131" s="59"/>
      <c r="Z131" s="59"/>
      <c r="AA131" s="59"/>
      <c r="AB131" s="59"/>
      <c r="AC131" s="59"/>
      <c r="AD131" s="59"/>
      <c r="AE131" s="59"/>
    </row>
    <row r="132" spans="2:31" s="62" customFormat="1" ht="13.9" customHeight="1">
      <c r="B132" s="85"/>
      <c r="C132" s="85"/>
      <c r="D132" s="86"/>
      <c r="E132" s="83"/>
      <c r="F132" s="65"/>
      <c r="G132" s="65"/>
      <c r="H132" s="65"/>
      <c r="I132" s="65"/>
      <c r="J132" s="81"/>
      <c r="K132" s="81"/>
      <c r="L132" s="65"/>
      <c r="M132" s="63"/>
      <c r="N132" s="63"/>
      <c r="O132" s="63"/>
      <c r="R132" s="59"/>
      <c r="S132" s="642"/>
      <c r="T132" s="59"/>
      <c r="U132" s="59"/>
      <c r="V132" s="59"/>
      <c r="W132" s="59"/>
      <c r="X132" s="59"/>
      <c r="Y132" s="59"/>
      <c r="Z132" s="59"/>
      <c r="AA132" s="59"/>
      <c r="AB132" s="59"/>
      <c r="AC132" s="59"/>
      <c r="AD132" s="59"/>
      <c r="AE132" s="59"/>
    </row>
    <row r="133" spans="2:31" s="62" customFormat="1" ht="13.9" customHeight="1">
      <c r="B133" s="85"/>
      <c r="C133" s="85"/>
      <c r="D133" s="86"/>
      <c r="E133" s="83"/>
      <c r="F133" s="65"/>
      <c r="G133" s="65"/>
      <c r="H133" s="65"/>
      <c r="I133" s="65"/>
      <c r="J133" s="81"/>
      <c r="K133" s="81"/>
      <c r="L133" s="65"/>
      <c r="M133" s="63"/>
      <c r="N133" s="63"/>
      <c r="O133" s="63"/>
      <c r="R133" s="59"/>
      <c r="S133" s="642"/>
      <c r="T133" s="59"/>
      <c r="U133" s="59"/>
      <c r="V133" s="59"/>
      <c r="W133" s="59"/>
      <c r="X133" s="59"/>
      <c r="Y133" s="59"/>
      <c r="Z133" s="59"/>
      <c r="AA133" s="59"/>
      <c r="AB133" s="59"/>
      <c r="AC133" s="59"/>
      <c r="AD133" s="59"/>
      <c r="AE133" s="59"/>
    </row>
    <row r="134" spans="2:31" s="62" customFormat="1" ht="13.9" customHeight="1">
      <c r="B134" s="85"/>
      <c r="C134" s="85"/>
      <c r="D134" s="86"/>
      <c r="E134" s="83"/>
      <c r="F134" s="65"/>
      <c r="G134" s="65"/>
      <c r="H134" s="65"/>
      <c r="I134" s="65"/>
      <c r="J134" s="81"/>
      <c r="K134" s="81"/>
      <c r="L134" s="65"/>
      <c r="M134" s="63"/>
      <c r="N134" s="63"/>
      <c r="O134" s="63"/>
      <c r="R134" s="59"/>
      <c r="S134" s="642"/>
      <c r="T134" s="59"/>
      <c r="U134" s="59"/>
      <c r="V134" s="59"/>
      <c r="W134" s="59"/>
      <c r="X134" s="59"/>
      <c r="Y134" s="59"/>
      <c r="Z134" s="59"/>
      <c r="AA134" s="59"/>
      <c r="AB134" s="59"/>
      <c r="AC134" s="59"/>
      <c r="AD134" s="59"/>
      <c r="AE134" s="59"/>
    </row>
    <row r="135" spans="2:31" s="62" customFormat="1" ht="13.9" customHeight="1">
      <c r="B135" s="85"/>
      <c r="C135" s="85"/>
      <c r="D135" s="86"/>
      <c r="E135" s="83"/>
      <c r="F135" s="65"/>
      <c r="G135" s="65"/>
      <c r="H135" s="65"/>
      <c r="I135" s="65"/>
      <c r="J135" s="81"/>
      <c r="K135" s="81"/>
      <c r="L135" s="65"/>
      <c r="M135" s="63"/>
      <c r="N135" s="63"/>
      <c r="O135" s="63"/>
      <c r="R135" s="59"/>
      <c r="S135" s="642"/>
      <c r="T135" s="59"/>
      <c r="U135" s="59"/>
      <c r="V135" s="59"/>
      <c r="W135" s="59"/>
      <c r="X135" s="59"/>
      <c r="Y135" s="59"/>
      <c r="Z135" s="59"/>
      <c r="AA135" s="59"/>
      <c r="AB135" s="59"/>
      <c r="AC135" s="59"/>
      <c r="AD135" s="59"/>
      <c r="AE135" s="59"/>
    </row>
    <row r="136" spans="2:31" s="62" customFormat="1" ht="13.9" customHeight="1">
      <c r="B136" s="85"/>
      <c r="C136" s="85"/>
      <c r="D136" s="86"/>
      <c r="E136" s="83"/>
      <c r="F136" s="65"/>
      <c r="G136" s="65"/>
      <c r="H136" s="65"/>
      <c r="I136" s="65"/>
      <c r="J136" s="81"/>
      <c r="K136" s="81"/>
      <c r="L136" s="65"/>
      <c r="M136" s="63"/>
      <c r="N136" s="63"/>
      <c r="O136" s="63"/>
      <c r="R136" s="59"/>
      <c r="S136" s="642"/>
      <c r="T136" s="59"/>
      <c r="U136" s="59"/>
      <c r="V136" s="59"/>
      <c r="W136" s="59"/>
      <c r="X136" s="59"/>
      <c r="Y136" s="59"/>
      <c r="Z136" s="59"/>
      <c r="AA136" s="59"/>
      <c r="AB136" s="59"/>
      <c r="AC136" s="59"/>
      <c r="AD136" s="59"/>
      <c r="AE136" s="59"/>
    </row>
    <row r="137" spans="2:31" s="62" customFormat="1" ht="13.9" customHeight="1">
      <c r="B137" s="85"/>
      <c r="C137" s="85"/>
      <c r="D137" s="86"/>
      <c r="E137" s="83"/>
      <c r="F137" s="65"/>
      <c r="G137" s="65"/>
      <c r="H137" s="65"/>
      <c r="I137" s="65"/>
      <c r="J137" s="81"/>
      <c r="K137" s="81"/>
      <c r="L137" s="65"/>
      <c r="M137" s="63"/>
      <c r="N137" s="63"/>
      <c r="O137" s="63"/>
      <c r="R137" s="59"/>
      <c r="S137" s="642"/>
      <c r="T137" s="59"/>
      <c r="U137" s="59"/>
      <c r="V137" s="59"/>
      <c r="W137" s="59"/>
      <c r="X137" s="59"/>
      <c r="Y137" s="59"/>
      <c r="Z137" s="59"/>
      <c r="AA137" s="59"/>
      <c r="AB137" s="59"/>
      <c r="AC137" s="59"/>
      <c r="AD137" s="59"/>
      <c r="AE137" s="59"/>
    </row>
    <row r="138" spans="2:31" s="62" customFormat="1" ht="13.9" customHeight="1">
      <c r="B138" s="85"/>
      <c r="C138" s="85"/>
      <c r="D138" s="86"/>
      <c r="E138" s="83"/>
      <c r="F138" s="65"/>
      <c r="G138" s="65"/>
      <c r="H138" s="65"/>
      <c r="I138" s="65"/>
      <c r="J138" s="81"/>
      <c r="K138" s="81"/>
      <c r="L138" s="65"/>
      <c r="M138" s="63"/>
      <c r="N138" s="63"/>
      <c r="O138" s="63"/>
      <c r="R138" s="59"/>
      <c r="S138" s="642"/>
      <c r="T138" s="59"/>
      <c r="U138" s="59"/>
      <c r="V138" s="59"/>
      <c r="W138" s="59"/>
      <c r="X138" s="59"/>
      <c r="Y138" s="59"/>
      <c r="Z138" s="59"/>
      <c r="AA138" s="59"/>
      <c r="AB138" s="59"/>
      <c r="AC138" s="59"/>
      <c r="AD138" s="59"/>
      <c r="AE138" s="59"/>
    </row>
    <row r="139" spans="2:31" s="62" customFormat="1" ht="13.9" customHeight="1">
      <c r="B139" s="85"/>
      <c r="C139" s="85"/>
      <c r="D139" s="86"/>
      <c r="E139" s="83"/>
      <c r="F139" s="65"/>
      <c r="G139" s="65"/>
      <c r="H139" s="65"/>
      <c r="I139" s="65"/>
      <c r="J139" s="81"/>
      <c r="K139" s="81"/>
      <c r="L139" s="65"/>
      <c r="M139" s="63"/>
      <c r="N139" s="63"/>
      <c r="O139" s="63"/>
      <c r="R139" s="59"/>
      <c r="S139" s="642"/>
      <c r="T139" s="59"/>
      <c r="U139" s="59"/>
      <c r="V139" s="59"/>
      <c r="W139" s="59"/>
      <c r="X139" s="59"/>
      <c r="Y139" s="59"/>
      <c r="Z139" s="59"/>
      <c r="AA139" s="59"/>
      <c r="AB139" s="59"/>
      <c r="AC139" s="59"/>
      <c r="AD139" s="59"/>
      <c r="AE139" s="59"/>
    </row>
    <row r="140" spans="2:31" s="62" customFormat="1" ht="13.9" customHeight="1">
      <c r="B140" s="85"/>
      <c r="C140" s="85"/>
      <c r="D140" s="86"/>
      <c r="E140" s="83"/>
      <c r="F140" s="65"/>
      <c r="G140" s="65"/>
      <c r="H140" s="65"/>
      <c r="I140" s="65"/>
      <c r="J140" s="81"/>
      <c r="K140" s="81"/>
      <c r="L140" s="65"/>
      <c r="M140" s="63"/>
      <c r="N140" s="63"/>
      <c r="O140" s="63"/>
      <c r="R140" s="59"/>
      <c r="S140" s="642"/>
      <c r="T140" s="59"/>
      <c r="U140" s="59"/>
      <c r="V140" s="59"/>
      <c r="W140" s="59"/>
      <c r="X140" s="59"/>
      <c r="Y140" s="59"/>
      <c r="Z140" s="59"/>
      <c r="AA140" s="59"/>
      <c r="AB140" s="59"/>
      <c r="AC140" s="59"/>
      <c r="AD140" s="59"/>
      <c r="AE140" s="59"/>
    </row>
    <row r="141" spans="2:31" s="62" customFormat="1" ht="13.9" customHeight="1">
      <c r="B141" s="85"/>
      <c r="C141" s="85"/>
      <c r="D141" s="86"/>
      <c r="E141" s="83"/>
      <c r="F141" s="65"/>
      <c r="G141" s="65"/>
      <c r="H141" s="65"/>
      <c r="I141" s="65"/>
      <c r="J141" s="81"/>
      <c r="K141" s="81"/>
      <c r="L141" s="65"/>
      <c r="M141" s="63"/>
      <c r="N141" s="63"/>
      <c r="O141" s="63"/>
      <c r="R141" s="59"/>
      <c r="S141" s="642"/>
      <c r="T141" s="59"/>
      <c r="U141" s="59"/>
      <c r="V141" s="59"/>
      <c r="W141" s="59"/>
      <c r="X141" s="59"/>
      <c r="Y141" s="59"/>
      <c r="Z141" s="59"/>
      <c r="AA141" s="59"/>
      <c r="AB141" s="59"/>
      <c r="AC141" s="59"/>
      <c r="AD141" s="59"/>
      <c r="AE141" s="59"/>
    </row>
    <row r="142" spans="2:31" s="62" customFormat="1" ht="13.9" customHeight="1">
      <c r="B142" s="85"/>
      <c r="C142" s="85"/>
      <c r="D142" s="86"/>
      <c r="E142" s="83"/>
      <c r="F142" s="65"/>
      <c r="G142" s="65"/>
      <c r="H142" s="65"/>
      <c r="I142" s="65"/>
      <c r="J142" s="81"/>
      <c r="K142" s="81"/>
      <c r="L142" s="65"/>
      <c r="M142" s="63"/>
      <c r="N142" s="63"/>
      <c r="O142" s="63"/>
      <c r="R142" s="59"/>
      <c r="S142" s="642"/>
      <c r="T142" s="59"/>
      <c r="U142" s="59"/>
      <c r="V142" s="59"/>
      <c r="W142" s="59"/>
      <c r="X142" s="59"/>
      <c r="Y142" s="59"/>
      <c r="Z142" s="59"/>
      <c r="AA142" s="59"/>
      <c r="AB142" s="59"/>
      <c r="AC142" s="59"/>
      <c r="AD142" s="59"/>
      <c r="AE142" s="59"/>
    </row>
    <row r="143" spans="2:31" s="62" customFormat="1" ht="13.9" customHeight="1">
      <c r="B143" s="85"/>
      <c r="C143" s="85"/>
      <c r="D143" s="86"/>
      <c r="E143" s="83"/>
      <c r="F143" s="65"/>
      <c r="G143" s="65"/>
      <c r="H143" s="65"/>
      <c r="I143" s="65"/>
      <c r="J143" s="81"/>
      <c r="K143" s="81"/>
      <c r="L143" s="65"/>
      <c r="M143" s="63"/>
      <c r="N143" s="63"/>
      <c r="O143" s="63"/>
      <c r="R143" s="59"/>
      <c r="S143" s="642"/>
      <c r="T143" s="59"/>
      <c r="U143" s="59"/>
      <c r="V143" s="59"/>
      <c r="W143" s="59"/>
      <c r="X143" s="59"/>
      <c r="Y143" s="59"/>
      <c r="Z143" s="59"/>
      <c r="AA143" s="59"/>
      <c r="AB143" s="59"/>
      <c r="AC143" s="59"/>
      <c r="AD143" s="59"/>
      <c r="AE143" s="59"/>
    </row>
    <row r="144" spans="2:31" s="62" customFormat="1" ht="13.9" customHeight="1">
      <c r="B144" s="85"/>
      <c r="C144" s="85"/>
      <c r="D144" s="86"/>
      <c r="E144" s="83"/>
      <c r="F144" s="65"/>
      <c r="G144" s="65"/>
      <c r="H144" s="65"/>
      <c r="I144" s="65"/>
      <c r="J144" s="81"/>
      <c r="K144" s="81"/>
      <c r="L144" s="65"/>
      <c r="M144" s="63"/>
      <c r="N144" s="63"/>
      <c r="O144" s="63"/>
      <c r="R144" s="59"/>
      <c r="S144" s="642"/>
      <c r="T144" s="59"/>
      <c r="U144" s="59"/>
      <c r="V144" s="59"/>
      <c r="W144" s="59"/>
      <c r="X144" s="59"/>
      <c r="Y144" s="59"/>
      <c r="Z144" s="59"/>
      <c r="AA144" s="59"/>
      <c r="AB144" s="59"/>
      <c r="AC144" s="59"/>
      <c r="AD144" s="59"/>
      <c r="AE144" s="59"/>
    </row>
    <row r="145" spans="2:31" s="62" customFormat="1" ht="13.9" customHeight="1">
      <c r="B145" s="85"/>
      <c r="C145" s="85"/>
      <c r="D145" s="86"/>
      <c r="E145" s="83"/>
      <c r="F145" s="65"/>
      <c r="G145" s="65"/>
      <c r="H145" s="65"/>
      <c r="I145" s="65"/>
      <c r="J145" s="81"/>
      <c r="K145" s="81"/>
      <c r="L145" s="65"/>
      <c r="M145" s="63"/>
      <c r="N145" s="63"/>
      <c r="O145" s="63"/>
      <c r="R145" s="59"/>
      <c r="S145" s="642"/>
      <c r="T145" s="59"/>
      <c r="U145" s="59"/>
      <c r="V145" s="59"/>
      <c r="W145" s="59"/>
      <c r="X145" s="59"/>
      <c r="Y145" s="59"/>
      <c r="Z145" s="59"/>
      <c r="AA145" s="59"/>
      <c r="AB145" s="59"/>
      <c r="AC145" s="59"/>
      <c r="AD145" s="59"/>
      <c r="AE145" s="59"/>
    </row>
    <row r="146" spans="2:31" s="62" customFormat="1" ht="13.9" customHeight="1">
      <c r="B146" s="85"/>
      <c r="C146" s="85"/>
      <c r="D146" s="86"/>
      <c r="E146" s="83"/>
      <c r="F146" s="65"/>
      <c r="G146" s="65"/>
      <c r="H146" s="65"/>
      <c r="I146" s="65"/>
      <c r="J146" s="81"/>
      <c r="K146" s="81"/>
      <c r="L146" s="65"/>
      <c r="M146" s="63"/>
      <c r="N146" s="63"/>
      <c r="O146" s="63"/>
      <c r="R146" s="59"/>
      <c r="S146" s="642"/>
      <c r="T146" s="59"/>
      <c r="U146" s="59"/>
      <c r="V146" s="59"/>
      <c r="W146" s="59"/>
      <c r="X146" s="59"/>
      <c r="Y146" s="59"/>
      <c r="Z146" s="59"/>
      <c r="AA146" s="59"/>
      <c r="AB146" s="59"/>
      <c r="AC146" s="59"/>
      <c r="AD146" s="59"/>
      <c r="AE146" s="59"/>
    </row>
    <row r="147" spans="2:31" s="62" customFormat="1" ht="13.9" customHeight="1">
      <c r="B147" s="85"/>
      <c r="C147" s="85"/>
      <c r="D147" s="86"/>
      <c r="E147" s="83"/>
      <c r="F147" s="65"/>
      <c r="G147" s="65"/>
      <c r="H147" s="65"/>
      <c r="I147" s="65"/>
      <c r="J147" s="81"/>
      <c r="K147" s="81"/>
      <c r="L147" s="65"/>
      <c r="M147" s="63"/>
      <c r="N147" s="63"/>
      <c r="O147" s="63"/>
      <c r="R147" s="59"/>
      <c r="S147" s="642"/>
      <c r="T147" s="59"/>
      <c r="U147" s="59"/>
      <c r="V147" s="59"/>
      <c r="W147" s="59"/>
      <c r="X147" s="59"/>
      <c r="Y147" s="59"/>
      <c r="Z147" s="59"/>
      <c r="AA147" s="59"/>
      <c r="AB147" s="59"/>
      <c r="AC147" s="59"/>
      <c r="AD147" s="59"/>
      <c r="AE147" s="59"/>
    </row>
    <row r="148" spans="2:31" s="62" customFormat="1" ht="13.9" customHeight="1">
      <c r="B148" s="85"/>
      <c r="C148" s="85"/>
      <c r="D148" s="86"/>
      <c r="E148" s="83"/>
      <c r="F148" s="65"/>
      <c r="G148" s="65"/>
      <c r="H148" s="65"/>
      <c r="I148" s="65"/>
      <c r="J148" s="81"/>
      <c r="K148" s="81"/>
      <c r="L148" s="65"/>
      <c r="M148" s="63"/>
      <c r="N148" s="63"/>
      <c r="O148" s="63"/>
      <c r="R148" s="59"/>
      <c r="S148" s="642"/>
      <c r="T148" s="59"/>
      <c r="U148" s="59"/>
      <c r="V148" s="59"/>
      <c r="W148" s="59"/>
      <c r="X148" s="59"/>
      <c r="Y148" s="59"/>
      <c r="Z148" s="59"/>
      <c r="AA148" s="59"/>
      <c r="AB148" s="59"/>
      <c r="AC148" s="59"/>
      <c r="AD148" s="59"/>
      <c r="AE148" s="59"/>
    </row>
    <row r="149" spans="2:31" s="62" customFormat="1" ht="13.9" customHeight="1">
      <c r="B149" s="85"/>
      <c r="C149" s="85"/>
      <c r="D149" s="86"/>
      <c r="E149" s="83"/>
      <c r="F149" s="65"/>
      <c r="G149" s="65"/>
      <c r="H149" s="65"/>
      <c r="I149" s="65"/>
      <c r="J149" s="81"/>
      <c r="K149" s="81"/>
      <c r="L149" s="65"/>
      <c r="M149" s="63"/>
      <c r="N149" s="63"/>
      <c r="O149" s="63"/>
      <c r="R149" s="59"/>
      <c r="S149" s="642"/>
      <c r="T149" s="59"/>
      <c r="U149" s="59"/>
      <c r="V149" s="59"/>
      <c r="W149" s="59"/>
      <c r="X149" s="59"/>
      <c r="Y149" s="59"/>
      <c r="Z149" s="59"/>
      <c r="AA149" s="59"/>
      <c r="AB149" s="59"/>
      <c r="AC149" s="59"/>
      <c r="AD149" s="59"/>
      <c r="AE149" s="59"/>
    </row>
    <row r="150" spans="2:31" s="62" customFormat="1" ht="13.9" customHeight="1">
      <c r="B150" s="85"/>
      <c r="C150" s="85"/>
      <c r="D150" s="86"/>
      <c r="E150" s="83"/>
      <c r="F150" s="65"/>
      <c r="G150" s="65"/>
      <c r="H150" s="65"/>
      <c r="I150" s="65"/>
      <c r="J150" s="81"/>
      <c r="K150" s="81"/>
      <c r="L150" s="65"/>
      <c r="M150" s="63"/>
      <c r="N150" s="63"/>
      <c r="O150" s="63"/>
      <c r="R150" s="59"/>
      <c r="S150" s="642"/>
      <c r="T150" s="59"/>
      <c r="U150" s="59"/>
      <c r="V150" s="59"/>
      <c r="W150" s="59"/>
      <c r="X150" s="59"/>
      <c r="Y150" s="59"/>
      <c r="Z150" s="59"/>
      <c r="AA150" s="59"/>
      <c r="AB150" s="59"/>
      <c r="AC150" s="59"/>
      <c r="AD150" s="59"/>
      <c r="AE150" s="59"/>
    </row>
    <row r="151" spans="2:31" s="62" customFormat="1" ht="13.9" customHeight="1">
      <c r="B151" s="85"/>
      <c r="C151" s="85"/>
      <c r="D151" s="86"/>
      <c r="E151" s="83"/>
      <c r="F151" s="65"/>
      <c r="G151" s="65"/>
      <c r="H151" s="65"/>
      <c r="I151" s="65"/>
      <c r="J151" s="81"/>
      <c r="K151" s="81"/>
      <c r="L151" s="65"/>
      <c r="M151" s="63"/>
      <c r="N151" s="63"/>
      <c r="O151" s="63"/>
      <c r="R151" s="59"/>
      <c r="S151" s="642"/>
      <c r="T151" s="59"/>
      <c r="U151" s="59"/>
      <c r="V151" s="59"/>
      <c r="W151" s="59"/>
      <c r="X151" s="59"/>
      <c r="Y151" s="59"/>
      <c r="Z151" s="59"/>
      <c r="AA151" s="59"/>
      <c r="AB151" s="59"/>
      <c r="AC151" s="59"/>
      <c r="AD151" s="59"/>
      <c r="AE151" s="59"/>
    </row>
    <row r="152" spans="2:31" s="62" customFormat="1" ht="13.9" customHeight="1">
      <c r="B152" s="85"/>
      <c r="C152" s="85"/>
      <c r="D152" s="86"/>
      <c r="E152" s="83"/>
      <c r="F152" s="65"/>
      <c r="G152" s="65"/>
      <c r="H152" s="65"/>
      <c r="I152" s="65"/>
      <c r="J152" s="81"/>
      <c r="K152" s="81"/>
      <c r="L152" s="65"/>
      <c r="M152" s="63"/>
      <c r="N152" s="63"/>
      <c r="O152" s="63"/>
      <c r="R152" s="59"/>
      <c r="S152" s="642"/>
      <c r="T152" s="59"/>
      <c r="U152" s="59"/>
      <c r="V152" s="59"/>
      <c r="W152" s="59"/>
      <c r="X152" s="59"/>
      <c r="Y152" s="59"/>
      <c r="Z152" s="59"/>
      <c r="AA152" s="59"/>
      <c r="AB152" s="59"/>
      <c r="AC152" s="59"/>
      <c r="AD152" s="59"/>
      <c r="AE152" s="59"/>
    </row>
    <row r="153" spans="2:31" s="62" customFormat="1" ht="13.9" customHeight="1">
      <c r="B153" s="85"/>
      <c r="C153" s="85"/>
      <c r="D153" s="86"/>
      <c r="E153" s="83"/>
      <c r="F153" s="65"/>
      <c r="G153" s="65"/>
      <c r="H153" s="65"/>
      <c r="I153" s="65"/>
      <c r="J153" s="81"/>
      <c r="K153" s="81"/>
      <c r="L153" s="65"/>
      <c r="M153" s="63"/>
      <c r="N153" s="63"/>
      <c r="O153" s="63"/>
      <c r="R153" s="59"/>
      <c r="S153" s="642"/>
      <c r="T153" s="59"/>
      <c r="U153" s="59"/>
      <c r="V153" s="59"/>
      <c r="W153" s="59"/>
      <c r="X153" s="59"/>
      <c r="Y153" s="59"/>
      <c r="Z153" s="59"/>
      <c r="AA153" s="59"/>
      <c r="AB153" s="59"/>
      <c r="AC153" s="59"/>
      <c r="AD153" s="59"/>
      <c r="AE153" s="59"/>
    </row>
    <row r="154" spans="2:31" s="62" customFormat="1" ht="13.9" customHeight="1">
      <c r="B154" s="85"/>
      <c r="C154" s="85"/>
      <c r="D154" s="86"/>
      <c r="E154" s="83"/>
      <c r="F154" s="65"/>
      <c r="G154" s="65"/>
      <c r="H154" s="65"/>
      <c r="I154" s="65"/>
      <c r="J154" s="81"/>
      <c r="K154" s="81"/>
      <c r="L154" s="65"/>
      <c r="M154" s="63"/>
      <c r="N154" s="63"/>
      <c r="O154" s="63"/>
      <c r="R154" s="59"/>
      <c r="S154" s="642"/>
      <c r="T154" s="59"/>
      <c r="U154" s="59"/>
      <c r="V154" s="59"/>
      <c r="W154" s="59"/>
      <c r="X154" s="59"/>
      <c r="Y154" s="59"/>
      <c r="Z154" s="59"/>
      <c r="AA154" s="59"/>
      <c r="AB154" s="59"/>
      <c r="AC154" s="59"/>
      <c r="AD154" s="59"/>
      <c r="AE154" s="59"/>
    </row>
    <row r="155" spans="2:31" s="62" customFormat="1" ht="13.9" customHeight="1">
      <c r="B155" s="85"/>
      <c r="C155" s="85"/>
      <c r="D155" s="86"/>
      <c r="E155" s="83"/>
      <c r="F155" s="65"/>
      <c r="G155" s="65"/>
      <c r="H155" s="65"/>
      <c r="I155" s="65"/>
      <c r="J155" s="81"/>
      <c r="K155" s="81"/>
      <c r="L155" s="65"/>
      <c r="M155" s="63"/>
      <c r="N155" s="63"/>
      <c r="O155" s="63"/>
      <c r="R155" s="59"/>
      <c r="S155" s="642"/>
      <c r="T155" s="59"/>
      <c r="U155" s="59"/>
      <c r="V155" s="59"/>
      <c r="W155" s="59"/>
      <c r="X155" s="59"/>
      <c r="Y155" s="59"/>
      <c r="Z155" s="59"/>
      <c r="AA155" s="59"/>
      <c r="AB155" s="59"/>
      <c r="AC155" s="59"/>
      <c r="AD155" s="59"/>
      <c r="AE155" s="59"/>
    </row>
    <row r="156" spans="2:31" s="62" customFormat="1" ht="13.9" customHeight="1">
      <c r="B156" s="85"/>
      <c r="C156" s="85"/>
      <c r="D156" s="86"/>
      <c r="E156" s="83"/>
      <c r="F156" s="65"/>
      <c r="G156" s="65"/>
      <c r="H156" s="65"/>
      <c r="I156" s="65"/>
      <c r="J156" s="81"/>
      <c r="K156" s="81"/>
      <c r="L156" s="65"/>
      <c r="M156" s="63"/>
      <c r="N156" s="63"/>
      <c r="O156" s="63"/>
      <c r="R156" s="59"/>
      <c r="S156" s="642"/>
      <c r="T156" s="59"/>
      <c r="U156" s="59"/>
      <c r="V156" s="59"/>
      <c r="W156" s="59"/>
      <c r="X156" s="59"/>
      <c r="Y156" s="59"/>
      <c r="Z156" s="59"/>
      <c r="AA156" s="59"/>
      <c r="AB156" s="59"/>
      <c r="AC156" s="59"/>
      <c r="AD156" s="59"/>
      <c r="AE156" s="59"/>
    </row>
    <row r="157" spans="2:31" s="62" customFormat="1" ht="13.9" customHeight="1">
      <c r="B157" s="85"/>
      <c r="C157" s="85"/>
      <c r="D157" s="86"/>
      <c r="E157" s="83"/>
      <c r="F157" s="65"/>
      <c r="G157" s="65"/>
      <c r="H157" s="65"/>
      <c r="I157" s="65"/>
      <c r="J157" s="81"/>
      <c r="K157" s="81"/>
      <c r="L157" s="65"/>
      <c r="M157" s="63"/>
      <c r="N157" s="63"/>
      <c r="O157" s="63"/>
      <c r="R157" s="59"/>
      <c r="S157" s="642"/>
      <c r="T157" s="59"/>
      <c r="U157" s="59"/>
      <c r="V157" s="59"/>
      <c r="W157" s="59"/>
      <c r="X157" s="59"/>
      <c r="Y157" s="59"/>
      <c r="Z157" s="59"/>
      <c r="AA157" s="59"/>
      <c r="AB157" s="59"/>
      <c r="AC157" s="59"/>
      <c r="AD157" s="59"/>
      <c r="AE157" s="59"/>
    </row>
    <row r="158" spans="2:31" s="62" customFormat="1" ht="13.9" customHeight="1">
      <c r="B158" s="85"/>
      <c r="C158" s="85"/>
      <c r="D158" s="86"/>
      <c r="E158" s="83"/>
      <c r="F158" s="65"/>
      <c r="G158" s="65"/>
      <c r="H158" s="65"/>
      <c r="I158" s="65"/>
      <c r="J158" s="81"/>
      <c r="K158" s="81"/>
      <c r="L158" s="65"/>
      <c r="M158" s="63"/>
      <c r="N158" s="63"/>
      <c r="O158" s="63"/>
      <c r="R158" s="59"/>
      <c r="S158" s="642"/>
      <c r="T158" s="59"/>
      <c r="U158" s="59"/>
      <c r="V158" s="59"/>
      <c r="W158" s="59"/>
      <c r="X158" s="59"/>
      <c r="Y158" s="59"/>
      <c r="Z158" s="59"/>
      <c r="AA158" s="59"/>
      <c r="AB158" s="59"/>
      <c r="AC158" s="59"/>
      <c r="AD158" s="59"/>
      <c r="AE158" s="59"/>
    </row>
    <row r="159" spans="2:31" s="62" customFormat="1" ht="13.9" customHeight="1">
      <c r="B159" s="85"/>
      <c r="C159" s="85"/>
      <c r="D159" s="86"/>
      <c r="E159" s="83"/>
      <c r="F159" s="65"/>
      <c r="G159" s="65"/>
      <c r="H159" s="65"/>
      <c r="I159" s="65"/>
      <c r="J159" s="81"/>
      <c r="K159" s="81"/>
      <c r="L159" s="65"/>
      <c r="M159" s="63"/>
      <c r="N159" s="63"/>
      <c r="O159" s="63"/>
      <c r="R159" s="59"/>
      <c r="S159" s="642"/>
      <c r="T159" s="59"/>
      <c r="U159" s="59"/>
      <c r="V159" s="59"/>
      <c r="W159" s="59"/>
      <c r="X159" s="59"/>
      <c r="Y159" s="59"/>
      <c r="Z159" s="59"/>
      <c r="AA159" s="59"/>
      <c r="AB159" s="59"/>
      <c r="AC159" s="59"/>
      <c r="AD159" s="59"/>
      <c r="AE159" s="59"/>
    </row>
    <row r="160" spans="2:31" s="62" customFormat="1" ht="13.9" customHeight="1">
      <c r="B160" s="85"/>
      <c r="C160" s="85"/>
      <c r="D160" s="86"/>
      <c r="E160" s="83"/>
      <c r="F160" s="65"/>
      <c r="G160" s="65"/>
      <c r="H160" s="65"/>
      <c r="I160" s="65"/>
      <c r="J160" s="81"/>
      <c r="K160" s="81"/>
      <c r="L160" s="65"/>
      <c r="M160" s="63"/>
      <c r="N160" s="63"/>
      <c r="O160" s="63"/>
      <c r="R160" s="59"/>
      <c r="S160" s="642"/>
      <c r="T160" s="59"/>
      <c r="U160" s="59"/>
      <c r="V160" s="59"/>
      <c r="W160" s="59"/>
      <c r="X160" s="59"/>
      <c r="Y160" s="59"/>
      <c r="Z160" s="59"/>
      <c r="AA160" s="59"/>
      <c r="AB160" s="59"/>
      <c r="AC160" s="59"/>
      <c r="AD160" s="59"/>
      <c r="AE160" s="59"/>
    </row>
    <row r="161" spans="2:31" s="62" customFormat="1" ht="13.9" customHeight="1">
      <c r="B161" s="85"/>
      <c r="C161" s="85"/>
      <c r="D161" s="86"/>
      <c r="E161" s="83"/>
      <c r="F161" s="65"/>
      <c r="G161" s="65"/>
      <c r="H161" s="65"/>
      <c r="I161" s="65"/>
      <c r="J161" s="81"/>
      <c r="K161" s="81"/>
      <c r="L161" s="65"/>
      <c r="M161" s="63"/>
      <c r="N161" s="63"/>
      <c r="O161" s="63"/>
      <c r="R161" s="59"/>
      <c r="S161" s="642"/>
      <c r="T161" s="59"/>
      <c r="U161" s="59"/>
      <c r="V161" s="59"/>
      <c r="W161" s="59"/>
      <c r="X161" s="59"/>
      <c r="Y161" s="59"/>
      <c r="Z161" s="59"/>
      <c r="AA161" s="59"/>
      <c r="AB161" s="59"/>
      <c r="AC161" s="59"/>
      <c r="AD161" s="59"/>
      <c r="AE161" s="59"/>
    </row>
    <row r="162" spans="2:31" s="62" customFormat="1" ht="13.9" customHeight="1">
      <c r="B162" s="85"/>
      <c r="C162" s="85"/>
      <c r="D162" s="86"/>
      <c r="E162" s="83"/>
      <c r="F162" s="65"/>
      <c r="G162" s="65"/>
      <c r="H162" s="65"/>
      <c r="I162" s="65"/>
      <c r="J162" s="81"/>
      <c r="K162" s="81"/>
      <c r="L162" s="65"/>
      <c r="M162" s="63"/>
      <c r="N162" s="63"/>
      <c r="O162" s="63"/>
      <c r="R162" s="59"/>
      <c r="S162" s="642"/>
      <c r="T162" s="59"/>
      <c r="U162" s="59"/>
      <c r="V162" s="59"/>
      <c r="W162" s="59"/>
      <c r="X162" s="59"/>
      <c r="Y162" s="59"/>
      <c r="Z162" s="59"/>
      <c r="AA162" s="59"/>
      <c r="AB162" s="59"/>
      <c r="AC162" s="59"/>
      <c r="AD162" s="59"/>
      <c r="AE162" s="59"/>
    </row>
    <row r="163" spans="2:31" s="62" customFormat="1" ht="13.9" customHeight="1">
      <c r="B163" s="85"/>
      <c r="C163" s="85"/>
      <c r="D163" s="86"/>
      <c r="E163" s="83"/>
      <c r="F163" s="65"/>
      <c r="G163" s="65"/>
      <c r="H163" s="65"/>
      <c r="I163" s="65"/>
      <c r="J163" s="81"/>
      <c r="K163" s="81"/>
      <c r="L163" s="65"/>
      <c r="M163" s="63"/>
      <c r="N163" s="63"/>
      <c r="O163" s="63"/>
      <c r="R163" s="59"/>
      <c r="S163" s="642"/>
      <c r="T163" s="59"/>
      <c r="U163" s="59"/>
      <c r="V163" s="59"/>
      <c r="W163" s="59"/>
      <c r="X163" s="59"/>
      <c r="Y163" s="59"/>
      <c r="Z163" s="59"/>
      <c r="AA163" s="59"/>
      <c r="AB163" s="59"/>
      <c r="AC163" s="59"/>
      <c r="AD163" s="59"/>
      <c r="AE163" s="59"/>
    </row>
    <row r="164" spans="2:31" s="62" customFormat="1" ht="13.9" customHeight="1">
      <c r="B164" s="85"/>
      <c r="C164" s="85"/>
      <c r="D164" s="86"/>
      <c r="E164" s="83"/>
      <c r="F164" s="65"/>
      <c r="G164" s="65"/>
      <c r="H164" s="65"/>
      <c r="I164" s="65"/>
      <c r="J164" s="81"/>
      <c r="K164" s="81"/>
      <c r="L164" s="65"/>
      <c r="M164" s="63"/>
      <c r="N164" s="63"/>
      <c r="O164" s="63"/>
      <c r="R164" s="59"/>
      <c r="S164" s="642"/>
      <c r="T164" s="59"/>
      <c r="U164" s="59"/>
      <c r="V164" s="59"/>
      <c r="W164" s="59"/>
      <c r="X164" s="59"/>
      <c r="Y164" s="59"/>
      <c r="Z164" s="59"/>
      <c r="AA164" s="59"/>
      <c r="AB164" s="59"/>
      <c r="AC164" s="59"/>
      <c r="AD164" s="59"/>
      <c r="AE164" s="59"/>
    </row>
    <row r="165" spans="2:31" s="62" customFormat="1" ht="13.9" customHeight="1">
      <c r="B165" s="85"/>
      <c r="C165" s="85"/>
      <c r="D165" s="86"/>
      <c r="E165" s="83"/>
      <c r="F165" s="65"/>
      <c r="G165" s="65"/>
      <c r="H165" s="65"/>
      <c r="I165" s="65"/>
      <c r="J165" s="81"/>
      <c r="K165" s="81"/>
      <c r="L165" s="65"/>
      <c r="M165" s="63"/>
      <c r="N165" s="63"/>
      <c r="O165" s="63"/>
      <c r="R165" s="59"/>
      <c r="S165" s="642"/>
      <c r="T165" s="59"/>
      <c r="U165" s="59"/>
      <c r="V165" s="59"/>
      <c r="W165" s="59"/>
      <c r="X165" s="59"/>
      <c r="Y165" s="59"/>
      <c r="Z165" s="59"/>
      <c r="AA165" s="59"/>
      <c r="AB165" s="59"/>
      <c r="AC165" s="59"/>
      <c r="AD165" s="59"/>
      <c r="AE165" s="59"/>
    </row>
    <row r="166" spans="2:31" s="62" customFormat="1" ht="13.9" customHeight="1">
      <c r="B166" s="85"/>
      <c r="C166" s="85"/>
      <c r="D166" s="86"/>
      <c r="E166" s="83"/>
      <c r="F166" s="65"/>
      <c r="G166" s="65"/>
      <c r="H166" s="65"/>
      <c r="I166" s="65"/>
      <c r="J166" s="81"/>
      <c r="K166" s="81"/>
      <c r="L166" s="65"/>
      <c r="M166" s="63"/>
      <c r="N166" s="63"/>
      <c r="O166" s="63"/>
      <c r="R166" s="59"/>
      <c r="S166" s="642"/>
      <c r="T166" s="59"/>
      <c r="U166" s="59"/>
      <c r="V166" s="59"/>
      <c r="W166" s="59"/>
      <c r="X166" s="59"/>
      <c r="Y166" s="59"/>
      <c r="Z166" s="59"/>
      <c r="AA166" s="59"/>
      <c r="AB166" s="59"/>
      <c r="AC166" s="59"/>
      <c r="AD166" s="59"/>
      <c r="AE166" s="59"/>
    </row>
    <row r="167" spans="2:31" s="62" customFormat="1" ht="13.9" customHeight="1">
      <c r="B167" s="85"/>
      <c r="C167" s="85"/>
      <c r="D167" s="86"/>
      <c r="E167" s="83"/>
      <c r="F167" s="65"/>
      <c r="G167" s="65"/>
      <c r="H167" s="65"/>
      <c r="I167" s="65"/>
      <c r="J167" s="81"/>
      <c r="K167" s="81"/>
      <c r="L167" s="65"/>
      <c r="M167" s="63"/>
      <c r="N167" s="63"/>
      <c r="O167" s="63"/>
      <c r="R167" s="59"/>
      <c r="S167" s="642"/>
      <c r="T167" s="59"/>
      <c r="U167" s="59"/>
      <c r="V167" s="59"/>
      <c r="W167" s="59"/>
      <c r="X167" s="59"/>
      <c r="Y167" s="59"/>
      <c r="Z167" s="59"/>
      <c r="AA167" s="59"/>
      <c r="AB167" s="59"/>
      <c r="AC167" s="59"/>
      <c r="AD167" s="59"/>
      <c r="AE167" s="59"/>
    </row>
    <row r="168" spans="2:31" s="62" customFormat="1" ht="13.9" customHeight="1">
      <c r="B168" s="85"/>
      <c r="C168" s="85"/>
      <c r="D168" s="86"/>
      <c r="E168" s="83"/>
      <c r="F168" s="65"/>
      <c r="G168" s="65"/>
      <c r="H168" s="65"/>
      <c r="I168" s="65"/>
      <c r="J168" s="81"/>
      <c r="K168" s="81"/>
      <c r="L168" s="65"/>
      <c r="M168" s="63"/>
      <c r="N168" s="63"/>
      <c r="O168" s="63"/>
      <c r="R168" s="59"/>
      <c r="S168" s="642"/>
      <c r="T168" s="59"/>
      <c r="U168" s="59"/>
      <c r="V168" s="59"/>
      <c r="W168" s="59"/>
      <c r="X168" s="59"/>
      <c r="Y168" s="59"/>
      <c r="Z168" s="59"/>
      <c r="AA168" s="59"/>
      <c r="AB168" s="59"/>
      <c r="AC168" s="59"/>
      <c r="AD168" s="59"/>
      <c r="AE168" s="59"/>
    </row>
    <row r="169" spans="2:31" s="62" customFormat="1" ht="13.9" customHeight="1">
      <c r="B169" s="85"/>
      <c r="C169" s="85"/>
      <c r="D169" s="86"/>
      <c r="E169" s="83"/>
      <c r="F169" s="65"/>
      <c r="G169" s="65"/>
      <c r="H169" s="65"/>
      <c r="I169" s="65"/>
      <c r="J169" s="81"/>
      <c r="K169" s="81"/>
      <c r="L169" s="65"/>
      <c r="M169" s="63"/>
      <c r="N169" s="63"/>
      <c r="O169" s="63"/>
      <c r="R169" s="59"/>
      <c r="S169" s="642"/>
      <c r="T169" s="59"/>
      <c r="U169" s="59"/>
      <c r="V169" s="59"/>
      <c r="W169" s="59"/>
      <c r="X169" s="59"/>
      <c r="Y169" s="59"/>
      <c r="Z169" s="59"/>
      <c r="AA169" s="59"/>
      <c r="AB169" s="59"/>
      <c r="AC169" s="59"/>
      <c r="AD169" s="59"/>
      <c r="AE169" s="59"/>
    </row>
    <row r="170" spans="2:31" s="62" customFormat="1" ht="13.9" customHeight="1">
      <c r="B170" s="85"/>
      <c r="C170" s="85"/>
      <c r="D170" s="86"/>
      <c r="E170" s="83"/>
      <c r="F170" s="65"/>
      <c r="G170" s="65"/>
      <c r="H170" s="65"/>
      <c r="I170" s="65"/>
      <c r="J170" s="81"/>
      <c r="K170" s="81"/>
      <c r="L170" s="65"/>
      <c r="M170" s="63"/>
      <c r="N170" s="63"/>
      <c r="O170" s="63"/>
      <c r="R170" s="59"/>
      <c r="S170" s="642"/>
      <c r="T170" s="59"/>
      <c r="U170" s="59"/>
      <c r="V170" s="59"/>
      <c r="W170" s="59"/>
      <c r="X170" s="59"/>
      <c r="Y170" s="59"/>
      <c r="Z170" s="59"/>
      <c r="AA170" s="59"/>
      <c r="AB170" s="59"/>
      <c r="AC170" s="59"/>
      <c r="AD170" s="59"/>
      <c r="AE170" s="59"/>
    </row>
    <row r="171" spans="2:31" s="62" customFormat="1" ht="13.9" customHeight="1">
      <c r="B171" s="85"/>
      <c r="C171" s="85"/>
      <c r="D171" s="86"/>
      <c r="E171" s="83"/>
      <c r="F171" s="65"/>
      <c r="G171" s="65"/>
      <c r="H171" s="65"/>
      <c r="I171" s="65"/>
      <c r="J171" s="81"/>
      <c r="K171" s="81"/>
      <c r="L171" s="65"/>
      <c r="M171" s="63"/>
      <c r="N171" s="63"/>
      <c r="O171" s="63"/>
      <c r="R171" s="59"/>
      <c r="S171" s="642"/>
      <c r="T171" s="59"/>
      <c r="U171" s="59"/>
      <c r="V171" s="59"/>
      <c r="W171" s="59"/>
      <c r="X171" s="59"/>
      <c r="Y171" s="59"/>
      <c r="Z171" s="59"/>
      <c r="AA171" s="59"/>
      <c r="AB171" s="59"/>
      <c r="AC171" s="59"/>
      <c r="AD171" s="59"/>
      <c r="AE171" s="59"/>
    </row>
    <row r="172" spans="2:31" s="62" customFormat="1" ht="13.9" customHeight="1">
      <c r="B172" s="85"/>
      <c r="C172" s="85"/>
      <c r="D172" s="86"/>
      <c r="E172" s="83"/>
      <c r="F172" s="65"/>
      <c r="G172" s="65"/>
      <c r="H172" s="65"/>
      <c r="I172" s="65"/>
      <c r="J172" s="81"/>
      <c r="K172" s="81"/>
      <c r="L172" s="65"/>
      <c r="M172" s="63"/>
      <c r="N172" s="63"/>
      <c r="O172" s="63"/>
      <c r="R172" s="59"/>
      <c r="S172" s="642"/>
      <c r="T172" s="59"/>
      <c r="U172" s="59"/>
      <c r="V172" s="59"/>
      <c r="W172" s="59"/>
      <c r="X172" s="59"/>
      <c r="Y172" s="59"/>
      <c r="Z172" s="59"/>
      <c r="AA172" s="59"/>
      <c r="AB172" s="59"/>
      <c r="AC172" s="59"/>
      <c r="AD172" s="59"/>
      <c r="AE172" s="59"/>
    </row>
    <row r="173" spans="2:31" s="62" customFormat="1" ht="13.9" customHeight="1">
      <c r="B173" s="85"/>
      <c r="C173" s="85"/>
      <c r="D173" s="86"/>
      <c r="E173" s="83"/>
      <c r="F173" s="65"/>
      <c r="G173" s="65"/>
      <c r="H173" s="65"/>
      <c r="I173" s="65"/>
      <c r="J173" s="81"/>
      <c r="K173" s="81"/>
      <c r="L173" s="65"/>
      <c r="M173" s="63"/>
      <c r="N173" s="63"/>
      <c r="O173" s="63"/>
      <c r="R173" s="59"/>
      <c r="S173" s="642"/>
      <c r="T173" s="59"/>
      <c r="U173" s="59"/>
      <c r="V173" s="59"/>
      <c r="W173" s="59"/>
      <c r="X173" s="59"/>
      <c r="Y173" s="59"/>
      <c r="Z173" s="59"/>
      <c r="AA173" s="59"/>
      <c r="AB173" s="59"/>
      <c r="AC173" s="59"/>
      <c r="AD173" s="59"/>
      <c r="AE173" s="59"/>
    </row>
    <row r="174" spans="2:31" s="62" customFormat="1" ht="13.9" customHeight="1">
      <c r="B174" s="85"/>
      <c r="C174" s="85"/>
      <c r="D174" s="86"/>
      <c r="E174" s="83"/>
      <c r="F174" s="65"/>
      <c r="G174" s="65"/>
      <c r="H174" s="65"/>
      <c r="I174" s="65"/>
      <c r="J174" s="81"/>
      <c r="K174" s="81"/>
      <c r="L174" s="65"/>
      <c r="M174" s="63"/>
      <c r="N174" s="63"/>
      <c r="O174" s="63"/>
      <c r="R174" s="59"/>
      <c r="S174" s="642"/>
      <c r="T174" s="59"/>
      <c r="U174" s="59"/>
      <c r="V174" s="59"/>
      <c r="W174" s="59"/>
      <c r="X174" s="59"/>
      <c r="Y174" s="59"/>
      <c r="Z174" s="59"/>
      <c r="AA174" s="59"/>
      <c r="AB174" s="59"/>
      <c r="AC174" s="59"/>
      <c r="AD174" s="59"/>
      <c r="AE174" s="59"/>
    </row>
    <row r="175" spans="2:31" s="62" customFormat="1" ht="13.9" customHeight="1">
      <c r="B175" s="85"/>
      <c r="C175" s="85"/>
      <c r="D175" s="86"/>
      <c r="E175" s="83"/>
      <c r="F175" s="65"/>
      <c r="G175" s="65"/>
      <c r="H175" s="65"/>
      <c r="I175" s="65"/>
      <c r="J175" s="81"/>
      <c r="K175" s="81"/>
      <c r="L175" s="65"/>
      <c r="M175" s="63"/>
      <c r="N175" s="63"/>
      <c r="O175" s="63"/>
      <c r="R175" s="59"/>
      <c r="S175" s="642"/>
      <c r="T175" s="59"/>
      <c r="U175" s="59"/>
      <c r="V175" s="59"/>
      <c r="W175" s="59"/>
      <c r="X175" s="59"/>
      <c r="Y175" s="59"/>
      <c r="Z175" s="59"/>
      <c r="AA175" s="59"/>
      <c r="AB175" s="59"/>
      <c r="AC175" s="59"/>
      <c r="AD175" s="59"/>
      <c r="AE175" s="59"/>
    </row>
    <row r="176" spans="2:31" s="62" customFormat="1" ht="13.9" customHeight="1">
      <c r="B176" s="85"/>
      <c r="C176" s="85"/>
      <c r="D176" s="86"/>
      <c r="E176" s="83"/>
      <c r="F176" s="65"/>
      <c r="G176" s="65"/>
      <c r="H176" s="65"/>
      <c r="I176" s="65"/>
      <c r="J176" s="81"/>
      <c r="K176" s="81"/>
      <c r="L176" s="65"/>
      <c r="M176" s="63"/>
      <c r="N176" s="63"/>
      <c r="O176" s="63"/>
      <c r="R176" s="59"/>
      <c r="S176" s="642"/>
      <c r="T176" s="59"/>
      <c r="U176" s="59"/>
      <c r="V176" s="59"/>
      <c r="W176" s="59"/>
      <c r="X176" s="59"/>
      <c r="Y176" s="59"/>
      <c r="Z176" s="59"/>
      <c r="AA176" s="59"/>
      <c r="AB176" s="59"/>
      <c r="AC176" s="59"/>
      <c r="AD176" s="59"/>
      <c r="AE176" s="59"/>
    </row>
    <row r="177" spans="2:31" s="62" customFormat="1" ht="13.9" customHeight="1">
      <c r="B177" s="85"/>
      <c r="C177" s="85"/>
      <c r="D177" s="86"/>
      <c r="E177" s="83"/>
      <c r="F177" s="65"/>
      <c r="G177" s="65"/>
      <c r="H177" s="65"/>
      <c r="I177" s="65"/>
      <c r="J177" s="81"/>
      <c r="K177" s="81"/>
      <c r="L177" s="65"/>
      <c r="M177" s="63"/>
      <c r="N177" s="63"/>
      <c r="O177" s="63"/>
      <c r="R177" s="59"/>
      <c r="S177" s="642"/>
      <c r="T177" s="59"/>
      <c r="U177" s="59"/>
      <c r="V177" s="59"/>
      <c r="W177" s="59"/>
      <c r="X177" s="59"/>
      <c r="Y177" s="59"/>
      <c r="Z177" s="59"/>
      <c r="AA177" s="59"/>
      <c r="AB177" s="59"/>
      <c r="AC177" s="59"/>
      <c r="AD177" s="59"/>
      <c r="AE177" s="59"/>
    </row>
    <row r="178" spans="2:31" s="62" customFormat="1" ht="13.9" customHeight="1">
      <c r="B178" s="85"/>
      <c r="C178" s="85"/>
      <c r="D178" s="86"/>
      <c r="E178" s="83"/>
      <c r="F178" s="65"/>
      <c r="G178" s="65"/>
      <c r="H178" s="65"/>
      <c r="I178" s="65"/>
      <c r="J178" s="81"/>
      <c r="K178" s="81"/>
      <c r="L178" s="65"/>
      <c r="M178" s="63"/>
      <c r="N178" s="63"/>
      <c r="O178" s="63"/>
      <c r="R178" s="59"/>
      <c r="S178" s="642"/>
      <c r="T178" s="59"/>
      <c r="U178" s="59"/>
      <c r="V178" s="59"/>
      <c r="W178" s="59"/>
      <c r="X178" s="59"/>
      <c r="Y178" s="59"/>
      <c r="Z178" s="59"/>
      <c r="AA178" s="59"/>
      <c r="AB178" s="59"/>
      <c r="AC178" s="59"/>
      <c r="AD178" s="59"/>
      <c r="AE178" s="59"/>
    </row>
    <row r="179" spans="2:31" s="62" customFormat="1" ht="13.9" customHeight="1">
      <c r="B179" s="85"/>
      <c r="C179" s="85"/>
      <c r="D179" s="86"/>
      <c r="E179" s="83"/>
      <c r="F179" s="65"/>
      <c r="G179" s="65"/>
      <c r="H179" s="65"/>
      <c r="I179" s="65"/>
      <c r="J179" s="81"/>
      <c r="K179" s="81"/>
      <c r="L179" s="65"/>
      <c r="M179" s="63"/>
      <c r="N179" s="63"/>
      <c r="O179" s="63"/>
      <c r="R179" s="59"/>
      <c r="S179" s="642"/>
      <c r="T179" s="59"/>
      <c r="U179" s="59"/>
      <c r="V179" s="59"/>
      <c r="W179" s="59"/>
      <c r="X179" s="59"/>
      <c r="Y179" s="59"/>
      <c r="Z179" s="59"/>
      <c r="AA179" s="59"/>
      <c r="AB179" s="59"/>
      <c r="AC179" s="59"/>
      <c r="AD179" s="59"/>
      <c r="AE179" s="59"/>
    </row>
    <row r="180" spans="2:31" s="62" customFormat="1" ht="13.9" customHeight="1">
      <c r="B180" s="85"/>
      <c r="C180" s="85"/>
      <c r="D180" s="86"/>
      <c r="E180" s="83"/>
      <c r="F180" s="65"/>
      <c r="G180" s="65"/>
      <c r="H180" s="65"/>
      <c r="I180" s="65"/>
      <c r="J180" s="81"/>
      <c r="K180" s="81"/>
      <c r="L180" s="65"/>
      <c r="M180" s="63"/>
      <c r="N180" s="63"/>
      <c r="O180" s="63"/>
      <c r="R180" s="59"/>
      <c r="S180" s="642"/>
      <c r="T180" s="59"/>
      <c r="U180" s="59"/>
      <c r="V180" s="59"/>
      <c r="W180" s="59"/>
      <c r="X180" s="59"/>
      <c r="Y180" s="59"/>
      <c r="Z180" s="59"/>
      <c r="AA180" s="59"/>
      <c r="AB180" s="59"/>
      <c r="AC180" s="59"/>
      <c r="AD180" s="59"/>
      <c r="AE180" s="59"/>
    </row>
    <row r="181" spans="2:31" s="62" customFormat="1" ht="13.9" customHeight="1">
      <c r="B181" s="85"/>
      <c r="C181" s="85"/>
      <c r="D181" s="86"/>
      <c r="E181" s="83"/>
      <c r="F181" s="65"/>
      <c r="G181" s="65"/>
      <c r="H181" s="65"/>
      <c r="I181" s="65"/>
      <c r="J181" s="81"/>
      <c r="K181" s="81"/>
      <c r="L181" s="65"/>
      <c r="M181" s="63"/>
      <c r="N181" s="63"/>
      <c r="O181" s="63"/>
      <c r="R181" s="59"/>
      <c r="S181" s="642"/>
      <c r="T181" s="59"/>
      <c r="U181" s="59"/>
      <c r="V181" s="59"/>
      <c r="W181" s="59"/>
      <c r="X181" s="59"/>
      <c r="Y181" s="59"/>
      <c r="Z181" s="59"/>
      <c r="AA181" s="59"/>
      <c r="AB181" s="59"/>
      <c r="AC181" s="59"/>
      <c r="AD181" s="59"/>
      <c r="AE181" s="59"/>
    </row>
    <row r="182" spans="2:31" s="62" customFormat="1" ht="13.9" customHeight="1">
      <c r="B182" s="85"/>
      <c r="C182" s="85"/>
      <c r="D182" s="86"/>
      <c r="E182" s="83"/>
      <c r="F182" s="65"/>
      <c r="G182" s="65"/>
      <c r="H182" s="65"/>
      <c r="I182" s="65"/>
      <c r="J182" s="81"/>
      <c r="K182" s="81"/>
      <c r="L182" s="65"/>
      <c r="M182" s="63"/>
      <c r="N182" s="63"/>
      <c r="O182" s="63"/>
      <c r="R182" s="59"/>
      <c r="S182" s="642"/>
      <c r="T182" s="59"/>
      <c r="U182" s="59"/>
      <c r="V182" s="59"/>
      <c r="W182" s="59"/>
      <c r="X182" s="59"/>
      <c r="Y182" s="59"/>
      <c r="Z182" s="59"/>
      <c r="AA182" s="59"/>
      <c r="AB182" s="59"/>
      <c r="AC182" s="59"/>
      <c r="AD182" s="59"/>
      <c r="AE182" s="59"/>
    </row>
    <row r="183" spans="2:31" s="62" customFormat="1" ht="13.9" customHeight="1">
      <c r="B183" s="85"/>
      <c r="C183" s="85"/>
      <c r="D183" s="86"/>
      <c r="E183" s="83"/>
      <c r="F183" s="65"/>
      <c r="G183" s="65"/>
      <c r="H183" s="65"/>
      <c r="I183" s="65"/>
      <c r="J183" s="81"/>
      <c r="K183" s="81"/>
      <c r="L183" s="65"/>
      <c r="M183" s="63"/>
      <c r="N183" s="63"/>
      <c r="O183" s="63"/>
      <c r="R183" s="59"/>
      <c r="S183" s="642"/>
      <c r="T183" s="59"/>
      <c r="U183" s="59"/>
      <c r="V183" s="59"/>
      <c r="W183" s="59"/>
      <c r="X183" s="59"/>
      <c r="Y183" s="59"/>
      <c r="Z183" s="59"/>
      <c r="AA183" s="59"/>
      <c r="AB183" s="59"/>
      <c r="AC183" s="59"/>
      <c r="AD183" s="59"/>
      <c r="AE183" s="59"/>
    </row>
    <row r="184" spans="2:31" s="62" customFormat="1" ht="13.9" customHeight="1">
      <c r="B184" s="85"/>
      <c r="C184" s="85"/>
      <c r="D184" s="86"/>
      <c r="E184" s="83"/>
      <c r="F184" s="65"/>
      <c r="G184" s="65"/>
      <c r="H184" s="65"/>
      <c r="I184" s="65"/>
      <c r="J184" s="81"/>
      <c r="K184" s="81"/>
      <c r="L184" s="65"/>
      <c r="M184" s="63"/>
      <c r="N184" s="63"/>
      <c r="O184" s="63"/>
      <c r="R184" s="59"/>
      <c r="S184" s="642"/>
      <c r="T184" s="59"/>
      <c r="U184" s="59"/>
      <c r="V184" s="59"/>
      <c r="W184" s="59"/>
      <c r="X184" s="59"/>
      <c r="Y184" s="59"/>
      <c r="Z184" s="59"/>
      <c r="AA184" s="59"/>
      <c r="AB184" s="59"/>
      <c r="AC184" s="59"/>
      <c r="AD184" s="59"/>
      <c r="AE184" s="59"/>
    </row>
    <row r="185" spans="2:31" s="62" customFormat="1" ht="13.9" customHeight="1">
      <c r="B185" s="85"/>
      <c r="C185" s="85"/>
      <c r="D185" s="86"/>
      <c r="E185" s="83"/>
      <c r="F185" s="65"/>
      <c r="G185" s="65"/>
      <c r="H185" s="65"/>
      <c r="I185" s="65"/>
      <c r="J185" s="81"/>
      <c r="K185" s="81"/>
      <c r="L185" s="65"/>
      <c r="M185" s="63"/>
      <c r="N185" s="63"/>
      <c r="O185" s="63"/>
      <c r="R185" s="59"/>
      <c r="S185" s="642"/>
      <c r="T185" s="59"/>
      <c r="U185" s="59"/>
      <c r="V185" s="59"/>
      <c r="W185" s="59"/>
      <c r="X185" s="59"/>
      <c r="Y185" s="59"/>
      <c r="Z185" s="59"/>
      <c r="AA185" s="59"/>
      <c r="AB185" s="59"/>
      <c r="AC185" s="59"/>
      <c r="AD185" s="59"/>
      <c r="AE185" s="59"/>
    </row>
    <row r="186" spans="2:31" s="62" customFormat="1" ht="13.9" customHeight="1">
      <c r="B186" s="85"/>
      <c r="C186" s="85"/>
      <c r="D186" s="86"/>
      <c r="E186" s="83"/>
      <c r="F186" s="65"/>
      <c r="G186" s="65"/>
      <c r="H186" s="65"/>
      <c r="I186" s="65"/>
      <c r="J186" s="81"/>
      <c r="K186" s="81"/>
      <c r="L186" s="65"/>
      <c r="M186" s="63"/>
      <c r="N186" s="63"/>
      <c r="O186" s="63"/>
      <c r="R186" s="59"/>
      <c r="S186" s="642"/>
      <c r="T186" s="59"/>
      <c r="U186" s="59"/>
      <c r="V186" s="59"/>
      <c r="W186" s="59"/>
      <c r="X186" s="59"/>
      <c r="Y186" s="59"/>
      <c r="Z186" s="59"/>
      <c r="AA186" s="59"/>
      <c r="AB186" s="59"/>
      <c r="AC186" s="59"/>
      <c r="AD186" s="59"/>
      <c r="AE186" s="59"/>
    </row>
    <row r="187" spans="2:31" s="62" customFormat="1" ht="13.9" customHeight="1">
      <c r="B187" s="85"/>
      <c r="C187" s="85"/>
      <c r="D187" s="86"/>
      <c r="E187" s="83"/>
      <c r="F187" s="65"/>
      <c r="G187" s="65"/>
      <c r="H187" s="65"/>
      <c r="I187" s="65"/>
      <c r="J187" s="81"/>
      <c r="K187" s="81"/>
      <c r="L187" s="65"/>
      <c r="M187" s="63"/>
      <c r="N187" s="63"/>
      <c r="O187" s="63"/>
      <c r="R187" s="59"/>
      <c r="S187" s="642"/>
      <c r="T187" s="59"/>
      <c r="U187" s="59"/>
      <c r="V187" s="59"/>
      <c r="W187" s="59"/>
      <c r="X187" s="59"/>
      <c r="Y187" s="59"/>
      <c r="Z187" s="59"/>
      <c r="AA187" s="59"/>
      <c r="AB187" s="59"/>
      <c r="AC187" s="59"/>
      <c r="AD187" s="59"/>
      <c r="AE187" s="59"/>
    </row>
    <row r="188" spans="2:31" s="62" customFormat="1" ht="13.9" customHeight="1">
      <c r="B188" s="85"/>
      <c r="C188" s="85"/>
      <c r="D188" s="86"/>
      <c r="E188" s="83"/>
      <c r="F188" s="65"/>
      <c r="G188" s="65"/>
      <c r="H188" s="65"/>
      <c r="I188" s="65"/>
      <c r="J188" s="81"/>
      <c r="K188" s="81"/>
      <c r="L188" s="65"/>
      <c r="M188" s="63"/>
      <c r="N188" s="63"/>
      <c r="O188" s="63"/>
      <c r="R188" s="59"/>
      <c r="S188" s="642"/>
      <c r="T188" s="59"/>
      <c r="U188" s="59"/>
      <c r="V188" s="59"/>
      <c r="W188" s="59"/>
      <c r="X188" s="59"/>
      <c r="Y188" s="59"/>
      <c r="Z188" s="59"/>
      <c r="AA188" s="59"/>
      <c r="AB188" s="59"/>
      <c r="AC188" s="59"/>
      <c r="AD188" s="59"/>
      <c r="AE188" s="59"/>
    </row>
    <row r="189" spans="2:31" s="62" customFormat="1" ht="13.9" customHeight="1">
      <c r="B189" s="85"/>
      <c r="C189" s="85"/>
      <c r="D189" s="86"/>
      <c r="E189" s="83"/>
      <c r="F189" s="65"/>
      <c r="G189" s="65"/>
      <c r="H189" s="65"/>
      <c r="I189" s="65"/>
      <c r="J189" s="81"/>
      <c r="K189" s="81"/>
      <c r="L189" s="65"/>
      <c r="M189" s="63"/>
      <c r="N189" s="63"/>
      <c r="O189" s="63"/>
      <c r="R189" s="59"/>
      <c r="S189" s="642"/>
      <c r="T189" s="59"/>
      <c r="U189" s="59"/>
      <c r="V189" s="59"/>
      <c r="W189" s="59"/>
      <c r="X189" s="59"/>
      <c r="Y189" s="59"/>
      <c r="Z189" s="59"/>
      <c r="AA189" s="59"/>
      <c r="AB189" s="59"/>
      <c r="AC189" s="59"/>
      <c r="AD189" s="59"/>
      <c r="AE189" s="59"/>
    </row>
    <row r="190" spans="2:31" s="62" customFormat="1" ht="13.9" customHeight="1">
      <c r="B190" s="85"/>
      <c r="C190" s="85"/>
      <c r="D190" s="86"/>
      <c r="E190" s="83"/>
      <c r="F190" s="65"/>
      <c r="G190" s="65"/>
      <c r="H190" s="65"/>
      <c r="I190" s="65"/>
      <c r="J190" s="81"/>
      <c r="K190" s="81"/>
      <c r="L190" s="65"/>
      <c r="M190" s="63"/>
      <c r="N190" s="63"/>
      <c r="O190" s="63"/>
      <c r="R190" s="59"/>
      <c r="S190" s="642"/>
      <c r="T190" s="59"/>
      <c r="U190" s="59"/>
      <c r="V190" s="59"/>
      <c r="W190" s="59"/>
      <c r="X190" s="59"/>
      <c r="Y190" s="59"/>
      <c r="Z190" s="59"/>
      <c r="AA190" s="59"/>
      <c r="AB190" s="59"/>
      <c r="AC190" s="59"/>
      <c r="AD190" s="59"/>
      <c r="AE190" s="59"/>
    </row>
    <row r="191" spans="2:31" s="62" customFormat="1" ht="13.9" customHeight="1">
      <c r="B191" s="85"/>
      <c r="C191" s="85"/>
      <c r="D191" s="86"/>
      <c r="E191" s="83"/>
      <c r="F191" s="65"/>
      <c r="G191" s="65"/>
      <c r="H191" s="65"/>
      <c r="I191" s="65"/>
      <c r="J191" s="81"/>
      <c r="K191" s="81"/>
      <c r="L191" s="65"/>
      <c r="M191" s="63"/>
      <c r="N191" s="63"/>
      <c r="O191" s="63"/>
      <c r="R191" s="59"/>
      <c r="S191" s="642"/>
      <c r="T191" s="59"/>
      <c r="U191" s="59"/>
      <c r="V191" s="59"/>
      <c r="W191" s="59"/>
      <c r="X191" s="59"/>
      <c r="Y191" s="59"/>
      <c r="Z191" s="59"/>
      <c r="AA191" s="59"/>
      <c r="AB191" s="59"/>
      <c r="AC191" s="59"/>
      <c r="AD191" s="59"/>
      <c r="AE191" s="59"/>
    </row>
    <row r="192" spans="2:31" s="62" customFormat="1" ht="13.9" customHeight="1">
      <c r="B192" s="85"/>
      <c r="C192" s="85"/>
      <c r="D192" s="86"/>
      <c r="E192" s="83"/>
      <c r="F192" s="65"/>
      <c r="G192" s="65"/>
      <c r="H192" s="65"/>
      <c r="I192" s="65"/>
      <c r="J192" s="81"/>
      <c r="K192" s="81"/>
      <c r="L192" s="65"/>
      <c r="M192" s="63"/>
      <c r="N192" s="63"/>
      <c r="O192" s="63"/>
      <c r="R192" s="59"/>
      <c r="S192" s="642"/>
      <c r="T192" s="59"/>
      <c r="U192" s="59"/>
      <c r="V192" s="59"/>
      <c r="W192" s="59"/>
      <c r="X192" s="59"/>
      <c r="Y192" s="59"/>
      <c r="Z192" s="59"/>
      <c r="AA192" s="59"/>
      <c r="AB192" s="59"/>
      <c r="AC192" s="59"/>
      <c r="AD192" s="59"/>
      <c r="AE192" s="59"/>
    </row>
    <row r="193" spans="2:31" s="62" customFormat="1" ht="13.9" customHeight="1">
      <c r="B193" s="85"/>
      <c r="C193" s="85"/>
      <c r="D193" s="86"/>
      <c r="E193" s="83"/>
      <c r="F193" s="65"/>
      <c r="G193" s="65"/>
      <c r="H193" s="65"/>
      <c r="I193" s="65"/>
      <c r="J193" s="81"/>
      <c r="K193" s="81"/>
      <c r="L193" s="65"/>
      <c r="M193" s="63"/>
      <c r="N193" s="63"/>
      <c r="O193" s="63"/>
      <c r="R193" s="59"/>
      <c r="S193" s="642"/>
      <c r="T193" s="59"/>
      <c r="U193" s="59"/>
      <c r="V193" s="59"/>
      <c r="W193" s="59"/>
      <c r="X193" s="59"/>
      <c r="Y193" s="59"/>
      <c r="Z193" s="59"/>
      <c r="AA193" s="59"/>
      <c r="AB193" s="59"/>
      <c r="AC193" s="59"/>
      <c r="AD193" s="59"/>
      <c r="AE193" s="59"/>
    </row>
    <row r="194" spans="2:31" s="62" customFormat="1" ht="13.9" customHeight="1">
      <c r="B194" s="85"/>
      <c r="C194" s="85"/>
      <c r="D194" s="86"/>
      <c r="E194" s="83"/>
      <c r="F194" s="65"/>
      <c r="G194" s="65"/>
      <c r="H194" s="65"/>
      <c r="I194" s="65"/>
      <c r="J194" s="81"/>
      <c r="K194" s="81"/>
      <c r="L194" s="65"/>
      <c r="M194" s="63"/>
      <c r="N194" s="63"/>
      <c r="O194" s="63"/>
      <c r="R194" s="59"/>
      <c r="S194" s="642"/>
      <c r="T194" s="59"/>
      <c r="U194" s="59"/>
      <c r="V194" s="59"/>
      <c r="W194" s="59"/>
      <c r="X194" s="59"/>
      <c r="Y194" s="59"/>
      <c r="Z194" s="59"/>
      <c r="AA194" s="59"/>
      <c r="AB194" s="59"/>
      <c r="AC194" s="59"/>
      <c r="AD194" s="59"/>
      <c r="AE194" s="59"/>
    </row>
    <row r="195" spans="2:31" s="62" customFormat="1" ht="13.9" customHeight="1">
      <c r="B195" s="85"/>
      <c r="C195" s="85"/>
      <c r="D195" s="86"/>
      <c r="E195" s="83"/>
      <c r="F195" s="65"/>
      <c r="G195" s="65"/>
      <c r="H195" s="65"/>
      <c r="I195" s="65"/>
      <c r="J195" s="81"/>
      <c r="K195" s="81"/>
      <c r="L195" s="65"/>
      <c r="M195" s="63"/>
      <c r="N195" s="63"/>
      <c r="O195" s="63"/>
      <c r="R195" s="59"/>
      <c r="S195" s="642"/>
      <c r="T195" s="59"/>
      <c r="U195" s="59"/>
      <c r="V195" s="59"/>
      <c r="W195" s="59"/>
      <c r="X195" s="59"/>
      <c r="Y195" s="59"/>
      <c r="Z195" s="59"/>
      <c r="AA195" s="59"/>
      <c r="AB195" s="59"/>
      <c r="AC195" s="59"/>
      <c r="AD195" s="59"/>
      <c r="AE195" s="59"/>
    </row>
    <row r="196" spans="2:31" s="62" customFormat="1" ht="13.9" customHeight="1">
      <c r="B196" s="85"/>
      <c r="C196" s="85"/>
      <c r="D196" s="86"/>
      <c r="E196" s="83"/>
      <c r="F196" s="65"/>
      <c r="G196" s="65"/>
      <c r="H196" s="65"/>
      <c r="I196" s="65"/>
      <c r="J196" s="81"/>
      <c r="K196" s="81"/>
      <c r="L196" s="65"/>
      <c r="M196" s="63"/>
      <c r="N196" s="63"/>
      <c r="O196" s="63"/>
      <c r="R196" s="59"/>
      <c r="S196" s="642"/>
      <c r="T196" s="59"/>
      <c r="U196" s="59"/>
      <c r="V196" s="59"/>
      <c r="W196" s="59"/>
      <c r="X196" s="59"/>
      <c r="Y196" s="59"/>
      <c r="Z196" s="59"/>
      <c r="AA196" s="59"/>
      <c r="AB196" s="59"/>
      <c r="AC196" s="59"/>
      <c r="AD196" s="59"/>
      <c r="AE196" s="59"/>
    </row>
    <row r="197" spans="2:31" s="62" customFormat="1" ht="13.9" customHeight="1">
      <c r="B197" s="85"/>
      <c r="C197" s="85"/>
      <c r="D197" s="86"/>
      <c r="E197" s="83"/>
      <c r="F197" s="65"/>
      <c r="G197" s="65"/>
      <c r="H197" s="65"/>
      <c r="I197" s="65"/>
      <c r="J197" s="81"/>
      <c r="K197" s="81"/>
      <c r="L197" s="65"/>
      <c r="M197" s="63"/>
      <c r="N197" s="63"/>
      <c r="O197" s="63"/>
      <c r="R197" s="59"/>
      <c r="S197" s="642"/>
      <c r="T197" s="59"/>
      <c r="U197" s="59"/>
      <c r="V197" s="59"/>
      <c r="W197" s="59"/>
      <c r="X197" s="59"/>
      <c r="Y197" s="59"/>
      <c r="Z197" s="59"/>
      <c r="AA197" s="59"/>
      <c r="AB197" s="59"/>
      <c r="AC197" s="59"/>
      <c r="AD197" s="59"/>
      <c r="AE197" s="59"/>
    </row>
    <row r="198" spans="2:31" s="62" customFormat="1" ht="13.9" customHeight="1">
      <c r="B198" s="85"/>
      <c r="C198" s="85"/>
      <c r="D198" s="86"/>
      <c r="E198" s="83"/>
      <c r="F198" s="65"/>
      <c r="G198" s="65"/>
      <c r="H198" s="65"/>
      <c r="I198" s="65"/>
      <c r="J198" s="81"/>
      <c r="K198" s="81"/>
      <c r="L198" s="65"/>
      <c r="M198" s="63"/>
      <c r="N198" s="63"/>
      <c r="O198" s="63"/>
      <c r="R198" s="59"/>
      <c r="S198" s="642"/>
      <c r="T198" s="59"/>
      <c r="U198" s="59"/>
      <c r="V198" s="59"/>
      <c r="W198" s="59"/>
      <c r="X198" s="59"/>
      <c r="Y198" s="59"/>
      <c r="Z198" s="59"/>
      <c r="AA198" s="59"/>
      <c r="AB198" s="59"/>
      <c r="AC198" s="59"/>
      <c r="AD198" s="59"/>
      <c r="AE198" s="59"/>
    </row>
    <row r="199" spans="2:31" s="62" customFormat="1" ht="13.9" customHeight="1">
      <c r="B199" s="85"/>
      <c r="C199" s="85"/>
      <c r="D199" s="86"/>
      <c r="E199" s="83"/>
      <c r="F199" s="65"/>
      <c r="G199" s="65"/>
      <c r="H199" s="65"/>
      <c r="I199" s="65"/>
      <c r="J199" s="81"/>
      <c r="K199" s="81"/>
      <c r="L199" s="65"/>
      <c r="M199" s="63"/>
      <c r="N199" s="63"/>
      <c r="O199" s="63"/>
      <c r="R199" s="59"/>
      <c r="S199" s="642"/>
      <c r="T199" s="59"/>
      <c r="U199" s="59"/>
      <c r="V199" s="59"/>
      <c r="W199" s="59"/>
      <c r="X199" s="59"/>
      <c r="Y199" s="59"/>
      <c r="Z199" s="59"/>
      <c r="AA199" s="59"/>
      <c r="AB199" s="59"/>
      <c r="AC199" s="59"/>
      <c r="AD199" s="59"/>
      <c r="AE199" s="59"/>
    </row>
    <row r="200" spans="2:31" s="62" customFormat="1" ht="13.9" customHeight="1">
      <c r="B200" s="85"/>
      <c r="C200" s="85"/>
      <c r="D200" s="86"/>
      <c r="E200" s="83"/>
      <c r="F200" s="65"/>
      <c r="G200" s="65"/>
      <c r="H200" s="65"/>
      <c r="I200" s="65"/>
      <c r="J200" s="81"/>
      <c r="K200" s="81"/>
      <c r="L200" s="65"/>
      <c r="M200" s="63"/>
      <c r="N200" s="63"/>
      <c r="O200" s="63"/>
      <c r="R200" s="59"/>
      <c r="S200" s="642"/>
      <c r="T200" s="59"/>
      <c r="U200" s="59"/>
      <c r="V200" s="59"/>
      <c r="W200" s="59"/>
      <c r="X200" s="59"/>
      <c r="Y200" s="59"/>
      <c r="Z200" s="59"/>
      <c r="AA200" s="59"/>
      <c r="AB200" s="59"/>
      <c r="AC200" s="59"/>
      <c r="AD200" s="59"/>
      <c r="AE200" s="59"/>
    </row>
    <row r="201" spans="2:31" s="62" customFormat="1" ht="13.9" customHeight="1">
      <c r="B201" s="85"/>
      <c r="C201" s="85"/>
      <c r="D201" s="86"/>
      <c r="E201" s="83"/>
      <c r="F201" s="65"/>
      <c r="G201" s="65"/>
      <c r="H201" s="65"/>
      <c r="I201" s="65"/>
      <c r="J201" s="81"/>
      <c r="K201" s="81"/>
      <c r="L201" s="65"/>
      <c r="M201" s="63"/>
      <c r="N201" s="63"/>
      <c r="O201" s="63"/>
      <c r="R201" s="59"/>
      <c r="S201" s="642"/>
      <c r="T201" s="59"/>
      <c r="U201" s="59"/>
      <c r="V201" s="59"/>
      <c r="W201" s="59"/>
      <c r="X201" s="59"/>
      <c r="Y201" s="59"/>
      <c r="Z201" s="59"/>
      <c r="AA201" s="59"/>
      <c r="AB201" s="59"/>
      <c r="AC201" s="59"/>
      <c r="AD201" s="59"/>
      <c r="AE201" s="59"/>
    </row>
    <row r="202" spans="2:31" s="62" customFormat="1" ht="13.9" customHeight="1">
      <c r="B202" s="85"/>
      <c r="C202" s="85"/>
      <c r="D202" s="86"/>
      <c r="E202" s="83"/>
      <c r="F202" s="65"/>
      <c r="G202" s="65"/>
      <c r="H202" s="65"/>
      <c r="I202" s="65"/>
      <c r="J202" s="81"/>
      <c r="K202" s="81"/>
      <c r="L202" s="65"/>
      <c r="M202" s="63"/>
      <c r="N202" s="63"/>
      <c r="O202" s="63"/>
      <c r="R202" s="59"/>
      <c r="S202" s="642"/>
      <c r="T202" s="59"/>
      <c r="U202" s="59"/>
      <c r="V202" s="59"/>
      <c r="W202" s="59"/>
      <c r="X202" s="59"/>
      <c r="Y202" s="59"/>
      <c r="Z202" s="59"/>
      <c r="AA202" s="59"/>
      <c r="AB202" s="59"/>
      <c r="AC202" s="59"/>
      <c r="AD202" s="59"/>
      <c r="AE202" s="59"/>
    </row>
    <row r="203" spans="2:31" s="62" customFormat="1" ht="13.9" customHeight="1">
      <c r="B203" s="85"/>
      <c r="C203" s="85"/>
      <c r="D203" s="86"/>
      <c r="E203" s="83"/>
      <c r="F203" s="65"/>
      <c r="G203" s="65"/>
      <c r="H203" s="65"/>
      <c r="I203" s="65"/>
      <c r="J203" s="81"/>
      <c r="K203" s="81"/>
      <c r="L203" s="65"/>
      <c r="M203" s="63"/>
      <c r="N203" s="63"/>
      <c r="O203" s="63"/>
      <c r="R203" s="59"/>
      <c r="S203" s="642"/>
      <c r="T203" s="59"/>
      <c r="U203" s="59"/>
      <c r="V203" s="59"/>
      <c r="W203" s="59"/>
      <c r="X203" s="59"/>
      <c r="Y203" s="59"/>
      <c r="Z203" s="59"/>
      <c r="AA203" s="59"/>
      <c r="AB203" s="59"/>
      <c r="AC203" s="59"/>
      <c r="AD203" s="59"/>
      <c r="AE203" s="59"/>
    </row>
    <row r="204" spans="2:31" s="62" customFormat="1" ht="13.9" customHeight="1">
      <c r="B204" s="85"/>
      <c r="C204" s="85"/>
      <c r="D204" s="86"/>
      <c r="E204" s="83"/>
      <c r="F204" s="65"/>
      <c r="G204" s="65"/>
      <c r="H204" s="65"/>
      <c r="I204" s="65"/>
      <c r="J204" s="81"/>
      <c r="K204" s="81"/>
      <c r="L204" s="65"/>
      <c r="M204" s="63"/>
      <c r="N204" s="63"/>
      <c r="O204" s="63"/>
      <c r="R204" s="59"/>
      <c r="S204" s="642"/>
      <c r="T204" s="59"/>
      <c r="U204" s="59"/>
      <c r="V204" s="59"/>
      <c r="W204" s="59"/>
      <c r="X204" s="59"/>
      <c r="Y204" s="59"/>
      <c r="Z204" s="59"/>
      <c r="AA204" s="59"/>
      <c r="AB204" s="59"/>
      <c r="AC204" s="59"/>
      <c r="AD204" s="59"/>
      <c r="AE204" s="59"/>
    </row>
    <row r="205" spans="2:31" s="62" customFormat="1" ht="13.9" customHeight="1">
      <c r="B205" s="85"/>
      <c r="C205" s="85"/>
      <c r="D205" s="86"/>
      <c r="E205" s="83"/>
      <c r="F205" s="65"/>
      <c r="G205" s="65"/>
      <c r="H205" s="65"/>
      <c r="I205" s="65"/>
      <c r="J205" s="81"/>
      <c r="K205" s="81"/>
      <c r="L205" s="65"/>
      <c r="M205" s="63"/>
      <c r="N205" s="63"/>
      <c r="O205" s="63"/>
      <c r="R205" s="59"/>
      <c r="S205" s="642"/>
      <c r="T205" s="59"/>
      <c r="U205" s="59"/>
      <c r="V205" s="59"/>
      <c r="W205" s="59"/>
      <c r="X205" s="59"/>
      <c r="Y205" s="59"/>
      <c r="Z205" s="59"/>
      <c r="AA205" s="59"/>
      <c r="AB205" s="59"/>
      <c r="AC205" s="59"/>
      <c r="AD205" s="59"/>
      <c r="AE205" s="59"/>
    </row>
    <row r="206" spans="2:31" s="62" customFormat="1" ht="13.9" customHeight="1">
      <c r="B206" s="85"/>
      <c r="C206" s="85"/>
      <c r="D206" s="86"/>
      <c r="E206" s="83"/>
      <c r="F206" s="65"/>
      <c r="G206" s="65"/>
      <c r="H206" s="65"/>
      <c r="I206" s="65"/>
      <c r="J206" s="81"/>
      <c r="K206" s="81"/>
      <c r="L206" s="65"/>
      <c r="M206" s="63"/>
      <c r="N206" s="63"/>
      <c r="O206" s="63"/>
      <c r="R206" s="59"/>
      <c r="S206" s="642"/>
      <c r="T206" s="59"/>
      <c r="U206" s="59"/>
      <c r="V206" s="59"/>
      <c r="W206" s="59"/>
      <c r="X206" s="59"/>
      <c r="Y206" s="59"/>
      <c r="Z206" s="59"/>
      <c r="AA206" s="59"/>
      <c r="AB206" s="59"/>
      <c r="AC206" s="59"/>
      <c r="AD206" s="59"/>
      <c r="AE206" s="59"/>
    </row>
    <row r="207" spans="2:31" s="62" customFormat="1" ht="13.9" customHeight="1">
      <c r="B207" s="85"/>
      <c r="C207" s="85"/>
      <c r="D207" s="86"/>
      <c r="E207" s="83"/>
      <c r="F207" s="65"/>
      <c r="G207" s="65"/>
      <c r="H207" s="65"/>
      <c r="I207" s="65"/>
      <c r="J207" s="81"/>
      <c r="K207" s="81"/>
      <c r="L207" s="65"/>
      <c r="M207" s="63"/>
      <c r="N207" s="63"/>
      <c r="O207" s="63"/>
      <c r="R207" s="59"/>
      <c r="S207" s="642"/>
      <c r="T207" s="59"/>
      <c r="U207" s="59"/>
      <c r="V207" s="59"/>
      <c r="W207" s="59"/>
      <c r="X207" s="59"/>
      <c r="Y207" s="59"/>
      <c r="Z207" s="59"/>
      <c r="AA207" s="59"/>
      <c r="AB207" s="59"/>
      <c r="AC207" s="59"/>
      <c r="AD207" s="59"/>
      <c r="AE207" s="59"/>
    </row>
    <row r="208" spans="2:31" s="62" customFormat="1" ht="13.9" customHeight="1">
      <c r="B208" s="85"/>
      <c r="C208" s="85"/>
      <c r="D208" s="86"/>
      <c r="E208" s="83"/>
      <c r="F208" s="65"/>
      <c r="G208" s="65"/>
      <c r="H208" s="65"/>
      <c r="I208" s="65"/>
      <c r="J208" s="81"/>
      <c r="K208" s="81"/>
      <c r="L208" s="65"/>
      <c r="M208" s="63"/>
      <c r="N208" s="63"/>
      <c r="O208" s="63"/>
      <c r="R208" s="59"/>
      <c r="S208" s="642"/>
      <c r="T208" s="59"/>
      <c r="U208" s="59"/>
      <c r="V208" s="59"/>
      <c r="W208" s="59"/>
      <c r="X208" s="59"/>
      <c r="Y208" s="59"/>
      <c r="Z208" s="59"/>
      <c r="AA208" s="59"/>
      <c r="AB208" s="59"/>
      <c r="AC208" s="59"/>
      <c r="AD208" s="59"/>
      <c r="AE208" s="59"/>
    </row>
    <row r="209" spans="2:48" s="62" customFormat="1" ht="13.9" customHeight="1">
      <c r="B209" s="85"/>
      <c r="C209" s="85"/>
      <c r="D209" s="86"/>
      <c r="E209" s="83"/>
      <c r="F209" s="65"/>
      <c r="G209" s="65"/>
      <c r="H209" s="65"/>
      <c r="I209" s="65"/>
      <c r="J209" s="81"/>
      <c r="K209" s="81"/>
      <c r="L209" s="65"/>
      <c r="M209" s="63"/>
      <c r="N209" s="63"/>
      <c r="O209" s="63"/>
      <c r="R209" s="59"/>
      <c r="S209" s="642"/>
      <c r="T209" s="59"/>
      <c r="U209" s="59"/>
      <c r="V209" s="59"/>
      <c r="W209" s="59"/>
      <c r="X209" s="59"/>
      <c r="Y209" s="59"/>
      <c r="Z209" s="59"/>
      <c r="AA209" s="59"/>
      <c r="AB209" s="59"/>
      <c r="AC209" s="59"/>
      <c r="AD209" s="59"/>
      <c r="AE209" s="59"/>
    </row>
    <row r="210" spans="2:48" s="62" customFormat="1" ht="13.9" customHeight="1">
      <c r="B210" s="85"/>
      <c r="C210" s="85"/>
      <c r="D210" s="86"/>
      <c r="E210" s="83"/>
      <c r="F210" s="65"/>
      <c r="G210" s="65"/>
      <c r="H210" s="65"/>
      <c r="I210" s="65"/>
      <c r="J210" s="81"/>
      <c r="K210" s="81"/>
      <c r="L210" s="65"/>
      <c r="M210" s="63"/>
      <c r="N210" s="63"/>
      <c r="O210" s="63"/>
      <c r="R210" s="59"/>
      <c r="S210" s="642"/>
      <c r="T210" s="59"/>
      <c r="U210" s="59"/>
      <c r="V210" s="59"/>
      <c r="W210" s="59"/>
      <c r="X210" s="59"/>
      <c r="Y210" s="59"/>
      <c r="Z210" s="59"/>
      <c r="AA210" s="59"/>
      <c r="AB210" s="59"/>
      <c r="AC210" s="59"/>
      <c r="AD210" s="59"/>
      <c r="AE210" s="59"/>
    </row>
    <row r="211" spans="2:48" s="62" customFormat="1" ht="13.9" customHeight="1">
      <c r="B211" s="85"/>
      <c r="C211" s="85"/>
      <c r="D211" s="86"/>
      <c r="E211" s="83"/>
      <c r="F211" s="65"/>
      <c r="G211" s="65"/>
      <c r="H211" s="65"/>
      <c r="I211" s="65"/>
      <c r="J211" s="81"/>
      <c r="K211" s="81"/>
      <c r="L211" s="65"/>
      <c r="M211" s="63"/>
      <c r="N211" s="63"/>
      <c r="O211" s="63"/>
      <c r="R211" s="59"/>
      <c r="S211" s="642"/>
      <c r="T211" s="59"/>
      <c r="U211" s="59"/>
      <c r="V211" s="59"/>
      <c r="W211" s="59"/>
      <c r="X211" s="59"/>
      <c r="Y211" s="59"/>
      <c r="Z211" s="59"/>
      <c r="AA211" s="59"/>
      <c r="AB211" s="59"/>
      <c r="AC211" s="59"/>
      <c r="AD211" s="59"/>
      <c r="AE211" s="59"/>
    </row>
    <row r="212" spans="2:48" s="62" customFormat="1" ht="13.9" customHeight="1">
      <c r="B212" s="85"/>
      <c r="C212" s="85"/>
      <c r="D212" s="86"/>
      <c r="E212" s="83"/>
      <c r="F212" s="65"/>
      <c r="G212" s="65"/>
      <c r="H212" s="65"/>
      <c r="I212" s="65"/>
      <c r="J212" s="81"/>
      <c r="K212" s="81"/>
      <c r="L212" s="65"/>
      <c r="M212" s="63"/>
      <c r="N212" s="63"/>
      <c r="O212" s="63"/>
      <c r="R212" s="59"/>
      <c r="S212" s="642"/>
      <c r="T212" s="59"/>
      <c r="U212" s="59"/>
      <c r="V212" s="59"/>
      <c r="W212" s="59"/>
      <c r="X212" s="59"/>
      <c r="Y212" s="59"/>
      <c r="Z212" s="59"/>
      <c r="AA212" s="59"/>
      <c r="AB212" s="59"/>
      <c r="AC212" s="59"/>
      <c r="AD212" s="59"/>
      <c r="AE212" s="59"/>
    </row>
    <row r="213" spans="2:48" s="62" customFormat="1" ht="13.9" customHeight="1">
      <c r="B213" s="85"/>
      <c r="C213" s="85"/>
      <c r="D213" s="86"/>
      <c r="E213" s="83"/>
      <c r="F213" s="65"/>
      <c r="G213" s="65"/>
      <c r="H213" s="65"/>
      <c r="I213" s="65"/>
      <c r="J213" s="81"/>
      <c r="K213" s="81"/>
      <c r="L213" s="65"/>
      <c r="M213" s="63"/>
      <c r="N213" s="63"/>
      <c r="O213" s="63"/>
      <c r="R213" s="59"/>
      <c r="S213" s="642"/>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row>
    <row r="214" spans="2:48" s="62" customFormat="1" ht="13.9" customHeight="1">
      <c r="B214" s="85"/>
      <c r="C214" s="85"/>
      <c r="D214" s="86"/>
      <c r="E214" s="83"/>
      <c r="F214" s="65"/>
      <c r="G214" s="65"/>
      <c r="H214" s="65"/>
      <c r="I214" s="65"/>
      <c r="J214" s="81"/>
      <c r="K214" s="81"/>
      <c r="L214" s="65"/>
      <c r="M214" s="63"/>
      <c r="N214" s="63"/>
      <c r="O214" s="63"/>
      <c r="R214" s="59"/>
      <c r="S214" s="642"/>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row>
  </sheetData>
  <sheetProtection algorithmName="SHA-512" hashValue="5LUGEflFuUk56l/8Y1AlATe/grlS3by0BH7ZoIFeTkdCEb2u0fFkSbm5F6sFILPO1ShxVgKigt7zYWn1mln0nw==" saltValue="QiJwAjDZ0AHIeLjh8SB8ig==" spinCount="100000" sheet="1" objects="1" scenarios="1"/>
  <mergeCells count="29">
    <mergeCell ref="B77:O77"/>
    <mergeCell ref="B68:K68"/>
    <mergeCell ref="L68:O68"/>
    <mergeCell ref="B70:G70"/>
    <mergeCell ref="H70:K70"/>
    <mergeCell ref="L70:O70"/>
    <mergeCell ref="B72:G72"/>
    <mergeCell ref="H72:K72"/>
    <mergeCell ref="L72:O72"/>
    <mergeCell ref="B75:O75"/>
    <mergeCell ref="B76:O76"/>
    <mergeCell ref="AR47:AS47"/>
    <mergeCell ref="J28:J30"/>
    <mergeCell ref="K28:K30"/>
    <mergeCell ref="H31:K31"/>
    <mergeCell ref="H32:I32"/>
    <mergeCell ref="H33:I33"/>
    <mergeCell ref="H34:I34"/>
    <mergeCell ref="H35:I35"/>
    <mergeCell ref="AR35:AS35"/>
    <mergeCell ref="H36:I36"/>
    <mergeCell ref="H37:I37"/>
    <mergeCell ref="H38:K38"/>
    <mergeCell ref="AF26:AH26"/>
    <mergeCell ref="Q2:Q5"/>
    <mergeCell ref="D11:E11"/>
    <mergeCell ref="L23:O23"/>
    <mergeCell ref="AF24:AH24"/>
    <mergeCell ref="AF25:AH25"/>
  </mergeCells>
  <phoneticPr fontId="3"/>
  <conditionalFormatting sqref="D11 E12 E14 E16 E18">
    <cfRule type="cellIs" dxfId="135" priority="4" stopIfTrue="1" operator="equal">
      <formula>0</formula>
    </cfRule>
  </conditionalFormatting>
  <conditionalFormatting sqref="H28">
    <cfRule type="expression" dxfId="134" priority="5">
      <formula>(AR48="-")</formula>
    </cfRule>
  </conditionalFormatting>
  <conditionalFormatting sqref="H28:H30">
    <cfRule type="expression" dxfId="133" priority="6">
      <formula>(AR48="〇")</formula>
    </cfRule>
  </conditionalFormatting>
  <conditionalFormatting sqref="H29:H30">
    <cfRule type="expression" dxfId="132" priority="7">
      <formula>(AR49="-")</formula>
    </cfRule>
  </conditionalFormatting>
  <conditionalFormatting sqref="I28">
    <cfRule type="expression" dxfId="131" priority="8">
      <formula>(AR51="〇")</formula>
    </cfRule>
    <cfRule type="expression" dxfId="130" priority="9">
      <formula>(AR51="-")</formula>
    </cfRule>
  </conditionalFormatting>
  <conditionalFormatting sqref="I30">
    <cfRule type="expression" dxfId="129" priority="10">
      <formula>(AR52="〇")</formula>
    </cfRule>
    <cfRule type="expression" dxfId="128" priority="11">
      <formula>(AR52="-")</formula>
    </cfRule>
  </conditionalFormatting>
  <conditionalFormatting sqref="J28">
    <cfRule type="expression" dxfId="127" priority="12">
      <formula>AND(AR51="〇",AR52="〇")</formula>
    </cfRule>
    <cfRule type="expression" dxfId="126" priority="13">
      <formula>OR(AR51="-",AR52="-")</formula>
    </cfRule>
  </conditionalFormatting>
  <conditionalFormatting sqref="K28">
    <cfRule type="expression" dxfId="125" priority="14">
      <formula>(AR53="〇")</formula>
    </cfRule>
    <cfRule type="expression" dxfId="124" priority="15">
      <formula>(AR53="-")</formula>
    </cfRule>
  </conditionalFormatting>
  <conditionalFormatting sqref="AN29:AP33 AN38:AP41">
    <cfRule type="expression" dxfId="123" priority="1" stopIfTrue="1">
      <formula>$U$36=$W$37</formula>
    </cfRule>
  </conditionalFormatting>
  <conditionalFormatting sqref="AN34:AP37">
    <cfRule type="expression" dxfId="122" priority="2" stopIfTrue="1">
      <formula>$U$36=$W$37</formula>
    </cfRule>
  </conditionalFormatting>
  <conditionalFormatting sqref="AN42:AP42">
    <cfRule type="expression" dxfId="121" priority="3" stopIfTrue="1">
      <formula>$U$36=$W$37</formula>
    </cfRule>
  </conditionalFormatting>
  <hyperlinks>
    <hyperlink ref="Q2" location="メイン!A1" display="戻る" xr:uid="{7AA1040C-0F4E-4BD5-A0D8-C0CCC0CE567B}"/>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pageSetUpPr fitToPage="1"/>
  </sheetPr>
  <dimension ref="A1:AF213"/>
  <sheetViews>
    <sheetView showGridLines="0" zoomScaleNormal="100" zoomScaleSheetLayoutView="100" workbookViewId="0">
      <selection activeCell="H8" sqref="H8:K21"/>
    </sheetView>
  </sheetViews>
  <sheetFormatPr defaultColWidth="0" defaultRowHeight="0" customHeight="1" zeroHeight="1"/>
  <cols>
    <col min="1" max="1" width="0.75" style="24" customWidth="1"/>
    <col min="2" max="2" width="2.125" style="85" customWidth="1"/>
    <col min="3" max="3" width="15.875" style="85" customWidth="1"/>
    <col min="4" max="4" width="6.625" style="86" customWidth="1"/>
    <col min="5" max="5" width="6.625" style="83" customWidth="1"/>
    <col min="6" max="7" width="6.625" style="65" customWidth="1"/>
    <col min="8" max="8" width="11.375" style="65" customWidth="1"/>
    <col min="9" max="10" width="11.375" style="81" customWidth="1"/>
    <col min="11" max="12" width="11.375" style="65" customWidth="1"/>
    <col min="13" max="15" width="11.375" style="63" customWidth="1"/>
    <col min="16" max="16" width="0.75" style="24" customWidth="1"/>
    <col min="17" max="17" width="3.875" style="62" customWidth="1"/>
    <col min="18" max="18" width="12.625" style="343" hidden="1" customWidth="1"/>
    <col min="19" max="19" width="12.625" style="380" hidden="1" customWidth="1"/>
    <col min="20" max="27" width="12.625" style="343" hidden="1" customWidth="1"/>
    <col min="28" max="31" width="5" style="59" hidden="1" customWidth="1"/>
    <col min="32" max="32" width="5.125" style="59" hidden="1" customWidth="1"/>
    <col min="33" max="16384" width="9" style="59" hidden="1"/>
  </cols>
  <sheetData>
    <row r="1" spans="1:28" s="58" customFormat="1" ht="6" customHeight="1" thickBot="1">
      <c r="A1" s="113"/>
      <c r="B1" s="114"/>
      <c r="C1" s="115"/>
      <c r="D1" s="116"/>
      <c r="E1" s="113"/>
      <c r="F1" s="117"/>
      <c r="G1" s="117"/>
      <c r="H1" s="117"/>
      <c r="I1" s="118"/>
      <c r="J1" s="118"/>
      <c r="K1" s="117"/>
      <c r="L1" s="119"/>
      <c r="M1" s="113"/>
      <c r="N1" s="113"/>
      <c r="O1" s="113"/>
      <c r="P1" s="113"/>
      <c r="Q1" s="120"/>
      <c r="R1" s="341"/>
      <c r="S1" s="342"/>
      <c r="T1" s="341"/>
      <c r="U1" s="341"/>
      <c r="V1" s="341"/>
      <c r="W1" s="341"/>
      <c r="X1" s="341"/>
      <c r="Y1" s="341"/>
      <c r="Z1" s="341"/>
      <c r="AA1" s="341"/>
    </row>
    <row r="2" spans="1:28" ht="35.25" customHeight="1" thickTop="1">
      <c r="B2" s="165"/>
      <c r="C2" s="166"/>
      <c r="D2" s="167"/>
      <c r="E2" s="168"/>
      <c r="F2" s="169"/>
      <c r="G2" s="169"/>
      <c r="H2" s="169"/>
      <c r="I2" s="170"/>
      <c r="J2" s="171"/>
      <c r="K2" s="171"/>
      <c r="L2" s="171"/>
      <c r="M2" s="171"/>
      <c r="N2" s="169"/>
      <c r="O2" s="172"/>
      <c r="Q2" s="1289" t="s">
        <v>70</v>
      </c>
      <c r="S2" s="343"/>
    </row>
    <row r="3" spans="1:28" s="62" customFormat="1" ht="14.25">
      <c r="A3" s="24"/>
      <c r="B3" s="165"/>
      <c r="C3" s="166"/>
      <c r="D3" s="317"/>
      <c r="E3" s="318"/>
      <c r="F3" s="319"/>
      <c r="G3" s="319"/>
      <c r="H3" s="319"/>
      <c r="I3" s="320"/>
      <c r="J3" s="321" t="s">
        <v>71</v>
      </c>
      <c r="K3" s="322" t="str">
        <f>メイン!C6</f>
        <v>CASBEE-街区（2023年版）</v>
      </c>
      <c r="L3" s="55"/>
      <c r="M3" s="321"/>
      <c r="N3" s="319"/>
      <c r="O3" s="323" t="str">
        <f>メイン!C5</f>
        <v>CASBEE-UD_2023版(v.1.0)</v>
      </c>
      <c r="P3" s="24"/>
      <c r="Q3" s="1290"/>
      <c r="R3" s="344"/>
      <c r="S3" s="344"/>
      <c r="T3" s="344"/>
      <c r="U3" s="344"/>
      <c r="V3" s="344"/>
      <c r="W3" s="344"/>
      <c r="X3" s="344"/>
      <c r="Y3" s="344"/>
      <c r="Z3" s="344"/>
      <c r="AA3" s="344"/>
    </row>
    <row r="4" spans="1:28" ht="6.75" customHeight="1" thickBot="1">
      <c r="B4" s="165"/>
      <c r="C4" s="166"/>
      <c r="D4" s="167"/>
      <c r="E4" s="168"/>
      <c r="F4" s="169"/>
      <c r="G4" s="169"/>
      <c r="H4" s="169"/>
      <c r="I4" s="173"/>
      <c r="J4" s="171"/>
      <c r="K4" s="171"/>
      <c r="L4" s="171"/>
      <c r="M4" s="171"/>
      <c r="N4" s="169"/>
      <c r="O4" s="52"/>
      <c r="Q4" s="1291"/>
      <c r="S4" s="343"/>
    </row>
    <row r="5" spans="1:28" ht="5.25" customHeight="1" thickTop="1">
      <c r="B5" s="10"/>
      <c r="C5" s="11"/>
      <c r="D5" s="12"/>
      <c r="E5" s="13"/>
      <c r="F5" s="14"/>
      <c r="G5" s="14"/>
      <c r="H5" s="14"/>
      <c r="I5" s="15"/>
      <c r="J5" s="16"/>
      <c r="K5" s="16"/>
      <c r="L5" s="17"/>
      <c r="M5" s="13"/>
      <c r="N5" s="13"/>
      <c r="O5" s="13"/>
      <c r="S5" s="343"/>
    </row>
    <row r="6" spans="1:28" ht="5.25" customHeight="1" thickBot="1">
      <c r="B6" s="10"/>
      <c r="C6" s="11"/>
      <c r="D6" s="12"/>
      <c r="E6" s="13"/>
      <c r="F6" s="14"/>
      <c r="G6" s="14"/>
      <c r="H6" s="14"/>
      <c r="I6" s="15"/>
      <c r="J6" s="16"/>
      <c r="K6" s="16"/>
      <c r="L6" s="17"/>
      <c r="M6" s="13"/>
      <c r="N6" s="13"/>
      <c r="O6" s="13"/>
      <c r="S6" s="343"/>
    </row>
    <row r="7" spans="1:28" ht="16.5" customHeight="1" thickBot="1">
      <c r="B7" s="160" t="s">
        <v>72</v>
      </c>
      <c r="C7" s="111"/>
      <c r="D7" s="112"/>
      <c r="E7" s="111"/>
      <c r="F7" s="111"/>
      <c r="G7" s="111"/>
      <c r="H7" s="111"/>
      <c r="I7" s="111"/>
      <c r="J7" s="111"/>
      <c r="K7" s="111"/>
      <c r="L7" s="220" t="s">
        <v>73</v>
      </c>
      <c r="M7" s="60"/>
      <c r="N7" s="60"/>
      <c r="O7" s="61"/>
      <c r="R7" s="345" t="s">
        <v>74</v>
      </c>
      <c r="S7" s="344"/>
      <c r="T7" s="344"/>
      <c r="U7" s="345" t="s">
        <v>75</v>
      </c>
      <c r="AB7" s="62"/>
    </row>
    <row r="8" spans="1:28" ht="15" customHeight="1">
      <c r="B8" s="161" t="s">
        <v>76</v>
      </c>
      <c r="C8" s="202"/>
      <c r="D8" s="425" t="str">
        <f>IF(メイン!C10="","",メイン!C10)</f>
        <v>Aプロジェクト</v>
      </c>
      <c r="E8" s="162"/>
      <c r="F8" s="162"/>
      <c r="G8" s="201"/>
      <c r="H8" s="255" t="s">
        <v>77</v>
      </c>
      <c r="I8" s="254"/>
      <c r="J8" s="421" t="str">
        <f>IF(メイン!C26="","",メイン!C26)</f>
        <v>第一種市街地再開発事業</v>
      </c>
      <c r="K8" s="273"/>
      <c r="L8" s="290"/>
      <c r="M8" s="290"/>
      <c r="N8" s="290"/>
      <c r="O8" s="291"/>
      <c r="R8" s="346" t="s">
        <v>78</v>
      </c>
      <c r="S8" s="388">
        <f>IF(ISERROR(スコア!R7),"",スコア!R7)</f>
        <v>3</v>
      </c>
      <c r="T8" s="344"/>
      <c r="U8" s="347"/>
      <c r="V8" s="347" t="s">
        <v>79</v>
      </c>
      <c r="W8" s="348">
        <v>5</v>
      </c>
      <c r="X8" s="348">
        <v>4</v>
      </c>
      <c r="Y8" s="348">
        <v>3</v>
      </c>
      <c r="Z8" s="348">
        <v>2</v>
      </c>
      <c r="AA8" s="349" t="s">
        <v>80</v>
      </c>
    </row>
    <row r="9" spans="1:28" ht="15" customHeight="1">
      <c r="B9" s="20" t="s">
        <v>81</v>
      </c>
      <c r="C9" s="203"/>
      <c r="D9" s="426" t="str">
        <f>IF(メイン!C11="","",メイン!C11)</f>
        <v>東京都千代田区</v>
      </c>
      <c r="E9" s="19"/>
      <c r="F9" s="21"/>
      <c r="G9" s="124"/>
      <c r="H9" s="67" t="s">
        <v>82</v>
      </c>
      <c r="I9" s="19"/>
      <c r="J9" s="1292" t="str">
        <f>ROUND(メイン!C28,0)&amp;"%  ／ "&amp;ROUND(メイン!C29,0)&amp;"%"</f>
        <v>100%  ／ 760%</v>
      </c>
      <c r="K9" s="1293"/>
      <c r="L9" s="282"/>
      <c r="M9" s="282"/>
      <c r="N9" s="282"/>
      <c r="O9" s="283"/>
      <c r="R9" s="346" t="s">
        <v>83</v>
      </c>
      <c r="S9" s="388">
        <f>IF(ISERROR(スコア!R100),"",スコア!R100)</f>
        <v>3</v>
      </c>
      <c r="T9" s="344"/>
      <c r="U9" s="350" t="s">
        <v>84</v>
      </c>
      <c r="V9" s="351" t="s">
        <v>85</v>
      </c>
      <c r="W9" s="348">
        <v>5</v>
      </c>
      <c r="X9" s="348">
        <v>4</v>
      </c>
      <c r="Y9" s="348">
        <v>3</v>
      </c>
      <c r="Z9" s="348">
        <v>2</v>
      </c>
      <c r="AA9" s="352">
        <f>IF(ISERROR(スコア!R41),1,スコア!R41)</f>
        <v>3</v>
      </c>
    </row>
    <row r="10" spans="1:28" ht="15" customHeight="1">
      <c r="B10" s="20" t="s">
        <v>86</v>
      </c>
      <c r="C10" s="203"/>
      <c r="D10" s="270">
        <f>IF(メイン!C30="","",メイン!C30)</f>
        <v>5</v>
      </c>
      <c r="E10" s="427" t="s">
        <v>87</v>
      </c>
      <c r="F10" s="59"/>
      <c r="G10" s="59"/>
      <c r="H10" s="209" t="s">
        <v>88</v>
      </c>
      <c r="I10" s="62"/>
      <c r="J10" s="1294" t="str">
        <f>メイン!C31&amp;"ha"</f>
        <v>2.5ha</v>
      </c>
      <c r="K10" s="1295"/>
      <c r="L10" s="282"/>
      <c r="M10" s="282"/>
      <c r="N10" s="282"/>
      <c r="O10" s="283"/>
      <c r="R10" s="346" t="s">
        <v>89</v>
      </c>
      <c r="S10" s="388">
        <f>IF(ISERROR(25*(S8-1)),"",25*(S8-1))</f>
        <v>50</v>
      </c>
      <c r="T10" s="344"/>
      <c r="U10" s="350" t="s">
        <v>90</v>
      </c>
      <c r="V10" s="353" t="s">
        <v>91</v>
      </c>
      <c r="W10" s="348">
        <v>5</v>
      </c>
      <c r="X10" s="348">
        <v>4</v>
      </c>
      <c r="Y10" s="348">
        <v>3</v>
      </c>
      <c r="Z10" s="348">
        <v>2</v>
      </c>
      <c r="AA10" s="352">
        <f>IF(ISERROR(スコア!R74),1,スコア!R74)</f>
        <v>3.1</v>
      </c>
    </row>
    <row r="11" spans="1:28" ht="15" customHeight="1">
      <c r="B11" s="20" t="s">
        <v>92</v>
      </c>
      <c r="C11" s="204"/>
      <c r="D11" s="1299">
        <f>IF(メイン!C12="","",メイン!C12)</f>
        <v>45292</v>
      </c>
      <c r="E11" s="1300"/>
      <c r="F11" s="137">
        <f>メイン!E12</f>
        <v>0</v>
      </c>
      <c r="G11" s="210"/>
      <c r="H11" s="209" t="s">
        <v>93</v>
      </c>
      <c r="I11" s="212"/>
      <c r="J11" s="1301" t="str">
        <f>ROUND(メイン!C32,0)&amp;"㎡  ／ "&amp;ROUND(メイン!C33,0)&amp;"%"</f>
        <v>16000㎡  ／ 64%</v>
      </c>
      <c r="K11" s="1302"/>
      <c r="L11" s="282"/>
      <c r="M11" s="282"/>
      <c r="N11" s="282"/>
      <c r="O11" s="283"/>
      <c r="R11" s="346" t="s">
        <v>94</v>
      </c>
      <c r="S11" s="388">
        <f>IF(ISERROR(スコア!R99),"",スコア!R99)</f>
        <v>2.9</v>
      </c>
      <c r="T11" s="344"/>
      <c r="U11" s="350" t="s">
        <v>95</v>
      </c>
      <c r="V11" s="353" t="s">
        <v>96</v>
      </c>
      <c r="W11" s="348">
        <v>5</v>
      </c>
      <c r="X11" s="348">
        <v>4</v>
      </c>
      <c r="Y11" s="348">
        <v>3</v>
      </c>
      <c r="Z11" s="348">
        <v>2</v>
      </c>
      <c r="AA11" s="352">
        <f>IF(ISERROR(スコア!R100),1,スコア!R100)</f>
        <v>3</v>
      </c>
    </row>
    <row r="12" spans="1:28" ht="15" customHeight="1">
      <c r="B12" s="20" t="s">
        <v>97</v>
      </c>
      <c r="C12" s="204"/>
      <c r="D12" s="424" t="s">
        <v>98</v>
      </c>
      <c r="E12" s="256" t="str">
        <f>IF(メイン!C15=0,"",メイン!C15)</f>
        <v>商業地域、防火地域</v>
      </c>
      <c r="F12" s="256"/>
      <c r="G12" s="264"/>
      <c r="H12" s="258" t="s">
        <v>99</v>
      </c>
      <c r="I12" s="259"/>
      <c r="J12" s="1308" t="str">
        <f>ROUND(メイン!C34,0)&amp;"㎡  ／ "&amp;ROUND(メイン!C35,0)&amp;"%"</f>
        <v>200000㎡  ／ 800%</v>
      </c>
      <c r="K12" s="1309"/>
      <c r="L12" s="282"/>
      <c r="M12" s="282"/>
      <c r="N12" s="282"/>
      <c r="O12" s="283"/>
      <c r="R12" s="346" t="s">
        <v>100</v>
      </c>
      <c r="S12" s="346">
        <f>IF(ISERROR(S10/S11),"",S10/S11)</f>
        <v>17.241379310344829</v>
      </c>
      <c r="T12" s="344"/>
      <c r="U12" s="350" t="s">
        <v>101</v>
      </c>
      <c r="V12" s="353" t="s">
        <v>102</v>
      </c>
      <c r="W12" s="348">
        <v>5</v>
      </c>
      <c r="X12" s="348">
        <v>4</v>
      </c>
      <c r="Y12" s="348">
        <v>3</v>
      </c>
      <c r="Z12" s="348">
        <v>2</v>
      </c>
      <c r="AA12" s="352">
        <f>IF(ISERROR(スコア!R8),1,スコア!R8)</f>
        <v>3</v>
      </c>
    </row>
    <row r="13" spans="1:28" ht="15" customHeight="1">
      <c r="B13" s="20" t="s">
        <v>103</v>
      </c>
      <c r="C13" s="265"/>
      <c r="D13" s="300" t="str">
        <f>"（ "&amp;ROUND(メイン!$C$16,0)&amp;"%　／　"&amp;ROUND(メイン!$C$17,0)&amp;"% ）"</f>
        <v>（ 80%　／　800% ）</v>
      </c>
      <c r="E13" s="21"/>
      <c r="F13" s="268"/>
      <c r="G13" s="269"/>
      <c r="H13" s="209" t="s">
        <v>104</v>
      </c>
      <c r="I13" s="213"/>
      <c r="J13" s="430" t="str">
        <f>メイン!C40</f>
        <v>2023/X/X</v>
      </c>
      <c r="K13" s="257"/>
      <c r="L13" s="282"/>
      <c r="M13" s="285" t="s">
        <v>105</v>
      </c>
      <c r="N13" s="282"/>
      <c r="O13" s="283"/>
      <c r="R13" s="346" t="s">
        <v>106</v>
      </c>
      <c r="S13" s="354">
        <f>IF(ISERROR(ROUNDDOWN(S12,1)),"",ROUNDDOWN(S12,1))</f>
        <v>17.2</v>
      </c>
      <c r="T13" s="344"/>
      <c r="U13" s="350"/>
      <c r="V13" s="353"/>
      <c r="W13" s="348"/>
      <c r="X13" s="348"/>
      <c r="Y13" s="348"/>
      <c r="Z13" s="348"/>
      <c r="AA13" s="352"/>
    </row>
    <row r="14" spans="1:28" ht="15" customHeight="1">
      <c r="B14" s="123"/>
      <c r="C14" s="205"/>
      <c r="D14" s="424" t="s">
        <v>107</v>
      </c>
      <c r="E14" s="256" t="str">
        <f>IF(メイン!D15=0,"",メイン!D15)</f>
        <v/>
      </c>
      <c r="F14" s="159"/>
      <c r="G14" s="274"/>
      <c r="H14" s="20" t="s">
        <v>108</v>
      </c>
      <c r="I14" s="325"/>
      <c r="J14" s="1296" t="str">
        <f>IF(メイン!C42="","","(1)　 "&amp;メイン!C42)</f>
        <v>(1)　 ■■　■■</v>
      </c>
      <c r="K14" s="1297"/>
      <c r="L14" s="282"/>
      <c r="M14" s="285"/>
      <c r="N14" s="282"/>
      <c r="O14" s="283"/>
      <c r="R14" s="344"/>
      <c r="S14" s="355"/>
      <c r="T14" s="344"/>
    </row>
    <row r="15" spans="1:28" ht="15" customHeight="1">
      <c r="B15" s="123"/>
      <c r="C15" s="205"/>
      <c r="D15" s="300" t="str">
        <f>"（ "&amp;ROUND(メイン!$D$16,0)&amp;"%　／　"&amp;ROUND(メイン!$D$17,0)&amp;"% ）"</f>
        <v>（ 0%　／　0% ）</v>
      </c>
      <c r="E15" s="21"/>
      <c r="F15" s="268"/>
      <c r="G15" s="269"/>
      <c r="H15" s="59"/>
      <c r="I15" s="325"/>
      <c r="J15" s="1296" t="str">
        <f>IF(メイン!D42="","","(2)　 "&amp;メイン!D42)</f>
        <v>(2)　 ■■　■■</v>
      </c>
      <c r="K15" s="1298"/>
      <c r="L15" s="282"/>
      <c r="M15" s="286" t="s">
        <v>109</v>
      </c>
      <c r="N15" s="282"/>
      <c r="O15" s="283"/>
      <c r="R15" s="346" t="s">
        <v>110</v>
      </c>
      <c r="S15" s="356">
        <f>IF(S13="","",IF(S13&lt;0.5,1,IF(S13&lt;1,2,IF(S13&lt;1.5,3,IF(S13&lt;3,4,5))))/5)</f>
        <v>1</v>
      </c>
      <c r="T15" s="344"/>
      <c r="U15" s="344"/>
      <c r="V15" s="344"/>
      <c r="W15" s="344"/>
      <c r="X15" s="344"/>
      <c r="AB15" s="62"/>
    </row>
    <row r="16" spans="1:28" ht="15" customHeight="1">
      <c r="B16" s="123"/>
      <c r="C16" s="205"/>
      <c r="D16" s="424" t="s">
        <v>111</v>
      </c>
      <c r="E16" s="256" t="str">
        <f>IF(メイン!C19=0,"",メイン!C19)</f>
        <v/>
      </c>
      <c r="F16" s="159"/>
      <c r="G16" s="274"/>
      <c r="H16" s="209"/>
      <c r="I16" s="325"/>
      <c r="J16" s="1296" t="str">
        <f>IF(メイン!E42="","","(3)　 "&amp;メイン!E42)</f>
        <v>(3)　 ■■　■■</v>
      </c>
      <c r="K16" s="1298"/>
      <c r="L16" s="282"/>
      <c r="M16" s="286" t="s">
        <v>112</v>
      </c>
      <c r="N16" s="282"/>
      <c r="O16" s="283"/>
      <c r="R16" s="346" t="s">
        <v>113</v>
      </c>
      <c r="S16" s="356">
        <f>IF(S13="","",1-S15)</f>
        <v>0</v>
      </c>
      <c r="T16" s="337"/>
      <c r="U16" s="337"/>
      <c r="V16" s="337"/>
      <c r="W16" s="337"/>
      <c r="X16" s="337"/>
      <c r="AB16" s="62"/>
    </row>
    <row r="17" spans="2:28" ht="15" customHeight="1">
      <c r="B17" s="67"/>
      <c r="C17" s="206"/>
      <c r="D17" s="300" t="str">
        <f>"（ "&amp;ROUND(メイン!$C$20,0)&amp;"%　／　"&amp;ROUND(メイン!$C$21,0)&amp;"% ）"</f>
        <v>（ 0%　／　0% ）</v>
      </c>
      <c r="E17" s="21"/>
      <c r="F17" s="268"/>
      <c r="G17" s="269"/>
      <c r="H17" s="211"/>
      <c r="I17" s="325"/>
      <c r="J17" s="1296" t="str">
        <f>IF(メイン!C44="","","(4)　 "&amp;メイン!C44)</f>
        <v>(4)　 ■■　■■</v>
      </c>
      <c r="K17" s="1298"/>
      <c r="L17" s="282"/>
      <c r="M17" s="282"/>
      <c r="N17" s="282"/>
      <c r="O17" s="283"/>
      <c r="R17" s="337"/>
      <c r="S17" s="357"/>
      <c r="T17" s="344"/>
      <c r="U17" s="344"/>
      <c r="V17" s="357"/>
      <c r="W17" s="358"/>
      <c r="AA17" s="344"/>
      <c r="AB17" s="62"/>
    </row>
    <row r="18" spans="2:28" ht="15" customHeight="1">
      <c r="B18" s="20"/>
      <c r="C18" s="207"/>
      <c r="D18" s="424" t="s">
        <v>114</v>
      </c>
      <c r="E18" s="256" t="str">
        <f>IF(メイン!D19=0,"",メイン!D19)</f>
        <v/>
      </c>
      <c r="F18" s="159"/>
      <c r="G18" s="274"/>
      <c r="H18" s="59"/>
      <c r="I18" s="325"/>
      <c r="J18" s="1296" t="str">
        <f>IF(メイン!D44="","","(5)　 "&amp;メイン!D44)</f>
        <v>(5)　 ■■　■■</v>
      </c>
      <c r="K18" s="1298"/>
      <c r="L18" s="282"/>
      <c r="M18" s="282"/>
      <c r="N18" s="282"/>
      <c r="O18" s="283"/>
      <c r="R18" s="337"/>
      <c r="S18" s="357"/>
      <c r="T18" s="344"/>
      <c r="U18" s="344"/>
      <c r="V18" s="357"/>
      <c r="W18" s="358"/>
      <c r="AA18" s="344"/>
      <c r="AB18" s="62"/>
    </row>
    <row r="19" spans="2:28" ht="15" customHeight="1">
      <c r="B19" s="200"/>
      <c r="C19" s="208"/>
      <c r="D19" s="300" t="str">
        <f>"（ "&amp;ROUND(メイン!$D$20,0)&amp;"%　／　"&amp;ROUND(メイン!$D$21,0)&amp;"% ）"</f>
        <v>（ 0%　／　0% ）</v>
      </c>
      <c r="E19" s="21"/>
      <c r="F19" s="268"/>
      <c r="G19" s="269"/>
      <c r="H19" s="214"/>
      <c r="I19" s="326"/>
      <c r="J19" s="1303" t="str">
        <f>IF(メイン!E44="","","(6)　 "&amp;メイン!E44)</f>
        <v>(6)　 ■■　■■</v>
      </c>
      <c r="K19" s="1304"/>
      <c r="L19" s="292"/>
      <c r="M19" s="293"/>
      <c r="N19" s="294"/>
      <c r="O19" s="295"/>
      <c r="R19" s="337"/>
      <c r="S19" s="357"/>
      <c r="T19" s="344"/>
      <c r="U19" s="344"/>
      <c r="V19" s="357"/>
      <c r="W19" s="358"/>
      <c r="AA19" s="344"/>
      <c r="AB19" s="62"/>
    </row>
    <row r="20" spans="2:28" ht="15" customHeight="1">
      <c r="B20" s="271" t="s">
        <v>115</v>
      </c>
      <c r="C20" s="272"/>
      <c r="D20" s="300" t="str">
        <f>ROUND(メイン!C24,0)&amp;"%  ／ "&amp;ROUND(メイン!C25,0)&amp;"%"</f>
        <v>70%  ／ 445%</v>
      </c>
      <c r="E20" s="428"/>
      <c r="F20" s="129"/>
      <c r="G20" s="129"/>
      <c r="H20" s="214" t="s">
        <v>116</v>
      </c>
      <c r="I20" s="215"/>
      <c r="J20" s="422" t="str">
        <f>メイン!C45</f>
        <v>2023/X/X</v>
      </c>
      <c r="K20" s="266"/>
      <c r="L20" s="292"/>
      <c r="M20" s="293"/>
      <c r="N20" s="294"/>
      <c r="O20" s="295"/>
      <c r="S20" s="343"/>
      <c r="V20" s="357"/>
      <c r="W20" s="358"/>
      <c r="AA20" s="344"/>
      <c r="AB20" s="62"/>
    </row>
    <row r="21" spans="2:28" ht="15" customHeight="1" thickBot="1">
      <c r="B21" s="260" t="s">
        <v>117</v>
      </c>
      <c r="C21" s="261"/>
      <c r="D21" s="419" t="e">
        <f>#REF!</f>
        <v>#REF!</v>
      </c>
      <c r="E21" s="417" t="s">
        <v>118</v>
      </c>
      <c r="F21" s="416"/>
      <c r="G21" s="418"/>
      <c r="H21" s="221" t="s">
        <v>119</v>
      </c>
      <c r="I21" s="122"/>
      <c r="J21" s="423" t="str">
        <f>メイン!C46</f>
        <v>□□　□□</v>
      </c>
      <c r="K21" s="267"/>
      <c r="L21" s="296"/>
      <c r="M21" s="297"/>
      <c r="N21" s="298"/>
      <c r="O21" s="299"/>
      <c r="S21" s="343"/>
      <c r="V21" s="357"/>
      <c r="W21" s="358"/>
      <c r="X21" s="344"/>
      <c r="Y21" s="344"/>
      <c r="Z21" s="344"/>
      <c r="AA21" s="344"/>
      <c r="AB21" s="62"/>
    </row>
    <row r="22" spans="2:28" ht="6" customHeight="1" thickBot="1">
      <c r="B22" s="59"/>
      <c r="C22" s="59"/>
      <c r="D22" s="59"/>
      <c r="E22" s="59"/>
      <c r="F22" s="59"/>
      <c r="G22" s="59"/>
      <c r="H22" s="59"/>
      <c r="I22" s="59"/>
      <c r="J22" s="59"/>
      <c r="K22" s="59"/>
      <c r="L22" s="59"/>
      <c r="M22" s="59"/>
      <c r="N22" s="59"/>
      <c r="O22" s="59"/>
      <c r="S22" s="343"/>
      <c r="AB22" s="62"/>
    </row>
    <row r="23" spans="2:28" ht="19.5" customHeight="1" thickBot="1">
      <c r="B23" s="103" t="s">
        <v>120</v>
      </c>
      <c r="C23" s="177"/>
      <c r="D23" s="262"/>
      <c r="E23" s="263"/>
      <c r="F23" s="263"/>
      <c r="G23" s="263"/>
      <c r="H23" s="175" t="s">
        <v>121</v>
      </c>
      <c r="I23" s="177"/>
      <c r="J23" s="262"/>
      <c r="K23" s="263"/>
      <c r="L23" s="175" t="s">
        <v>122</v>
      </c>
      <c r="M23" s="176"/>
      <c r="N23" s="178"/>
      <c r="O23" s="179"/>
      <c r="R23" s="345" t="s">
        <v>123</v>
      </c>
      <c r="S23" s="357"/>
      <c r="T23" s="344"/>
      <c r="U23" s="344"/>
      <c r="AB23" s="62"/>
    </row>
    <row r="24" spans="2:28" ht="22.5" customHeight="1">
      <c r="B24" s="123"/>
      <c r="C24" s="59"/>
      <c r="D24" s="59"/>
      <c r="E24" s="59"/>
      <c r="F24" s="59"/>
      <c r="G24" s="124"/>
      <c r="H24" s="219"/>
      <c r="I24" s="397" t="s">
        <v>124</v>
      </c>
      <c r="J24" s="394">
        <f>IF(ISERROR(V50),"-",V50)</f>
        <v>0</v>
      </c>
      <c r="K24" s="59"/>
      <c r="L24" s="395"/>
      <c r="M24" s="397"/>
      <c r="N24" s="394"/>
      <c r="O24" s="283"/>
      <c r="P24" s="59"/>
      <c r="Q24" s="59"/>
      <c r="R24" s="346"/>
      <c r="S24" s="359" t="s">
        <v>125</v>
      </c>
      <c r="T24" s="359" t="s">
        <v>80</v>
      </c>
      <c r="U24" s="359" t="s">
        <v>126</v>
      </c>
      <c r="V24" s="344"/>
      <c r="W24" s="359" t="s">
        <v>127</v>
      </c>
      <c r="X24" s="359"/>
      <c r="Y24" s="344"/>
      <c r="Z24" s="359" t="s">
        <v>128</v>
      </c>
      <c r="AA24" s="359"/>
      <c r="AB24" s="62"/>
    </row>
    <row r="25" spans="2:28" ht="22.5" customHeight="1">
      <c r="B25" s="123"/>
      <c r="C25" s="59"/>
      <c r="D25" s="59"/>
      <c r="E25" s="59"/>
      <c r="F25" s="59"/>
      <c r="G25" s="124"/>
      <c r="H25" s="420"/>
      <c r="I25" s="398" t="s">
        <v>129</v>
      </c>
      <c r="J25" s="394">
        <f>IF(ISERROR(V51),"-",V51)</f>
        <v>3</v>
      </c>
      <c r="K25" s="59"/>
      <c r="L25" s="396"/>
      <c r="M25" s="398"/>
      <c r="N25" s="394"/>
      <c r="O25" s="284"/>
      <c r="P25" s="59"/>
      <c r="Q25" s="59"/>
      <c r="R25" s="346" t="s">
        <v>130</v>
      </c>
      <c r="S25" s="360"/>
      <c r="T25" s="361">
        <f>S11</f>
        <v>2.9</v>
      </c>
      <c r="U25" s="360">
        <v>0</v>
      </c>
      <c r="V25" s="344"/>
      <c r="W25" s="360">
        <v>50</v>
      </c>
      <c r="X25" s="360">
        <v>50</v>
      </c>
      <c r="Y25" s="344"/>
      <c r="Z25" s="360">
        <v>0</v>
      </c>
      <c r="AA25" s="360">
        <v>100</v>
      </c>
      <c r="AB25" s="62"/>
    </row>
    <row r="26" spans="2:28" ht="27.75" customHeight="1">
      <c r="B26" s="123"/>
      <c r="C26" s="59"/>
      <c r="D26" s="59"/>
      <c r="E26" s="59"/>
      <c r="F26" s="59"/>
      <c r="G26" s="124"/>
      <c r="H26" s="420"/>
      <c r="I26" s="59"/>
      <c r="J26" s="59"/>
      <c r="K26" s="59"/>
      <c r="L26" s="279"/>
      <c r="M26" s="282"/>
      <c r="N26" s="281"/>
      <c r="O26" s="284"/>
      <c r="P26" s="59"/>
      <c r="Q26" s="59"/>
      <c r="R26" s="346" t="s">
        <v>131</v>
      </c>
      <c r="S26" s="360"/>
      <c r="T26" s="361">
        <f>S10</f>
        <v>50</v>
      </c>
      <c r="U26" s="360">
        <v>0</v>
      </c>
      <c r="V26" s="344"/>
      <c r="W26" s="360">
        <v>0</v>
      </c>
      <c r="X26" s="360">
        <v>100</v>
      </c>
      <c r="Y26" s="344"/>
      <c r="Z26" s="360">
        <v>50</v>
      </c>
      <c r="AA26" s="360">
        <v>50</v>
      </c>
      <c r="AB26" s="62"/>
    </row>
    <row r="27" spans="2:28" ht="27.75" customHeight="1">
      <c r="B27" s="123"/>
      <c r="C27" s="59"/>
      <c r="D27" s="59"/>
      <c r="E27" s="59"/>
      <c r="F27" s="59"/>
      <c r="G27" s="124"/>
      <c r="H27" s="59"/>
      <c r="I27" s="59"/>
      <c r="J27" s="63"/>
      <c r="K27" s="59"/>
      <c r="L27" s="279"/>
      <c r="M27" s="285"/>
      <c r="N27" s="281"/>
      <c r="O27" s="284"/>
      <c r="P27" s="59"/>
      <c r="Q27" s="59"/>
      <c r="S27" s="343"/>
      <c r="AB27" s="62"/>
    </row>
    <row r="28" spans="2:28" ht="27.75" customHeight="1">
      <c r="B28" s="123"/>
      <c r="C28" s="59"/>
      <c r="D28" s="59"/>
      <c r="E28" s="59"/>
      <c r="F28" s="59"/>
      <c r="G28" s="124"/>
      <c r="H28" s="123"/>
      <c r="I28" s="59"/>
      <c r="J28" s="59"/>
      <c r="K28" s="124"/>
      <c r="L28" s="279"/>
      <c r="M28" s="286"/>
      <c r="N28" s="281"/>
      <c r="O28" s="284"/>
      <c r="P28" s="59"/>
      <c r="Q28" s="59"/>
      <c r="R28" s="360">
        <v>0</v>
      </c>
      <c r="S28" s="359">
        <f>T25</f>
        <v>2.9</v>
      </c>
      <c r="T28" s="362">
        <f>T25</f>
        <v>2.9</v>
      </c>
      <c r="U28" s="359">
        <v>0.1</v>
      </c>
      <c r="V28" s="344"/>
      <c r="W28" s="344"/>
      <c r="X28" s="344"/>
      <c r="Y28" s="344"/>
      <c r="Z28" s="344"/>
      <c r="AA28" s="344"/>
      <c r="AB28" s="62"/>
    </row>
    <row r="29" spans="2:28" ht="27.75" customHeight="1">
      <c r="B29" s="123"/>
      <c r="C29" s="59"/>
      <c r="D29" s="59"/>
      <c r="E29" s="59"/>
      <c r="F29" s="59"/>
      <c r="G29" s="124"/>
      <c r="H29" s="1350"/>
      <c r="I29" s="59"/>
      <c r="J29" s="59"/>
      <c r="K29" s="174"/>
      <c r="L29" s="279"/>
      <c r="M29" s="286"/>
      <c r="N29" s="281"/>
      <c r="O29" s="284"/>
      <c r="P29" s="59"/>
      <c r="Q29" s="59"/>
      <c r="R29" s="360">
        <v>0</v>
      </c>
      <c r="S29" s="359">
        <v>0</v>
      </c>
      <c r="T29" s="359">
        <f>T26</f>
        <v>50</v>
      </c>
      <c r="U29" s="363">
        <f>T26</f>
        <v>50</v>
      </c>
      <c r="V29" s="344"/>
      <c r="W29" s="344"/>
      <c r="X29" s="344"/>
      <c r="Y29" s="344"/>
      <c r="Z29" s="344"/>
      <c r="AA29" s="344"/>
      <c r="AB29" s="62"/>
    </row>
    <row r="30" spans="2:28" ht="27.75" customHeight="1">
      <c r="B30" s="123"/>
      <c r="C30" s="59"/>
      <c r="D30" s="59"/>
      <c r="E30" s="59"/>
      <c r="F30" s="59"/>
      <c r="G30" s="124"/>
      <c r="H30" s="1350"/>
      <c r="I30" s="222"/>
      <c r="J30" s="59"/>
      <c r="K30" s="59"/>
      <c r="L30" s="279"/>
      <c r="M30" s="282"/>
      <c r="N30" s="281"/>
      <c r="O30" s="284"/>
      <c r="P30" s="59"/>
      <c r="Q30" s="59"/>
      <c r="S30" s="343"/>
      <c r="AA30" s="344"/>
      <c r="AB30" s="62"/>
    </row>
    <row r="31" spans="2:28" ht="27.75" customHeight="1">
      <c r="B31" s="123"/>
      <c r="C31" s="59"/>
      <c r="D31" s="59"/>
      <c r="E31" s="59"/>
      <c r="F31" s="59"/>
      <c r="G31" s="124"/>
      <c r="H31" s="1350"/>
      <c r="I31" s="59"/>
      <c r="J31" s="180"/>
      <c r="K31" s="1349"/>
      <c r="L31" s="279"/>
      <c r="M31" s="280"/>
      <c r="N31" s="281"/>
      <c r="O31" s="284"/>
      <c r="P31" s="59"/>
      <c r="Q31" s="59"/>
      <c r="R31" s="364" t="s">
        <v>100</v>
      </c>
      <c r="S31" s="359" t="s">
        <v>132</v>
      </c>
      <c r="T31" s="365">
        <v>0</v>
      </c>
      <c r="U31" s="365">
        <f>100/6</f>
        <v>16.666666666666668</v>
      </c>
      <c r="V31" s="366">
        <f>U31*2</f>
        <v>33.333333333333336</v>
      </c>
      <c r="W31" s="365">
        <f>U31*3</f>
        <v>50</v>
      </c>
      <c r="X31" s="365">
        <f>U31*4</f>
        <v>66.666666666666671</v>
      </c>
      <c r="Y31" s="365">
        <f>U31*5</f>
        <v>83.333333333333343</v>
      </c>
      <c r="Z31" s="365">
        <v>100</v>
      </c>
      <c r="AA31" s="344"/>
      <c r="AB31" s="62"/>
    </row>
    <row r="32" spans="2:28" ht="27.75" customHeight="1">
      <c r="B32" s="123"/>
      <c r="C32" s="59"/>
      <c r="D32" s="59"/>
      <c r="E32" s="59"/>
      <c r="F32" s="59"/>
      <c r="G32" s="124"/>
      <c r="H32" s="1350"/>
      <c r="I32" s="59"/>
      <c r="J32" s="59"/>
      <c r="K32" s="1349"/>
      <c r="L32" s="279"/>
      <c r="M32" s="282"/>
      <c r="N32" s="281"/>
      <c r="O32" s="284"/>
      <c r="P32" s="59"/>
      <c r="Q32" s="59"/>
      <c r="R32" s="364"/>
      <c r="S32" s="359" t="s">
        <v>133</v>
      </c>
      <c r="T32" s="365">
        <v>100</v>
      </c>
      <c r="U32" s="365">
        <v>100</v>
      </c>
      <c r="V32" s="365">
        <v>100</v>
      </c>
      <c r="W32" s="365">
        <v>100</v>
      </c>
      <c r="X32" s="365">
        <v>100</v>
      </c>
      <c r="Y32" s="365">
        <v>100</v>
      </c>
      <c r="Z32" s="365">
        <v>100</v>
      </c>
      <c r="AA32" s="344"/>
      <c r="AB32" s="62"/>
    </row>
    <row r="33" spans="1:32" ht="27.75" customHeight="1" thickBot="1">
      <c r="B33" s="181"/>
      <c r="C33" s="122"/>
      <c r="D33" s="122"/>
      <c r="E33" s="122"/>
      <c r="F33" s="122"/>
      <c r="G33" s="125"/>
      <c r="H33" s="122"/>
      <c r="I33" s="122"/>
      <c r="J33" s="122"/>
      <c r="K33" s="125" t="str">
        <f>IF(ISERROR(ROUND(#REF!,1)&amp;"%"),"",ROUND(#REF!,1)&amp;"%")</f>
        <v/>
      </c>
      <c r="L33" s="287"/>
      <c r="M33" s="288"/>
      <c r="N33" s="289"/>
      <c r="O33" s="415"/>
      <c r="P33" s="59"/>
      <c r="Q33" s="59"/>
      <c r="R33" s="364">
        <v>3</v>
      </c>
      <c r="S33" s="359" t="s">
        <v>134</v>
      </c>
      <c r="T33" s="365">
        <v>50</v>
      </c>
      <c r="U33" s="365">
        <f t="shared" ref="U33:V36" si="0">U$31*$R33</f>
        <v>50</v>
      </c>
      <c r="V33" s="365">
        <f t="shared" si="0"/>
        <v>100</v>
      </c>
      <c r="W33" s="365">
        <v>100</v>
      </c>
      <c r="X33" s="365">
        <v>100</v>
      </c>
      <c r="Y33" s="365">
        <v>100</v>
      </c>
      <c r="Z33" s="365">
        <v>100</v>
      </c>
      <c r="AA33" s="344"/>
      <c r="AB33" s="62"/>
    </row>
    <row r="34" spans="1:32" ht="19.5" customHeight="1" thickBot="1">
      <c r="B34" s="103" t="s">
        <v>135</v>
      </c>
      <c r="C34" s="104"/>
      <c r="D34" s="105"/>
      <c r="E34" s="104"/>
      <c r="F34" s="104"/>
      <c r="G34" s="104"/>
      <c r="H34" s="106"/>
      <c r="I34" s="107"/>
      <c r="J34" s="104"/>
      <c r="K34" s="104"/>
      <c r="L34" s="104"/>
      <c r="M34" s="108"/>
      <c r="N34" s="108"/>
      <c r="O34" s="109"/>
      <c r="R34" s="364">
        <v>1.5</v>
      </c>
      <c r="S34" s="359" t="s">
        <v>136</v>
      </c>
      <c r="T34" s="365">
        <v>0</v>
      </c>
      <c r="U34" s="365">
        <f t="shared" si="0"/>
        <v>25</v>
      </c>
      <c r="V34" s="365">
        <f t="shared" si="0"/>
        <v>50</v>
      </c>
      <c r="W34" s="365">
        <f t="shared" ref="W34:X36" si="1">W$31*$R34</f>
        <v>75</v>
      </c>
      <c r="X34" s="365">
        <f t="shared" si="1"/>
        <v>100</v>
      </c>
      <c r="Y34" s="365">
        <v>100</v>
      </c>
      <c r="Z34" s="365">
        <v>100</v>
      </c>
      <c r="AA34" s="344"/>
      <c r="AB34" s="62"/>
    </row>
    <row r="35" spans="1:32" ht="19.5" customHeight="1">
      <c r="B35" s="407" t="s">
        <v>137</v>
      </c>
      <c r="C35" s="408"/>
      <c r="D35" s="408"/>
      <c r="E35" s="409"/>
      <c r="F35" s="408"/>
      <c r="G35" s="408"/>
      <c r="H35" s="408"/>
      <c r="I35" s="408"/>
      <c r="J35" s="408"/>
      <c r="K35" s="410"/>
      <c r="L35" s="411"/>
      <c r="M35" s="412" t="s">
        <v>138</v>
      </c>
      <c r="N35" s="413">
        <f>IF(ISERROR(スコア!R7),"ERROR",スコア!R7)</f>
        <v>3</v>
      </c>
      <c r="O35" s="414"/>
      <c r="R35" s="364">
        <v>1</v>
      </c>
      <c r="S35" s="359" t="s">
        <v>139</v>
      </c>
      <c r="T35" s="365">
        <v>0</v>
      </c>
      <c r="U35" s="365">
        <f t="shared" si="0"/>
        <v>16.666666666666668</v>
      </c>
      <c r="V35" s="365">
        <f t="shared" si="0"/>
        <v>33.333333333333336</v>
      </c>
      <c r="W35" s="365">
        <f t="shared" si="1"/>
        <v>50</v>
      </c>
      <c r="X35" s="365">
        <f t="shared" si="1"/>
        <v>66.666666666666671</v>
      </c>
      <c r="Y35" s="365">
        <f>Y$31*$R35</f>
        <v>83.333333333333343</v>
      </c>
      <c r="Z35" s="365">
        <f>Z$31*$R35</f>
        <v>100</v>
      </c>
      <c r="AA35" s="344"/>
      <c r="AB35" s="62"/>
    </row>
    <row r="36" spans="1:32" ht="15" customHeight="1">
      <c r="B36" s="126"/>
      <c r="C36" s="22" t="s">
        <v>140</v>
      </c>
      <c r="D36" s="23"/>
      <c r="E36" s="23"/>
      <c r="F36" s="23"/>
      <c r="G36" s="23"/>
      <c r="H36" s="23" t="s">
        <v>141</v>
      </c>
      <c r="I36" s="24"/>
      <c r="J36" s="24"/>
      <c r="K36" s="24"/>
      <c r="L36" s="25" t="s">
        <v>142</v>
      </c>
      <c r="M36" s="59"/>
      <c r="N36" s="24"/>
      <c r="O36" s="26"/>
      <c r="Q36" s="59"/>
      <c r="R36" s="364">
        <v>0.5</v>
      </c>
      <c r="S36" s="359" t="s">
        <v>143</v>
      </c>
      <c r="T36" s="365">
        <v>0</v>
      </c>
      <c r="U36" s="365">
        <f t="shared" si="0"/>
        <v>8.3333333333333339</v>
      </c>
      <c r="V36" s="365">
        <f t="shared" si="0"/>
        <v>16.666666666666668</v>
      </c>
      <c r="W36" s="365">
        <f t="shared" si="1"/>
        <v>25</v>
      </c>
      <c r="X36" s="365">
        <f t="shared" si="1"/>
        <v>33.333333333333336</v>
      </c>
      <c r="Y36" s="365">
        <f>Y$31*$R36</f>
        <v>41.666666666666671</v>
      </c>
      <c r="Z36" s="365">
        <f>Z$31*$R36</f>
        <v>50</v>
      </c>
      <c r="AA36" s="344"/>
      <c r="AB36" s="62"/>
    </row>
    <row r="37" spans="1:32" ht="15" customHeight="1">
      <c r="B37" s="123"/>
      <c r="C37" s="27"/>
      <c r="D37" s="28"/>
      <c r="E37" s="29"/>
      <c r="F37" s="59"/>
      <c r="G37" s="340">
        <f>S39</f>
        <v>3</v>
      </c>
      <c r="H37" s="59"/>
      <c r="I37" s="30"/>
      <c r="J37" s="59"/>
      <c r="K37" s="340">
        <f>V39</f>
        <v>3</v>
      </c>
      <c r="L37" s="59"/>
      <c r="M37" s="31"/>
      <c r="N37" s="30"/>
      <c r="O37" s="217">
        <f>Y39</f>
        <v>3.1</v>
      </c>
      <c r="S37" s="343"/>
      <c r="AA37" s="344"/>
      <c r="AB37" s="62"/>
    </row>
    <row r="38" spans="1:32" ht="15" customHeight="1">
      <c r="B38" s="123"/>
      <c r="C38" s="59"/>
      <c r="D38" s="59"/>
      <c r="E38" s="59"/>
      <c r="F38" s="59"/>
      <c r="G38" s="14"/>
      <c r="H38" s="14"/>
      <c r="I38" s="15"/>
      <c r="J38" s="15"/>
      <c r="K38" s="14"/>
      <c r="L38" s="24"/>
      <c r="M38" s="24"/>
      <c r="N38" s="24"/>
      <c r="O38" s="26"/>
      <c r="R38" s="346"/>
      <c r="S38" s="346" t="s">
        <v>144</v>
      </c>
      <c r="T38" s="346" t="s">
        <v>145</v>
      </c>
      <c r="U38" s="346"/>
      <c r="V38" s="346" t="s">
        <v>144</v>
      </c>
      <c r="W38" s="346" t="s">
        <v>145</v>
      </c>
      <c r="X38" s="346"/>
      <c r="Y38" s="346" t="s">
        <v>144</v>
      </c>
      <c r="Z38" s="346" t="s">
        <v>145</v>
      </c>
      <c r="AA38" s="344"/>
      <c r="AB38" s="62"/>
    </row>
    <row r="39" spans="1:32" ht="15" customHeight="1">
      <c r="B39" s="123"/>
      <c r="C39" s="59"/>
      <c r="D39" s="59"/>
      <c r="E39" s="59"/>
      <c r="F39" s="59"/>
      <c r="G39" s="14"/>
      <c r="H39" s="14"/>
      <c r="I39" s="15"/>
      <c r="J39" s="15"/>
      <c r="K39" s="14"/>
      <c r="L39" s="24"/>
      <c r="M39" s="24"/>
      <c r="N39" s="24"/>
      <c r="O39" s="26"/>
      <c r="R39" s="367" t="s">
        <v>102</v>
      </c>
      <c r="S39" s="368">
        <f>IF(ISERROR(スコア!R8),"ERROR",スコア!R8)</f>
        <v>3</v>
      </c>
      <c r="T39" s="346" t="str">
        <f>IF(S39=0,"N.A.","")</f>
        <v/>
      </c>
      <c r="U39" s="369" t="s">
        <v>146</v>
      </c>
      <c r="V39" s="370">
        <f>IF(ISERROR(スコア!R41),"ERROR",スコア!R41)</f>
        <v>3</v>
      </c>
      <c r="W39" s="346" t="str">
        <f>IF(V39=0,"N.A.","")</f>
        <v/>
      </c>
      <c r="X39" s="367" t="s">
        <v>91</v>
      </c>
      <c r="Y39" s="370">
        <f>IF(ISERROR(スコア!R74),"ERROR",スコア!R74)</f>
        <v>3.1</v>
      </c>
      <c r="Z39" s="346" t="str">
        <f>IF(Y39=0,"N.A.","")</f>
        <v/>
      </c>
      <c r="AA39" s="344"/>
      <c r="AB39" s="62"/>
    </row>
    <row r="40" spans="1:32" ht="15" customHeight="1">
      <c r="B40" s="123"/>
      <c r="C40" s="59"/>
      <c r="D40" s="59"/>
      <c r="E40" s="59"/>
      <c r="F40" s="59"/>
      <c r="G40" s="14"/>
      <c r="H40" s="14"/>
      <c r="I40" s="15"/>
      <c r="J40" s="15"/>
      <c r="K40" s="14"/>
      <c r="L40" s="24"/>
      <c r="M40" s="24"/>
      <c r="N40" s="24"/>
      <c r="O40" s="26"/>
      <c r="R40" s="371">
        <f>スコア!C9</f>
        <v>0</v>
      </c>
      <c r="S40" s="368">
        <f>IF(ISERROR(スコア!R9),"",スコア!R9)</f>
        <v>3</v>
      </c>
      <c r="T40" s="346" t="str">
        <f>IF(S40=0,"N.A.","")</f>
        <v/>
      </c>
      <c r="U40" s="369" t="e">
        <f>スコア!#REF!</f>
        <v>#REF!</v>
      </c>
      <c r="V40" s="370" t="str">
        <f>IF(ISERROR(スコア!#REF!),"",スコア!#REF!)</f>
        <v/>
      </c>
      <c r="W40" s="346" t="str">
        <f>IF(V40=0,"N.A.","")</f>
        <v/>
      </c>
      <c r="X40" s="371">
        <f>スコア!C75</f>
        <v>0</v>
      </c>
      <c r="Y40" s="370">
        <f>IF(ISERROR(スコア!R75),"",スコア!R75)</f>
        <v>3</v>
      </c>
      <c r="Z40" s="346" t="str">
        <f>IF(Y40=0,"N.A.","")</f>
        <v/>
      </c>
      <c r="AA40" s="344"/>
      <c r="AB40" s="62"/>
    </row>
    <row r="41" spans="1:32" ht="15" customHeight="1">
      <c r="B41" s="123"/>
      <c r="C41" s="59"/>
      <c r="D41" s="59"/>
      <c r="E41" s="59"/>
      <c r="F41" s="59"/>
      <c r="G41" s="14"/>
      <c r="H41" s="14"/>
      <c r="I41" s="15"/>
      <c r="J41" s="15"/>
      <c r="K41" s="14"/>
      <c r="L41" s="24"/>
      <c r="M41" s="24"/>
      <c r="N41" s="24"/>
      <c r="O41" s="26"/>
      <c r="R41" s="371">
        <f>スコア!C25</f>
        <v>0</v>
      </c>
      <c r="S41" s="368">
        <f>IF(ISERROR(スコア!R25),"",スコア!R25)</f>
        <v>3.2</v>
      </c>
      <c r="T41" s="346" t="str">
        <f>IF(S41=0,"N.A.","")</f>
        <v/>
      </c>
      <c r="U41" s="369" t="e">
        <f>スコア!#REF!</f>
        <v>#REF!</v>
      </c>
      <c r="V41" s="370" t="str">
        <f>IF(ISERROR(スコア!#REF!),"",スコア!#REF!)</f>
        <v/>
      </c>
      <c r="W41" s="346" t="str">
        <f>IF(V41=0,"N.A.","")</f>
        <v/>
      </c>
      <c r="X41" s="371">
        <f>スコア!C85</f>
        <v>0</v>
      </c>
      <c r="Y41" s="370">
        <f>IF(ISERROR(スコア!R85),"",スコア!R85)</f>
        <v>3.5</v>
      </c>
      <c r="Z41" s="346" t="str">
        <f>IF(Y41=0,"N.A.","")</f>
        <v/>
      </c>
      <c r="AA41" s="344"/>
      <c r="AB41" s="62"/>
    </row>
    <row r="42" spans="1:32" ht="15" customHeight="1">
      <c r="B42" s="123"/>
      <c r="C42" s="59"/>
      <c r="D42" s="59"/>
      <c r="E42" s="59"/>
      <c r="F42" s="59"/>
      <c r="G42" s="14"/>
      <c r="H42" s="14"/>
      <c r="I42" s="15"/>
      <c r="J42" s="15"/>
      <c r="K42" s="14"/>
      <c r="L42" s="24"/>
      <c r="M42" s="24"/>
      <c r="N42" s="24"/>
      <c r="O42" s="26"/>
      <c r="R42" s="371" t="e">
        <f>スコア!#REF!</f>
        <v>#REF!</v>
      </c>
      <c r="S42" s="368" t="str">
        <f>IF(ISERROR(スコア!#REF!),"",スコア!#REF!)</f>
        <v/>
      </c>
      <c r="T42" s="346" t="str">
        <f>IF(S42=0,"N.A.","")</f>
        <v/>
      </c>
      <c r="U42" s="369">
        <f>スコア!C48</f>
        <v>0</v>
      </c>
      <c r="V42" s="370">
        <f>IF(ISERROR(スコア!R48),"",スコア!R48)</f>
        <v>0</v>
      </c>
      <c r="W42" s="346" t="str">
        <f>IF(V42=0,"N.A.","")</f>
        <v>N.A.</v>
      </c>
      <c r="X42" s="371">
        <f>スコア!C90</f>
        <v>0</v>
      </c>
      <c r="Y42" s="370">
        <f>IF(ISERROR(スコア!R90),"",スコア!R90)</f>
        <v>3</v>
      </c>
      <c r="Z42" s="346" t="str">
        <f>IF(Y42=0,"N.A.","")</f>
        <v/>
      </c>
      <c r="AA42" s="344"/>
      <c r="AB42" s="62"/>
    </row>
    <row r="43" spans="1:32" ht="15" customHeight="1">
      <c r="B43" s="123"/>
      <c r="C43" s="59"/>
      <c r="D43" s="59"/>
      <c r="E43" s="59"/>
      <c r="F43" s="59"/>
      <c r="G43" s="32"/>
      <c r="H43" s="32"/>
      <c r="I43" s="15"/>
      <c r="J43" s="15"/>
      <c r="K43" s="14"/>
      <c r="L43" s="24"/>
      <c r="M43" s="24"/>
      <c r="N43" s="24"/>
      <c r="O43" s="26"/>
      <c r="R43" s="372"/>
      <c r="S43" s="373"/>
      <c r="T43" s="344"/>
      <c r="U43" s="374"/>
      <c r="V43" s="375"/>
      <c r="W43" s="344"/>
      <c r="X43" s="374"/>
      <c r="Y43" s="376"/>
      <c r="Z43" s="344"/>
      <c r="AA43" s="344"/>
      <c r="AB43" s="62"/>
    </row>
    <row r="44" spans="1:32" ht="15" customHeight="1">
      <c r="B44" s="123"/>
      <c r="C44" s="59"/>
      <c r="D44" s="59"/>
      <c r="E44" s="59"/>
      <c r="F44" s="59"/>
      <c r="G44" s="32"/>
      <c r="H44" s="32"/>
      <c r="I44" s="15"/>
      <c r="J44" s="15"/>
      <c r="K44" s="14"/>
      <c r="L44" s="24"/>
      <c r="M44" s="24"/>
      <c r="N44" s="24"/>
      <c r="O44" s="26"/>
      <c r="R44" s="346"/>
      <c r="S44" s="346" t="s">
        <v>144</v>
      </c>
      <c r="T44" s="346" t="s">
        <v>145</v>
      </c>
      <c r="U44" s="346"/>
      <c r="V44" s="346" t="s">
        <v>144</v>
      </c>
      <c r="W44" s="346" t="s">
        <v>145</v>
      </c>
      <c r="X44" s="346"/>
      <c r="Y44" s="346" t="s">
        <v>144</v>
      </c>
      <c r="Z44" s="346" t="s">
        <v>145</v>
      </c>
      <c r="AA44" s="344"/>
      <c r="AB44" s="62"/>
    </row>
    <row r="45" spans="1:32" ht="18" customHeight="1">
      <c r="B45" s="127"/>
      <c r="C45" s="128"/>
      <c r="D45" s="128"/>
      <c r="E45" s="128"/>
      <c r="F45" s="128"/>
      <c r="G45" s="33"/>
      <c r="H45" s="33"/>
      <c r="I45" s="34"/>
      <c r="J45" s="34"/>
      <c r="K45" s="35"/>
      <c r="L45" s="36"/>
      <c r="M45" s="36"/>
      <c r="N45" s="36"/>
      <c r="O45" s="37"/>
      <c r="R45" s="367" t="s">
        <v>147</v>
      </c>
      <c r="S45" s="377"/>
      <c r="T45" s="346"/>
      <c r="U45" s="367" t="s">
        <v>148</v>
      </c>
      <c r="V45" s="377"/>
      <c r="W45" s="346"/>
      <c r="X45" s="367" t="s">
        <v>149</v>
      </c>
      <c r="Y45" s="377"/>
      <c r="Z45" s="346"/>
      <c r="AA45" s="344"/>
      <c r="AB45" s="62"/>
    </row>
    <row r="46" spans="1:32" ht="19.5" customHeight="1">
      <c r="A46" s="26"/>
      <c r="B46" s="399" t="s">
        <v>150</v>
      </c>
      <c r="C46" s="400"/>
      <c r="D46" s="401"/>
      <c r="E46" s="400"/>
      <c r="F46" s="400"/>
      <c r="G46" s="400"/>
      <c r="H46" s="400"/>
      <c r="I46" s="400"/>
      <c r="J46" s="400"/>
      <c r="K46" s="402"/>
      <c r="L46" s="403"/>
      <c r="M46" s="404" t="s">
        <v>151</v>
      </c>
      <c r="N46" s="405">
        <f>IF(ISERROR(スコア!R100),"ERROR",スコア!R100)</f>
        <v>3</v>
      </c>
      <c r="O46" s="406"/>
      <c r="R46" s="367" t="s">
        <v>152</v>
      </c>
      <c r="S46" s="378">
        <f>IF(ISERROR(スコア!P102),"",スコア!P102)</f>
        <v>0</v>
      </c>
      <c r="T46" s="388" t="str">
        <f>IF(S46=0,"N.A.","")</f>
        <v>N.A.</v>
      </c>
      <c r="U46" s="367" t="s">
        <v>152</v>
      </c>
      <c r="V46" s="370" t="str">
        <f>IF(ISERROR(スコア!#REF!),"",スコア!#REF!)</f>
        <v/>
      </c>
      <c r="W46" s="388" t="str">
        <f>IF(V46=0,"N.A.","")</f>
        <v/>
      </c>
      <c r="X46" s="367" t="s">
        <v>152</v>
      </c>
      <c r="Y46" s="431" t="str">
        <f>IF(ISERROR(スコア!#REF!),"",IF(スコア!#REF!*-1=0,"",スコア!#REF!*-1))</f>
        <v/>
      </c>
      <c r="Z46" s="388" t="str">
        <f>IF(Y46=0,"N.A.","")</f>
        <v/>
      </c>
      <c r="AA46" s="344"/>
      <c r="AB46" s="62"/>
    </row>
    <row r="47" spans="1:32" ht="15">
      <c r="B47" s="70"/>
      <c r="C47" s="22" t="s">
        <v>153</v>
      </c>
      <c r="D47" s="71"/>
      <c r="E47" s="383"/>
      <c r="F47" s="71"/>
      <c r="G47" s="71"/>
      <c r="H47" s="23" t="s">
        <v>154</v>
      </c>
      <c r="I47" s="59"/>
      <c r="J47" s="71"/>
      <c r="K47" s="59"/>
      <c r="L47" s="25" t="s">
        <v>155</v>
      </c>
      <c r="M47" s="59"/>
      <c r="N47" s="71"/>
      <c r="O47" s="72"/>
      <c r="R47" s="371" t="s">
        <v>156</v>
      </c>
      <c r="S47" s="378">
        <f>IF(ISERROR(スコア!P105),"",スコア!P105)</f>
        <v>3</v>
      </c>
      <c r="T47" s="388" t="str">
        <f>IF(S47=0,"N.A.","")</f>
        <v/>
      </c>
      <c r="U47" s="379" t="s">
        <v>156</v>
      </c>
      <c r="V47" s="370" t="str">
        <f>IF(ISERROR(スコア!#REF!),"",スコア!#REF!)</f>
        <v/>
      </c>
      <c r="W47" s="388" t="str">
        <f>IF(V47=0,"N.A.","")</f>
        <v/>
      </c>
      <c r="X47" s="371" t="s">
        <v>156</v>
      </c>
      <c r="Y47" s="370" t="str">
        <f>IF(ISERROR(スコア!#REF!),"",IF(スコア!#REF!*-1=0,"",スコア!#REF!*-1))</f>
        <v/>
      </c>
      <c r="Z47" s="388" t="str">
        <f>IF(Y47=0,"N.A.","")</f>
        <v/>
      </c>
      <c r="AA47" s="344"/>
      <c r="AB47" s="62"/>
    </row>
    <row r="48" spans="1:32" ht="14.25">
      <c r="B48" s="73"/>
      <c r="C48" s="74"/>
      <c r="D48" s="75"/>
      <c r="E48" s="383"/>
      <c r="F48" s="59"/>
      <c r="G48" s="76"/>
      <c r="H48" s="59"/>
      <c r="I48" s="77"/>
      <c r="J48" s="59"/>
      <c r="K48" s="216"/>
      <c r="L48" s="59"/>
      <c r="M48" s="59"/>
      <c r="N48" s="77"/>
      <c r="O48" s="218"/>
      <c r="R48" s="344"/>
      <c r="S48" s="344"/>
      <c r="T48" s="344"/>
      <c r="U48" s="344"/>
      <c r="V48" s="344"/>
      <c r="W48" s="344"/>
      <c r="X48" s="344"/>
      <c r="Y48" s="344"/>
      <c r="Z48" s="344"/>
      <c r="AA48" s="344"/>
      <c r="AB48" s="62"/>
      <c r="AC48" s="62"/>
      <c r="AD48" s="62"/>
      <c r="AE48" s="62"/>
      <c r="AF48" s="62"/>
    </row>
    <row r="49" spans="2:32" ht="14.25">
      <c r="B49" s="73"/>
      <c r="C49" s="78"/>
      <c r="D49" s="78"/>
      <c r="E49" s="79"/>
      <c r="F49" s="80"/>
      <c r="G49" s="80"/>
      <c r="H49" s="80"/>
      <c r="O49" s="64"/>
      <c r="R49" s="346"/>
      <c r="S49" s="369" t="s">
        <v>157</v>
      </c>
      <c r="T49" s="369" t="s">
        <v>158</v>
      </c>
      <c r="U49" s="369" t="s">
        <v>159</v>
      </c>
      <c r="V49" s="369" t="s">
        <v>160</v>
      </c>
      <c r="W49" s="346" t="s">
        <v>145</v>
      </c>
      <c r="X49" s="344"/>
      <c r="Y49" s="344"/>
      <c r="Z49" s="344"/>
      <c r="AA49" s="344"/>
      <c r="AB49" s="62"/>
      <c r="AC49" s="62"/>
      <c r="AD49" s="62"/>
      <c r="AE49" s="62"/>
      <c r="AF49" s="62"/>
    </row>
    <row r="50" spans="2:32" ht="15.75" customHeight="1">
      <c r="B50" s="73"/>
      <c r="C50" s="63"/>
      <c r="D50" s="82"/>
      <c r="I50" s="84"/>
      <c r="O50" s="64"/>
      <c r="R50" s="346" t="s">
        <v>152</v>
      </c>
      <c r="S50" s="384">
        <f>IF(ISERROR(スコア!P102),"",スコア!P102)</f>
        <v>0</v>
      </c>
      <c r="T50" s="384" t="str">
        <f>IF(ISERROR(スコア!#REF!),"",スコア!#REF!)</f>
        <v/>
      </c>
      <c r="U50" s="384" t="str">
        <f>IF(ISERROR(スコア!#REF!),"",スコア!#REF!)</f>
        <v/>
      </c>
      <c r="V50" s="385">
        <f>SUM(S50:U50)</f>
        <v>0</v>
      </c>
      <c r="W50" s="346" t="str">
        <f>IF(V50=0,"N.A.","")</f>
        <v>N.A.</v>
      </c>
      <c r="X50" s="381" t="s">
        <v>161</v>
      </c>
      <c r="Y50" s="344"/>
      <c r="Z50" s="344"/>
      <c r="AA50" s="344"/>
      <c r="AB50" s="62"/>
      <c r="AC50" s="62"/>
      <c r="AD50" s="62"/>
      <c r="AE50" s="62"/>
      <c r="AF50" s="62"/>
    </row>
    <row r="51" spans="2:32" ht="15.75" customHeight="1">
      <c r="B51" s="73"/>
      <c r="I51" s="84"/>
      <c r="O51" s="64"/>
      <c r="R51" s="369" t="s">
        <v>156</v>
      </c>
      <c r="S51" s="384">
        <f>IF(ISERROR(スコア!P105),"",スコア!P105)</f>
        <v>3</v>
      </c>
      <c r="T51" s="384" t="str">
        <f>IF(ISERROR(スコア!#REF!),"",スコア!#REF!)</f>
        <v/>
      </c>
      <c r="U51" s="384" t="str">
        <f>IF(ISERROR(スコア!#REF!),"",スコア!#REF!)</f>
        <v/>
      </c>
      <c r="V51" s="385">
        <f>SUM(S51:U51)</f>
        <v>3</v>
      </c>
      <c r="W51" s="346" t="str">
        <f>IF(V51=0,"N.A.","")</f>
        <v/>
      </c>
      <c r="X51" s="381" t="s">
        <v>161</v>
      </c>
      <c r="Y51" s="344"/>
      <c r="Z51" s="344"/>
      <c r="AA51" s="344"/>
      <c r="AB51" s="62"/>
      <c r="AC51" s="62"/>
      <c r="AD51" s="62"/>
      <c r="AE51" s="62"/>
      <c r="AF51" s="62"/>
    </row>
    <row r="52" spans="2:32" ht="15.75" customHeight="1">
      <c r="B52" s="87"/>
      <c r="I52" s="84"/>
      <c r="O52" s="64"/>
      <c r="R52" s="344"/>
      <c r="S52" s="344"/>
      <c r="T52" s="344"/>
      <c r="U52" s="344"/>
      <c r="V52" s="344"/>
      <c r="W52" s="344"/>
      <c r="X52" s="344"/>
      <c r="Y52" s="344"/>
      <c r="Z52" s="344"/>
      <c r="AA52" s="344"/>
      <c r="AB52" s="62"/>
      <c r="AC52" s="62"/>
      <c r="AD52" s="62"/>
      <c r="AE52" s="62"/>
      <c r="AF52" s="62"/>
    </row>
    <row r="53" spans="2:32" ht="15.75" customHeight="1">
      <c r="B53" s="87"/>
      <c r="I53" s="84"/>
      <c r="O53" s="64"/>
      <c r="R53" s="346"/>
      <c r="S53" s="369" t="s">
        <v>162</v>
      </c>
      <c r="T53" s="344"/>
      <c r="U53" s="344"/>
      <c r="V53" s="344"/>
      <c r="W53" s="344"/>
      <c r="X53" s="344"/>
      <c r="Y53" s="344"/>
      <c r="Z53" s="344"/>
      <c r="AA53" s="344"/>
      <c r="AB53" s="62"/>
      <c r="AC53" s="62"/>
      <c r="AD53" s="62"/>
      <c r="AE53" s="62"/>
      <c r="AF53" s="62"/>
    </row>
    <row r="54" spans="2:32" ht="15.75" customHeight="1">
      <c r="B54" s="87"/>
      <c r="I54" s="84"/>
      <c r="O54" s="64"/>
      <c r="R54" s="369" t="s">
        <v>156</v>
      </c>
      <c r="S54" s="384">
        <f>IF(ISERROR(V51),"",V51)</f>
        <v>3</v>
      </c>
      <c r="T54" s="96" t="s">
        <v>163</v>
      </c>
      <c r="U54" s="344"/>
      <c r="V54" s="344"/>
      <c r="W54" s="344"/>
      <c r="X54" s="344"/>
      <c r="Y54" s="344"/>
      <c r="Z54" s="344"/>
      <c r="AA54" s="344"/>
      <c r="AB54" s="62"/>
      <c r="AC54" s="62"/>
      <c r="AD54" s="62"/>
      <c r="AE54" s="62"/>
      <c r="AF54" s="62"/>
    </row>
    <row r="55" spans="2:32" ht="15.75" customHeight="1">
      <c r="B55" s="87"/>
      <c r="I55" s="84"/>
      <c r="O55" s="64"/>
      <c r="R55" s="369" t="s">
        <v>152</v>
      </c>
      <c r="S55" s="384">
        <f>IF(ISERROR(V50),"",V50)</f>
        <v>0</v>
      </c>
      <c r="T55" s="96" t="s">
        <v>163</v>
      </c>
      <c r="U55" s="344"/>
      <c r="V55" s="344"/>
      <c r="W55" s="344"/>
      <c r="X55" s="344"/>
      <c r="Y55" s="344"/>
      <c r="Z55" s="344"/>
      <c r="AA55" s="344"/>
      <c r="AB55" s="62"/>
      <c r="AC55" s="62"/>
      <c r="AD55" s="62"/>
      <c r="AE55" s="62"/>
      <c r="AF55" s="62"/>
    </row>
    <row r="56" spans="2:32" ht="15.75" customHeight="1" thickBot="1">
      <c r="B56" s="88"/>
      <c r="C56" s="89"/>
      <c r="D56" s="90"/>
      <c r="E56" s="89"/>
      <c r="F56" s="91"/>
      <c r="G56" s="91"/>
      <c r="H56" s="91"/>
      <c r="I56" s="92"/>
      <c r="J56" s="93"/>
      <c r="K56" s="93"/>
      <c r="L56" s="93"/>
      <c r="M56" s="94"/>
      <c r="N56" s="94"/>
      <c r="O56" s="95"/>
      <c r="R56" s="344"/>
      <c r="S56" s="344"/>
      <c r="T56" s="344"/>
      <c r="U56" s="344"/>
      <c r="V56" s="344"/>
      <c r="W56" s="344"/>
      <c r="X56" s="344"/>
      <c r="Y56" s="344"/>
      <c r="Z56" s="344"/>
      <c r="AA56" s="344"/>
      <c r="AB56" s="62"/>
      <c r="AC56" s="62"/>
      <c r="AD56" s="62"/>
      <c r="AE56" s="62"/>
      <c r="AF56" s="62"/>
    </row>
    <row r="57" spans="2:32" ht="15.75" customHeight="1">
      <c r="B57" s="80"/>
      <c r="C57" s="80"/>
      <c r="D57" s="78"/>
      <c r="E57" s="80"/>
      <c r="I57" s="84"/>
      <c r="J57" s="62"/>
      <c r="K57" s="62"/>
      <c r="L57" s="62"/>
      <c r="R57" s="344"/>
      <c r="S57" s="344"/>
      <c r="T57" s="344"/>
      <c r="U57" s="344"/>
      <c r="V57" s="344"/>
      <c r="W57" s="344"/>
      <c r="X57" s="344"/>
      <c r="Y57" s="344"/>
      <c r="Z57" s="344"/>
      <c r="AA57" s="344"/>
      <c r="AB57" s="62"/>
      <c r="AC57" s="62"/>
      <c r="AD57" s="62"/>
      <c r="AE57" s="62"/>
      <c r="AF57" s="62"/>
    </row>
    <row r="58" spans="2:32" ht="15.75" customHeight="1">
      <c r="B58" s="80"/>
      <c r="C58" s="80"/>
      <c r="D58" s="78"/>
      <c r="E58" s="80"/>
      <c r="I58" s="84"/>
      <c r="J58" s="62"/>
      <c r="K58" s="62"/>
      <c r="L58" s="62"/>
      <c r="R58" s="344"/>
      <c r="S58" s="344"/>
      <c r="T58" s="344"/>
      <c r="U58" s="344"/>
      <c r="V58" s="344"/>
      <c r="W58" s="344"/>
      <c r="X58" s="344"/>
      <c r="Y58" s="344"/>
      <c r="Z58" s="344"/>
      <c r="AA58" s="344"/>
      <c r="AB58" s="62"/>
      <c r="AC58" s="62"/>
      <c r="AD58" s="62"/>
      <c r="AE58" s="62"/>
      <c r="AF58" s="62"/>
    </row>
    <row r="59" spans="2:32" ht="15.75" customHeight="1">
      <c r="B59" s="80"/>
      <c r="C59" s="80"/>
      <c r="D59" s="78"/>
      <c r="E59" s="80"/>
      <c r="I59" s="84"/>
      <c r="J59" s="62"/>
      <c r="K59" s="62"/>
      <c r="L59" s="62"/>
      <c r="R59" s="344"/>
      <c r="S59" s="344"/>
      <c r="T59" s="344"/>
      <c r="U59" s="344"/>
      <c r="V59" s="344"/>
      <c r="W59" s="344"/>
      <c r="X59" s="344"/>
      <c r="Y59" s="344"/>
      <c r="Z59" s="344"/>
      <c r="AA59" s="344"/>
      <c r="AB59" s="62"/>
      <c r="AC59" s="62"/>
      <c r="AD59" s="62"/>
      <c r="AE59" s="62"/>
      <c r="AF59" s="62"/>
    </row>
    <row r="60" spans="2:32" ht="15.75" customHeight="1">
      <c r="B60" s="80"/>
      <c r="C60" s="80"/>
      <c r="D60" s="78"/>
      <c r="E60" s="80"/>
      <c r="I60" s="84"/>
      <c r="J60" s="62"/>
      <c r="K60" s="62"/>
      <c r="L60" s="62"/>
      <c r="R60" s="344"/>
      <c r="S60" s="344"/>
      <c r="T60" s="344"/>
      <c r="U60" s="344"/>
      <c r="V60" s="344"/>
      <c r="W60" s="344"/>
      <c r="X60" s="344"/>
      <c r="Y60" s="344"/>
      <c r="Z60" s="344"/>
      <c r="AA60" s="344"/>
      <c r="AB60" s="62"/>
      <c r="AC60" s="62"/>
      <c r="AD60" s="62"/>
      <c r="AE60" s="62"/>
      <c r="AF60" s="62"/>
    </row>
    <row r="61" spans="2:32" ht="15.75" customHeight="1">
      <c r="B61" s="80"/>
      <c r="C61" s="80"/>
      <c r="D61" s="78"/>
      <c r="E61" s="80"/>
      <c r="I61" s="84"/>
      <c r="J61" s="62"/>
      <c r="K61" s="62"/>
      <c r="L61" s="62"/>
      <c r="R61" s="344"/>
      <c r="S61" s="344"/>
      <c r="T61" s="344"/>
      <c r="U61" s="344"/>
      <c r="V61" s="344"/>
      <c r="W61" s="344"/>
      <c r="X61" s="344"/>
      <c r="Y61" s="344"/>
      <c r="Z61" s="344"/>
      <c r="AA61" s="344"/>
      <c r="AB61" s="62"/>
      <c r="AC61" s="62"/>
      <c r="AD61" s="62"/>
      <c r="AE61" s="62"/>
      <c r="AF61" s="62"/>
    </row>
    <row r="62" spans="2:32" ht="15.75" customHeight="1">
      <c r="B62" s="80"/>
      <c r="C62" s="80"/>
      <c r="D62" s="78"/>
      <c r="E62" s="80"/>
      <c r="I62" s="84"/>
      <c r="J62" s="62"/>
      <c r="K62" s="62"/>
      <c r="L62" s="62"/>
      <c r="R62" s="344"/>
      <c r="S62" s="344"/>
      <c r="T62" s="344"/>
      <c r="U62" s="344"/>
      <c r="V62" s="344"/>
      <c r="W62" s="344"/>
      <c r="X62" s="344"/>
      <c r="Y62" s="344"/>
      <c r="Z62" s="344"/>
      <c r="AA62" s="344"/>
      <c r="AB62" s="62"/>
      <c r="AC62" s="62"/>
      <c r="AD62" s="62"/>
      <c r="AE62" s="62"/>
      <c r="AF62" s="62"/>
    </row>
    <row r="63" spans="2:32" ht="15.75" customHeight="1">
      <c r="B63" s="80"/>
      <c r="C63" s="80"/>
      <c r="D63" s="78"/>
      <c r="E63" s="80"/>
      <c r="I63" s="84"/>
      <c r="J63" s="62"/>
      <c r="K63" s="62"/>
      <c r="L63" s="62"/>
      <c r="R63" s="344"/>
      <c r="S63" s="344"/>
      <c r="T63" s="344"/>
      <c r="U63" s="344"/>
      <c r="V63" s="344"/>
      <c r="W63" s="344"/>
      <c r="X63" s="344"/>
      <c r="Y63" s="344"/>
      <c r="Z63" s="344"/>
      <c r="AA63" s="344"/>
      <c r="AB63" s="62"/>
      <c r="AC63" s="62"/>
      <c r="AD63" s="62"/>
      <c r="AE63" s="62"/>
      <c r="AF63" s="62"/>
    </row>
    <row r="64" spans="2:32" ht="6" customHeight="1" thickBot="1">
      <c r="B64" s="39"/>
      <c r="C64" s="38"/>
      <c r="D64" s="40"/>
      <c r="E64" s="13"/>
      <c r="F64" s="14"/>
      <c r="G64" s="14"/>
      <c r="H64" s="14"/>
      <c r="I64" s="15"/>
      <c r="J64" s="15"/>
      <c r="K64" s="14"/>
      <c r="L64" s="14"/>
      <c r="M64" s="18"/>
      <c r="N64" s="18"/>
      <c r="O64" s="18"/>
      <c r="R64" s="344"/>
      <c r="S64" s="344"/>
      <c r="T64" s="344"/>
      <c r="U64" s="344"/>
      <c r="V64" s="344"/>
      <c r="W64" s="344"/>
      <c r="X64" s="344"/>
      <c r="Y64" s="344"/>
      <c r="Z64" s="344"/>
      <c r="AA64" s="344"/>
      <c r="AB64" s="62"/>
      <c r="AC64" s="62"/>
      <c r="AD64" s="62"/>
      <c r="AE64" s="62"/>
      <c r="AF64" s="62"/>
    </row>
    <row r="65" spans="1:32" ht="15.75">
      <c r="B65" s="97" t="s">
        <v>164</v>
      </c>
      <c r="C65" s="98"/>
      <c r="D65" s="99"/>
      <c r="E65" s="98"/>
      <c r="F65" s="98"/>
      <c r="G65" s="98"/>
      <c r="H65" s="100"/>
      <c r="I65" s="101"/>
      <c r="J65" s="98"/>
      <c r="K65" s="98"/>
      <c r="L65" s="98"/>
      <c r="M65" s="102"/>
      <c r="N65" s="102"/>
      <c r="O65" s="182"/>
      <c r="R65" s="344"/>
      <c r="S65" s="344"/>
      <c r="T65" s="344"/>
      <c r="U65" s="344"/>
      <c r="V65" s="344"/>
      <c r="W65" s="344"/>
      <c r="X65" s="344"/>
      <c r="Y65" s="344"/>
      <c r="Z65" s="344"/>
      <c r="AA65" s="344"/>
      <c r="AB65" s="62"/>
      <c r="AC65" s="62"/>
      <c r="AD65" s="62"/>
      <c r="AE65" s="62"/>
      <c r="AF65" s="62"/>
    </row>
    <row r="66" spans="1:32" ht="14.25">
      <c r="B66" s="183" t="str">
        <f>配慮!B6</f>
        <v>総合</v>
      </c>
      <c r="C66" s="184"/>
      <c r="D66" s="185"/>
      <c r="E66" s="184"/>
      <c r="F66" s="184"/>
      <c r="G66" s="184"/>
      <c r="H66" s="184"/>
      <c r="I66" s="184"/>
      <c r="J66" s="184"/>
      <c r="K66" s="186"/>
      <c r="L66" s="187" t="str">
        <f>配慮!B13</f>
        <v>その他</v>
      </c>
      <c r="M66" s="188"/>
      <c r="N66" s="188"/>
      <c r="O66" s="189"/>
      <c r="R66" s="344"/>
      <c r="S66" s="344"/>
      <c r="T66" s="344"/>
      <c r="U66" s="344"/>
      <c r="V66" s="344"/>
      <c r="W66" s="344"/>
      <c r="X66" s="344"/>
      <c r="Y66" s="344"/>
      <c r="Z66" s="344"/>
      <c r="AA66" s="344"/>
      <c r="AB66" s="62"/>
      <c r="AC66" s="62"/>
      <c r="AD66" s="62"/>
      <c r="AE66" s="62"/>
      <c r="AF66" s="62"/>
    </row>
    <row r="67" spans="1:32" ht="52.5" customHeight="1">
      <c r="B67" s="1286" t="str">
        <f>IF(配慮!C6="","",配慮!C6)</f>
        <v/>
      </c>
      <c r="C67" s="1287"/>
      <c r="D67" s="1287"/>
      <c r="E67" s="1287"/>
      <c r="F67" s="1287"/>
      <c r="G67" s="1287"/>
      <c r="H67" s="1287"/>
      <c r="I67" s="1287"/>
      <c r="J67" s="1287"/>
      <c r="K67" s="1288"/>
      <c r="L67" s="1262" t="str">
        <f>IF(配慮!C13="","",配慮!C13)</f>
        <v/>
      </c>
      <c r="M67" s="1262"/>
      <c r="N67" s="1262"/>
      <c r="O67" s="1265"/>
      <c r="R67" s="344"/>
      <c r="S67" s="344"/>
      <c r="T67" s="344"/>
      <c r="U67" s="344"/>
      <c r="V67" s="344"/>
      <c r="W67" s="344"/>
      <c r="X67" s="344"/>
      <c r="Y67" s="344"/>
      <c r="Z67" s="344"/>
      <c r="AA67" s="344"/>
      <c r="AB67" s="62"/>
      <c r="AC67" s="62"/>
      <c r="AD67" s="62"/>
      <c r="AE67" s="62"/>
      <c r="AF67" s="62"/>
    </row>
    <row r="68" spans="1:32" ht="15">
      <c r="B68" s="190" t="s">
        <v>165</v>
      </c>
      <c r="C68" s="188"/>
      <c r="D68" s="188"/>
      <c r="E68" s="188"/>
      <c r="F68" s="188"/>
      <c r="G68" s="191"/>
      <c r="H68" s="275" t="s">
        <v>166</v>
      </c>
      <c r="I68" s="192"/>
      <c r="J68" s="192"/>
      <c r="K68" s="193"/>
      <c r="L68" s="276" t="s">
        <v>167</v>
      </c>
      <c r="M68" s="194"/>
      <c r="N68" s="195"/>
      <c r="O68" s="196"/>
      <c r="R68" s="344"/>
      <c r="S68" s="344"/>
      <c r="T68" s="344"/>
      <c r="U68" s="344"/>
      <c r="V68" s="344"/>
      <c r="W68" s="344"/>
      <c r="X68" s="344"/>
      <c r="Y68" s="344"/>
      <c r="Z68" s="344"/>
      <c r="AA68" s="344"/>
      <c r="AB68" s="62"/>
      <c r="AC68" s="62"/>
      <c r="AD68" s="62"/>
      <c r="AE68" s="62"/>
      <c r="AF68" s="62"/>
    </row>
    <row r="69" spans="1:32" ht="50.25" customHeight="1">
      <c r="B69" s="1261" t="str">
        <f>IF(配慮!C7="","",配慮!C7)</f>
        <v/>
      </c>
      <c r="C69" s="1262"/>
      <c r="D69" s="1262"/>
      <c r="E69" s="1262"/>
      <c r="F69" s="1262"/>
      <c r="G69" s="1263"/>
      <c r="H69" s="1264" t="str">
        <f>IF(配慮!C8="","",配慮!C8)</f>
        <v/>
      </c>
      <c r="I69" s="1262"/>
      <c r="J69" s="1262"/>
      <c r="K69" s="1263"/>
      <c r="L69" s="1264" t="str">
        <f>IF(配慮!C9="","",配慮!C9)</f>
        <v/>
      </c>
      <c r="M69" s="1262"/>
      <c r="N69" s="1262"/>
      <c r="O69" s="1265"/>
      <c r="R69" s="344"/>
      <c r="S69" s="344"/>
      <c r="T69" s="344"/>
      <c r="U69" s="344"/>
      <c r="V69" s="344"/>
      <c r="W69" s="344"/>
      <c r="X69" s="344"/>
      <c r="Y69" s="344"/>
      <c r="Z69" s="344"/>
      <c r="AA69" s="344"/>
      <c r="AB69" s="62"/>
      <c r="AC69" s="62"/>
      <c r="AD69" s="62"/>
      <c r="AE69" s="62"/>
      <c r="AF69" s="62"/>
    </row>
    <row r="70" spans="1:32" ht="15">
      <c r="B70" s="190" t="s">
        <v>168</v>
      </c>
      <c r="C70" s="197"/>
      <c r="D70" s="185"/>
      <c r="E70" s="185"/>
      <c r="F70" s="185"/>
      <c r="G70" s="198"/>
      <c r="H70" s="277" t="s">
        <v>169</v>
      </c>
      <c r="I70" s="188"/>
      <c r="J70" s="188"/>
      <c r="K70" s="191"/>
      <c r="L70" s="278" t="s">
        <v>170</v>
      </c>
      <c r="M70" s="197"/>
      <c r="N70" s="185"/>
      <c r="O70" s="199"/>
      <c r="R70" s="344"/>
      <c r="S70" s="344"/>
      <c r="T70" s="344"/>
      <c r="U70" s="344"/>
      <c r="V70" s="344"/>
      <c r="W70" s="344"/>
      <c r="X70" s="344"/>
      <c r="Y70" s="344"/>
      <c r="Z70" s="344"/>
      <c r="AA70" s="344"/>
      <c r="AB70" s="62"/>
      <c r="AC70" s="62"/>
      <c r="AD70" s="62"/>
      <c r="AE70" s="62"/>
      <c r="AF70" s="62"/>
    </row>
    <row r="71" spans="1:32" ht="61.5" customHeight="1" thickBot="1">
      <c r="B71" s="1266" t="str">
        <f>IF(配慮!C10="","",配慮!C10)</f>
        <v/>
      </c>
      <c r="C71" s="1267"/>
      <c r="D71" s="1267"/>
      <c r="E71" s="1267"/>
      <c r="F71" s="1267"/>
      <c r="G71" s="1268"/>
      <c r="H71" s="1269" t="str">
        <f>IF(配慮!C11="","",配慮!C11)</f>
        <v/>
      </c>
      <c r="I71" s="1267"/>
      <c r="J71" s="1267"/>
      <c r="K71" s="1268"/>
      <c r="L71" s="1269" t="str">
        <f>IF(配慮!C12="","",配慮!C12)</f>
        <v/>
      </c>
      <c r="M71" s="1267"/>
      <c r="N71" s="1267"/>
      <c r="O71" s="1270"/>
      <c r="R71" s="344"/>
      <c r="S71" s="344"/>
      <c r="T71" s="344"/>
      <c r="U71" s="344"/>
      <c r="V71" s="344"/>
      <c r="W71" s="344"/>
      <c r="X71" s="344"/>
      <c r="Y71" s="344"/>
      <c r="Z71" s="344"/>
      <c r="AA71" s="344"/>
      <c r="AB71" s="62"/>
      <c r="AC71" s="62"/>
      <c r="AD71" s="62"/>
      <c r="AE71" s="62"/>
      <c r="AF71" s="62"/>
    </row>
    <row r="72" spans="1:32" ht="6" customHeight="1" thickBot="1">
      <c r="B72" s="24"/>
      <c r="C72" s="24"/>
      <c r="D72" s="24"/>
      <c r="E72" s="24"/>
      <c r="F72" s="24"/>
      <c r="G72" s="24"/>
      <c r="H72" s="24"/>
      <c r="I72" s="24"/>
      <c r="J72" s="24"/>
      <c r="K72" s="24"/>
      <c r="L72" s="24"/>
      <c r="M72" s="24"/>
      <c r="N72" s="24"/>
      <c r="O72" s="24"/>
      <c r="Q72" s="24"/>
      <c r="R72" s="344"/>
      <c r="S72" s="344"/>
      <c r="T72" s="344"/>
      <c r="U72" s="344"/>
      <c r="V72" s="344"/>
      <c r="W72" s="344"/>
      <c r="X72" s="344"/>
      <c r="Y72" s="344"/>
      <c r="Z72" s="344"/>
      <c r="AA72" s="344"/>
      <c r="AB72" s="62"/>
      <c r="AC72" s="62"/>
      <c r="AD72" s="62"/>
      <c r="AE72" s="62"/>
      <c r="AF72" s="62"/>
    </row>
    <row r="73" spans="1:32" ht="16.5" customHeight="1">
      <c r="B73" s="97" t="s">
        <v>171</v>
      </c>
      <c r="C73" s="98"/>
      <c r="D73" s="99"/>
      <c r="E73" s="98"/>
      <c r="F73" s="98"/>
      <c r="G73" s="98"/>
      <c r="H73" s="100"/>
      <c r="I73" s="101"/>
      <c r="J73" s="98"/>
      <c r="K73" s="98"/>
      <c r="L73" s="98"/>
      <c r="M73" s="102"/>
      <c r="N73" s="102"/>
      <c r="O73" s="182"/>
      <c r="R73" s="344"/>
      <c r="S73" s="344"/>
      <c r="T73" s="344"/>
      <c r="U73" s="344"/>
      <c r="V73" s="344"/>
      <c r="W73" s="344"/>
      <c r="X73" s="344"/>
      <c r="Y73" s="344"/>
      <c r="Z73" s="344"/>
      <c r="AA73" s="344"/>
      <c r="AB73" s="62"/>
      <c r="AC73" s="62"/>
      <c r="AD73" s="62"/>
      <c r="AE73" s="62"/>
      <c r="AF73" s="62"/>
    </row>
    <row r="74" spans="1:32" ht="18" customHeight="1">
      <c r="B74" s="1283" t="s">
        <v>172</v>
      </c>
      <c r="C74" s="1284"/>
      <c r="D74" s="1284"/>
      <c r="E74" s="1284"/>
      <c r="F74" s="1284"/>
      <c r="G74" s="1284"/>
      <c r="H74" s="1284"/>
      <c r="I74" s="1284"/>
      <c r="J74" s="1284"/>
      <c r="K74" s="1284"/>
      <c r="L74" s="1284"/>
      <c r="M74" s="1284"/>
      <c r="N74" s="1284"/>
      <c r="O74" s="1285"/>
      <c r="R74" s="344"/>
      <c r="S74" s="344"/>
      <c r="T74" s="344"/>
      <c r="U74" s="344"/>
      <c r="V74" s="344"/>
      <c r="W74" s="344"/>
      <c r="X74" s="344"/>
      <c r="Y74" s="344"/>
      <c r="Z74" s="344"/>
      <c r="AA74" s="344"/>
      <c r="AB74" s="62"/>
      <c r="AC74" s="62"/>
      <c r="AD74" s="62"/>
      <c r="AE74" s="62"/>
      <c r="AF74" s="62"/>
    </row>
    <row r="75" spans="1:32" ht="27.75" customHeight="1">
      <c r="B75" s="1255" t="str">
        <f>IF(メイン!C37="","",メイン!C37)</f>
        <v>○○○</v>
      </c>
      <c r="C75" s="1256"/>
      <c r="D75" s="1256"/>
      <c r="E75" s="1256"/>
      <c r="F75" s="1256"/>
      <c r="G75" s="1256"/>
      <c r="H75" s="1256"/>
      <c r="I75" s="1256"/>
      <c r="J75" s="1256"/>
      <c r="K75" s="1256"/>
      <c r="L75" s="1256"/>
      <c r="M75" s="1256"/>
      <c r="N75" s="1256"/>
      <c r="O75" s="1257"/>
      <c r="R75" s="344"/>
      <c r="S75" s="344"/>
      <c r="T75" s="344"/>
      <c r="U75" s="344"/>
      <c r="V75" s="344"/>
      <c r="W75" s="344"/>
      <c r="X75" s="344"/>
      <c r="Y75" s="344"/>
      <c r="Z75" s="344"/>
      <c r="AA75" s="344"/>
      <c r="AB75" s="62"/>
      <c r="AC75" s="62"/>
      <c r="AD75" s="62"/>
      <c r="AE75" s="62"/>
      <c r="AF75" s="62"/>
    </row>
    <row r="76" spans="1:32" ht="27.75" customHeight="1" thickBot="1">
      <c r="B76" s="1258" t="str">
        <f>IF(メイン!C38="","",メイン!C38)</f>
        <v>○○○</v>
      </c>
      <c r="C76" s="1259"/>
      <c r="D76" s="1259"/>
      <c r="E76" s="1259"/>
      <c r="F76" s="1259"/>
      <c r="G76" s="1259"/>
      <c r="H76" s="1259"/>
      <c r="I76" s="1259"/>
      <c r="J76" s="1259"/>
      <c r="K76" s="1259"/>
      <c r="L76" s="1259"/>
      <c r="M76" s="1259"/>
      <c r="N76" s="1259"/>
      <c r="O76" s="1260"/>
      <c r="R76" s="344"/>
      <c r="S76" s="344"/>
      <c r="T76" s="344"/>
      <c r="U76" s="344"/>
      <c r="V76" s="344"/>
      <c r="W76" s="344"/>
      <c r="X76" s="344"/>
      <c r="Y76" s="344"/>
      <c r="Z76" s="344"/>
      <c r="AA76" s="344"/>
      <c r="AB76" s="62"/>
      <c r="AC76" s="62"/>
      <c r="AD76" s="62"/>
      <c r="AE76" s="62"/>
      <c r="AF76" s="62"/>
    </row>
    <row r="77" spans="1:32" ht="13.5" customHeight="1">
      <c r="B77" s="62"/>
      <c r="C77" s="62"/>
      <c r="D77" s="62"/>
      <c r="E77" s="62"/>
      <c r="F77" s="62"/>
      <c r="G77" s="62"/>
      <c r="H77" s="62"/>
      <c r="I77" s="62"/>
      <c r="J77" s="62"/>
      <c r="K77" s="62"/>
      <c r="L77" s="62"/>
      <c r="M77" s="62"/>
      <c r="N77" s="62"/>
      <c r="O77" s="62"/>
      <c r="R77" s="344"/>
      <c r="S77" s="344"/>
      <c r="T77" s="344"/>
      <c r="U77" s="344"/>
      <c r="V77" s="344"/>
      <c r="W77" s="344"/>
      <c r="X77" s="344"/>
      <c r="Y77" s="344"/>
      <c r="Z77" s="344"/>
      <c r="AA77" s="344"/>
      <c r="AB77" s="62"/>
      <c r="AC77" s="62"/>
      <c r="AD77" s="62"/>
      <c r="AE77" s="62"/>
      <c r="AF77" s="62"/>
    </row>
    <row r="78" spans="1:32" ht="13.5" customHeight="1">
      <c r="A78" s="41"/>
      <c r="B78" s="62"/>
      <c r="C78" s="62"/>
      <c r="D78" s="62"/>
      <c r="E78" s="62"/>
      <c r="F78" s="62"/>
      <c r="G78" s="62"/>
      <c r="H78" s="62"/>
      <c r="I78" s="62"/>
      <c r="J78" s="62"/>
      <c r="K78" s="62"/>
      <c r="L78" s="62"/>
      <c r="M78" s="62"/>
      <c r="N78" s="62"/>
      <c r="O78" s="62"/>
      <c r="R78" s="344"/>
      <c r="S78" s="382"/>
      <c r="T78" s="344"/>
      <c r="U78" s="344"/>
      <c r="V78" s="344"/>
      <c r="W78" s="344"/>
      <c r="X78" s="344"/>
      <c r="Y78" s="344"/>
      <c r="Z78" s="344"/>
      <c r="AA78" s="344"/>
      <c r="AB78" s="62"/>
      <c r="AC78" s="62"/>
      <c r="AD78" s="62"/>
      <c r="AE78" s="62"/>
      <c r="AF78" s="62"/>
    </row>
    <row r="79" spans="1:32" ht="13.5" customHeight="1">
      <c r="B79" s="62"/>
      <c r="C79" s="62"/>
      <c r="D79" s="62"/>
      <c r="E79" s="62"/>
      <c r="F79" s="62"/>
      <c r="G79" s="62"/>
      <c r="H79" s="62"/>
      <c r="I79" s="62"/>
      <c r="J79" s="62"/>
      <c r="K79" s="62"/>
      <c r="L79" s="62"/>
      <c r="M79" s="62"/>
      <c r="N79" s="62"/>
      <c r="O79" s="62"/>
      <c r="P79" s="62"/>
      <c r="R79" s="344"/>
      <c r="S79" s="382"/>
      <c r="T79" s="344"/>
      <c r="U79" s="344"/>
      <c r="V79" s="344"/>
      <c r="W79" s="344"/>
      <c r="X79" s="344"/>
      <c r="Y79" s="344"/>
      <c r="Z79" s="344"/>
      <c r="AA79" s="344"/>
      <c r="AB79" s="62"/>
      <c r="AC79" s="62"/>
      <c r="AD79" s="62"/>
      <c r="AE79" s="62"/>
      <c r="AF79" s="62"/>
    </row>
    <row r="80" spans="1:32" ht="13.5" customHeight="1">
      <c r="B80" s="62"/>
      <c r="C80" s="62"/>
      <c r="D80" s="62"/>
      <c r="E80" s="62"/>
      <c r="F80" s="62"/>
      <c r="G80" s="62"/>
      <c r="H80" s="62"/>
      <c r="I80" s="62"/>
      <c r="J80" s="62"/>
      <c r="K80" s="62"/>
      <c r="L80" s="62"/>
      <c r="M80" s="62"/>
      <c r="N80" s="62"/>
      <c r="O80" s="62"/>
      <c r="P80" s="62"/>
      <c r="R80" s="344"/>
      <c r="S80" s="382"/>
      <c r="T80" s="344"/>
      <c r="U80" s="344"/>
      <c r="V80" s="344"/>
      <c r="W80" s="344"/>
      <c r="X80" s="344"/>
      <c r="Y80" s="344"/>
      <c r="Z80" s="344"/>
      <c r="AA80" s="344"/>
      <c r="AB80" s="62"/>
      <c r="AC80" s="62"/>
      <c r="AD80" s="62"/>
      <c r="AE80" s="62"/>
      <c r="AF80" s="62"/>
    </row>
    <row r="81" spans="2:32" ht="13.5" hidden="1" customHeight="1">
      <c r="B81" s="62"/>
      <c r="C81" s="62"/>
      <c r="D81" s="62"/>
      <c r="E81" s="62"/>
      <c r="F81" s="62"/>
      <c r="G81" s="62"/>
      <c r="H81" s="62"/>
      <c r="I81" s="62"/>
      <c r="J81" s="62"/>
      <c r="K81" s="62"/>
      <c r="L81" s="62"/>
      <c r="M81" s="62"/>
      <c r="N81" s="62"/>
      <c r="O81" s="62"/>
      <c r="P81" s="62"/>
      <c r="R81" s="344"/>
      <c r="S81" s="382"/>
      <c r="T81" s="344"/>
      <c r="U81" s="344"/>
      <c r="V81" s="344"/>
      <c r="W81" s="344"/>
      <c r="X81" s="344"/>
      <c r="Y81" s="344"/>
      <c r="Z81" s="344"/>
      <c r="AA81" s="344"/>
      <c r="AB81" s="62"/>
      <c r="AC81" s="62"/>
      <c r="AD81" s="62"/>
      <c r="AE81" s="62"/>
      <c r="AF81" s="62"/>
    </row>
    <row r="82" spans="2:32" ht="13.5" hidden="1" customHeight="1">
      <c r="B82" s="62"/>
      <c r="C82" s="62"/>
      <c r="D82" s="62"/>
      <c r="E82" s="62"/>
      <c r="F82" s="62"/>
      <c r="G82" s="62"/>
      <c r="H82" s="62"/>
      <c r="I82" s="62"/>
      <c r="J82" s="62"/>
      <c r="K82" s="62"/>
      <c r="L82" s="62"/>
      <c r="M82" s="62"/>
      <c r="N82" s="62"/>
      <c r="O82" s="62"/>
      <c r="P82" s="62"/>
      <c r="AA82" s="344"/>
      <c r="AB82" s="62"/>
    </row>
    <row r="83" spans="2:32" ht="13.5" hidden="1" customHeight="1">
      <c r="B83" s="62"/>
      <c r="C83" s="62"/>
      <c r="D83" s="62"/>
      <c r="E83" s="62"/>
      <c r="F83" s="62"/>
      <c r="G83" s="62"/>
      <c r="H83" s="62"/>
      <c r="I83" s="62"/>
      <c r="J83" s="62"/>
      <c r="K83" s="62"/>
      <c r="L83" s="62"/>
      <c r="M83" s="62"/>
      <c r="N83" s="62"/>
      <c r="O83" s="62"/>
      <c r="P83" s="62"/>
    </row>
    <row r="84" spans="2:32" ht="13.5" hidden="1" customHeight="1">
      <c r="B84" s="62"/>
      <c r="C84" s="62"/>
      <c r="D84" s="62"/>
      <c r="E84" s="62"/>
      <c r="F84" s="62"/>
      <c r="G84" s="62"/>
      <c r="H84" s="62"/>
      <c r="I84" s="62"/>
      <c r="J84" s="62"/>
      <c r="K84" s="62"/>
      <c r="L84" s="62"/>
      <c r="M84" s="62"/>
      <c r="N84" s="62"/>
      <c r="O84" s="62"/>
      <c r="P84" s="62"/>
    </row>
    <row r="85" spans="2:32" ht="13.5" hidden="1" customHeight="1">
      <c r="B85" s="62"/>
      <c r="C85" s="62"/>
      <c r="D85" s="62"/>
      <c r="E85" s="62"/>
      <c r="F85" s="62"/>
      <c r="G85" s="62"/>
      <c r="H85" s="62"/>
      <c r="I85" s="62"/>
      <c r="J85" s="62"/>
      <c r="K85" s="62"/>
      <c r="L85" s="62"/>
      <c r="M85" s="62"/>
      <c r="N85" s="62"/>
      <c r="O85" s="62"/>
      <c r="P85" s="62"/>
    </row>
    <row r="86" spans="2:32" ht="13.5" hidden="1" customHeight="1">
      <c r="B86" s="62"/>
      <c r="C86" s="62"/>
      <c r="D86" s="62"/>
      <c r="E86" s="62"/>
      <c r="F86" s="62"/>
      <c r="G86" s="62"/>
      <c r="H86" s="62"/>
      <c r="I86" s="62"/>
      <c r="J86" s="62"/>
      <c r="K86" s="62"/>
      <c r="L86" s="62"/>
      <c r="M86" s="62"/>
      <c r="N86" s="62"/>
      <c r="O86" s="62"/>
      <c r="P86" s="62"/>
    </row>
    <row r="87" spans="2:32" ht="13.5" hidden="1" customHeight="1">
      <c r="B87" s="62"/>
      <c r="C87" s="62"/>
      <c r="D87" s="62"/>
      <c r="E87" s="62"/>
      <c r="F87" s="62"/>
      <c r="G87" s="62"/>
      <c r="H87" s="62"/>
      <c r="I87" s="62"/>
      <c r="J87" s="62"/>
      <c r="K87" s="62"/>
      <c r="L87" s="62"/>
      <c r="M87" s="62"/>
      <c r="N87" s="62"/>
      <c r="O87" s="62"/>
      <c r="P87" s="62"/>
    </row>
    <row r="88" spans="2:32" ht="13.5" hidden="1" customHeight="1">
      <c r="B88" s="62"/>
      <c r="C88" s="62"/>
      <c r="D88" s="62"/>
      <c r="E88" s="62"/>
      <c r="F88" s="62"/>
      <c r="G88" s="62"/>
      <c r="H88" s="62"/>
      <c r="I88" s="62"/>
      <c r="J88" s="62"/>
      <c r="K88" s="62"/>
      <c r="L88" s="62"/>
      <c r="M88" s="62"/>
      <c r="N88" s="62"/>
      <c r="O88" s="62"/>
      <c r="P88" s="62"/>
    </row>
    <row r="89" spans="2:32" ht="13.5" hidden="1" customHeight="1">
      <c r="B89" s="62"/>
      <c r="C89" s="62"/>
      <c r="D89" s="62"/>
      <c r="E89" s="62"/>
      <c r="F89" s="62"/>
      <c r="G89" s="62"/>
      <c r="H89" s="62"/>
      <c r="I89" s="62"/>
      <c r="J89" s="62"/>
      <c r="K89" s="62"/>
      <c r="L89" s="62"/>
      <c r="M89" s="62"/>
      <c r="N89" s="62"/>
      <c r="O89" s="62"/>
      <c r="P89" s="62"/>
    </row>
    <row r="90" spans="2:32" ht="13.5" hidden="1" customHeight="1">
      <c r="B90" s="62"/>
      <c r="C90" s="62"/>
      <c r="D90" s="62"/>
      <c r="E90" s="62"/>
      <c r="F90" s="62"/>
      <c r="G90" s="62"/>
      <c r="H90" s="62"/>
      <c r="I90" s="62"/>
      <c r="J90" s="62"/>
      <c r="K90" s="62"/>
      <c r="L90" s="62"/>
      <c r="M90" s="62"/>
      <c r="N90" s="62"/>
      <c r="O90" s="62"/>
      <c r="P90" s="62"/>
    </row>
    <row r="91" spans="2:32" ht="13.5" hidden="1" customHeight="1">
      <c r="B91" s="62"/>
      <c r="C91" s="62"/>
      <c r="D91" s="62"/>
      <c r="E91" s="62"/>
      <c r="F91" s="62"/>
      <c r="G91" s="62"/>
      <c r="H91" s="62"/>
      <c r="I91" s="62"/>
      <c r="J91" s="62"/>
      <c r="K91" s="62"/>
      <c r="L91" s="62"/>
      <c r="M91" s="62"/>
      <c r="N91" s="62"/>
      <c r="O91" s="62"/>
      <c r="P91" s="62"/>
    </row>
    <row r="92" spans="2:32" ht="13.5" hidden="1" customHeight="1">
      <c r="B92" s="62"/>
      <c r="C92" s="62"/>
      <c r="D92" s="62"/>
      <c r="E92" s="62"/>
      <c r="F92" s="62"/>
      <c r="G92" s="62"/>
      <c r="H92" s="62"/>
      <c r="I92" s="62"/>
      <c r="J92" s="62"/>
      <c r="K92" s="62"/>
      <c r="L92" s="62"/>
      <c r="M92" s="62"/>
      <c r="N92" s="62"/>
      <c r="O92" s="62"/>
      <c r="P92" s="62"/>
    </row>
    <row r="93" spans="2:32" ht="13.5" hidden="1" customHeight="1">
      <c r="B93" s="62"/>
      <c r="C93" s="62"/>
      <c r="D93" s="62"/>
      <c r="E93" s="62"/>
      <c r="F93" s="62"/>
      <c r="G93" s="62"/>
      <c r="H93" s="62"/>
      <c r="I93" s="62"/>
      <c r="J93" s="62"/>
      <c r="K93" s="62"/>
      <c r="L93" s="62"/>
      <c r="M93" s="62"/>
      <c r="N93" s="62"/>
      <c r="O93" s="62"/>
      <c r="P93" s="62"/>
    </row>
    <row r="94" spans="2:32" ht="13.5" hidden="1" customHeight="1">
      <c r="B94" s="62"/>
      <c r="C94" s="62"/>
      <c r="D94" s="62"/>
      <c r="E94" s="62"/>
      <c r="F94" s="62"/>
      <c r="G94" s="62"/>
      <c r="H94" s="62"/>
      <c r="I94" s="62"/>
      <c r="J94" s="62"/>
      <c r="K94" s="62"/>
      <c r="L94" s="62"/>
      <c r="M94" s="62"/>
      <c r="N94" s="62"/>
      <c r="O94" s="62"/>
      <c r="P94" s="62"/>
    </row>
    <row r="95" spans="2:32" ht="13.5" hidden="1" customHeight="1">
      <c r="B95" s="62"/>
      <c r="C95" s="62"/>
      <c r="D95" s="62"/>
      <c r="E95" s="62"/>
      <c r="F95" s="62"/>
      <c r="G95" s="62"/>
      <c r="H95" s="62"/>
      <c r="I95" s="62"/>
      <c r="J95" s="62"/>
      <c r="K95" s="62"/>
      <c r="L95" s="62"/>
      <c r="M95" s="62"/>
      <c r="N95" s="62"/>
      <c r="O95" s="62"/>
      <c r="P95" s="62"/>
    </row>
    <row r="96" spans="2:32" ht="13.5" hidden="1" customHeight="1">
      <c r="G96" s="132"/>
      <c r="L96" s="132"/>
    </row>
    <row r="97" spans="2:12" ht="13.5" hidden="1" customHeight="1">
      <c r="E97" s="63"/>
      <c r="F97" s="132"/>
      <c r="G97" s="132"/>
      <c r="H97" s="132"/>
      <c r="I97" s="66"/>
      <c r="L97" s="132"/>
    </row>
    <row r="98" spans="2:12" ht="13.5" hidden="1" customHeight="1">
      <c r="C98" s="121"/>
      <c r="D98" s="82"/>
      <c r="E98" s="63"/>
      <c r="F98" s="132"/>
      <c r="G98" s="132"/>
      <c r="H98" s="132"/>
      <c r="I98" s="66"/>
      <c r="J98" s="66"/>
      <c r="K98" s="132"/>
      <c r="L98" s="132"/>
    </row>
    <row r="99" spans="2:12" ht="13.5" hidden="1" customHeight="1">
      <c r="B99" s="133"/>
      <c r="C99" s="134"/>
      <c r="D99" s="135"/>
      <c r="E99" s="63"/>
      <c r="F99" s="132"/>
      <c r="G99" s="130"/>
      <c r="H99" s="130"/>
      <c r="I99" s="131"/>
      <c r="J99" s="131"/>
      <c r="K99" s="66"/>
      <c r="L99" s="66"/>
    </row>
    <row r="100" spans="2:12" ht="13.5" hidden="1" customHeight="1">
      <c r="B100" s="133"/>
      <c r="C100" s="133"/>
      <c r="D100" s="136"/>
      <c r="G100" s="130"/>
      <c r="H100" s="130"/>
      <c r="I100" s="131"/>
      <c r="J100" s="131"/>
      <c r="K100" s="66"/>
      <c r="L100" s="66"/>
    </row>
    <row r="101" spans="2:12" ht="13.5" hidden="1" customHeight="1"/>
    <row r="102" spans="2:12" ht="13.5" hidden="1" customHeight="1"/>
    <row r="103" spans="2:12" ht="13.5" hidden="1" customHeight="1"/>
    <row r="104" spans="2:12" ht="13.5" hidden="1" customHeight="1"/>
    <row r="105" spans="2:12" ht="13.5" hidden="1" customHeight="1"/>
    <row r="106" spans="2:12" ht="13.5" hidden="1" customHeight="1"/>
    <row r="107" spans="2:12" ht="13.5" hidden="1" customHeight="1"/>
    <row r="108" spans="2:12" ht="13.5" hidden="1" customHeight="1"/>
    <row r="109" spans="2:12" ht="13.5" hidden="1" customHeight="1"/>
    <row r="110" spans="2:12" ht="13.5" hidden="1" customHeight="1"/>
    <row r="111" spans="2:12" ht="13.5" hidden="1" customHeight="1"/>
    <row r="112" spans="2: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sheetData>
  <sheetProtection formatCells="0"/>
  <mergeCells count="26">
    <mergeCell ref="L69:O69"/>
    <mergeCell ref="J16:K16"/>
    <mergeCell ref="B69:G69"/>
    <mergeCell ref="H69:K69"/>
    <mergeCell ref="B75:O75"/>
    <mergeCell ref="H29:H30"/>
    <mergeCell ref="H31:H32"/>
    <mergeCell ref="B76:O76"/>
    <mergeCell ref="B74:O74"/>
    <mergeCell ref="B71:G71"/>
    <mergeCell ref="H71:K71"/>
    <mergeCell ref="L71:O71"/>
    <mergeCell ref="Q2:Q4"/>
    <mergeCell ref="D11:E11"/>
    <mergeCell ref="B67:K67"/>
    <mergeCell ref="L67:O67"/>
    <mergeCell ref="J14:K14"/>
    <mergeCell ref="K31:K32"/>
    <mergeCell ref="J17:K17"/>
    <mergeCell ref="J18:K18"/>
    <mergeCell ref="J19:K19"/>
    <mergeCell ref="J15:K15"/>
    <mergeCell ref="J12:K12"/>
    <mergeCell ref="J11:K11"/>
    <mergeCell ref="J10:K10"/>
    <mergeCell ref="J9:K9"/>
  </mergeCells>
  <phoneticPr fontId="3"/>
  <conditionalFormatting sqref="D11 E12 E14 E16 E18">
    <cfRule type="cellIs" dxfId="120" priority="1" stopIfTrue="1" operator="equal">
      <formula>0</formula>
    </cfRule>
  </conditionalFormatting>
  <hyperlinks>
    <hyperlink ref="Q2" location="メイン!A1" display="戻る" xr:uid="{00000000-0004-0000-0200-000000000000}"/>
  </hyperlinks>
  <printOptions horizontalCentered="1"/>
  <pageMargins left="0.78740157480314965" right="0.78740157480314965" top="0.78740157480314965" bottom="0.59055118110236227" header="0.51181102362204722" footer="0.51181102362204722"/>
  <pageSetup paperSize="9" scale="61" orientation="portrait" horizontalDpi="4294967293" verticalDpi="4294967293" r:id="rId1"/>
  <headerFooter alignWithMargins="0"/>
  <colBreaks count="1" manualBreakCount="1">
    <brk id="16" max="7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AZ207"/>
  <sheetViews>
    <sheetView showGridLines="0" view="pageBreakPreview" zoomScaleNormal="85" zoomScaleSheetLayoutView="100" workbookViewId="0">
      <selection activeCell="I2" sqref="I2"/>
    </sheetView>
  </sheetViews>
  <sheetFormatPr defaultColWidth="9" defaultRowHeight="13.5"/>
  <cols>
    <col min="1" max="1" width="0.875" style="8" customWidth="1"/>
    <col min="2" max="2" width="2.75" style="8" customWidth="1"/>
    <col min="3" max="3" width="4.125" style="305" customWidth="1"/>
    <col min="4" max="4" width="3.5" style="5" customWidth="1"/>
    <col min="5" max="5" width="17.375" style="8" customWidth="1"/>
    <col min="6" max="8" width="7.75" style="8" customWidth="1"/>
    <col min="9" max="16" width="7.75" style="53" customWidth="1"/>
    <col min="17" max="17" width="7.75" style="54" customWidth="1"/>
    <col min="18" max="18" width="7.75" style="6" customWidth="1"/>
    <col min="19" max="19" width="2.625" style="677" customWidth="1"/>
    <col min="20" max="23" width="6.25" style="677" hidden="1" customWidth="1"/>
    <col min="24" max="24" width="6.25" style="140" hidden="1" customWidth="1"/>
    <col min="25" max="35" width="7.625" style="140" hidden="1" customWidth="1"/>
    <col min="36" max="41" width="7.625" style="96" hidden="1" customWidth="1"/>
    <col min="42" max="47" width="7.625" style="140" hidden="1" customWidth="1"/>
    <col min="48" max="52" width="7.625" style="96" hidden="1" customWidth="1"/>
    <col min="53" max="68" width="9" style="140" customWidth="1"/>
    <col min="69" max="16384" width="9" style="140"/>
  </cols>
  <sheetData>
    <row r="1" spans="2:52" ht="7.15" customHeight="1" thickBot="1">
      <c r="I1" s="96"/>
      <c r="J1" s="96"/>
      <c r="K1" s="96"/>
      <c r="L1" s="96"/>
      <c r="M1" s="96"/>
      <c r="N1" s="96"/>
      <c r="O1" s="96"/>
      <c r="P1" s="96"/>
      <c r="Q1" s="96"/>
      <c r="R1" s="96"/>
      <c r="S1" s="96"/>
    </row>
    <row r="2" spans="2:52" ht="17.25">
      <c r="B2" s="1048" t="str">
        <f>メイン!C6</f>
        <v>CASBEE-街区（2023年版）</v>
      </c>
      <c r="C2" s="1049"/>
      <c r="D2" s="1050"/>
      <c r="E2" s="1051"/>
      <c r="F2" s="1051"/>
      <c r="G2" s="1051"/>
      <c r="H2" s="1052"/>
      <c r="I2" s="96"/>
      <c r="J2" s="96"/>
      <c r="K2" s="96"/>
      <c r="L2" s="96"/>
      <c r="M2" s="96"/>
      <c r="N2" s="1053" t="s">
        <v>254</v>
      </c>
      <c r="O2" s="1053"/>
      <c r="P2" s="1053" t="str">
        <f>メイン!C6</f>
        <v>CASBEE-街区（2023年版）</v>
      </c>
      <c r="Q2" s="96"/>
      <c r="R2" s="96"/>
      <c r="S2" s="96"/>
      <c r="T2" s="698"/>
      <c r="U2" s="698"/>
      <c r="V2" s="698"/>
      <c r="W2" s="698"/>
    </row>
    <row r="3" spans="2:52" ht="14.25" thickBot="1">
      <c r="B3" s="1054" t="str">
        <f>メイン!C10</f>
        <v>Aプロジェクト</v>
      </c>
      <c r="C3" s="1055"/>
      <c r="D3" s="1056"/>
      <c r="E3" s="1057"/>
      <c r="F3" s="1057"/>
      <c r="G3" s="1057"/>
      <c r="H3" s="1058"/>
      <c r="I3" s="96"/>
      <c r="J3" s="96"/>
      <c r="K3" s="96"/>
      <c r="L3" s="96"/>
      <c r="M3" s="96"/>
      <c r="N3" s="1053" t="s">
        <v>255</v>
      </c>
      <c r="O3" s="1053"/>
      <c r="P3" s="1053" t="str">
        <f>メイン!C5</f>
        <v>CASBEE-UD_2023版(v.1.0)</v>
      </c>
      <c r="Q3" s="96"/>
      <c r="R3" s="96"/>
      <c r="S3" s="96"/>
      <c r="T3" s="699"/>
      <c r="U3" s="699"/>
      <c r="V3" s="699"/>
      <c r="W3" s="699"/>
      <c r="X3" s="1059" t="s">
        <v>256</v>
      </c>
      <c r="Y3" s="1060"/>
      <c r="Z3" s="1060"/>
      <c r="AA3" s="1060"/>
      <c r="AB3" s="1061"/>
      <c r="AD3" s="1059" t="s">
        <v>257</v>
      </c>
      <c r="AE3" s="1060"/>
      <c r="AF3" s="1060"/>
      <c r="AG3" s="1060"/>
      <c r="AH3" s="1061"/>
      <c r="AJ3" s="1059" t="s">
        <v>258</v>
      </c>
      <c r="AK3" s="1060"/>
      <c r="AL3" s="1060"/>
      <c r="AM3" s="1060"/>
      <c r="AN3" s="1061"/>
      <c r="AP3" s="1059" t="s">
        <v>259</v>
      </c>
      <c r="AQ3" s="1060"/>
      <c r="AR3" s="1060"/>
      <c r="AS3" s="1060"/>
      <c r="AT3" s="1061"/>
      <c r="AV3" s="1059" t="s">
        <v>260</v>
      </c>
      <c r="AW3" s="1060"/>
      <c r="AX3" s="1060"/>
      <c r="AY3" s="1060"/>
      <c r="AZ3" s="1061"/>
    </row>
    <row r="4" spans="2:52" ht="5.45" customHeight="1" thickBot="1">
      <c r="B4" s="1062"/>
      <c r="C4" s="1063"/>
      <c r="D4" s="1064"/>
      <c r="I4" s="96"/>
      <c r="J4" s="96"/>
      <c r="K4" s="96"/>
      <c r="L4" s="96"/>
      <c r="M4" s="96"/>
      <c r="N4" s="96"/>
      <c r="O4" s="96"/>
      <c r="P4" s="96"/>
      <c r="Q4" s="96"/>
      <c r="R4" s="96"/>
      <c r="S4" s="96"/>
      <c r="T4" s="699"/>
      <c r="U4" s="699"/>
      <c r="V4" s="699"/>
      <c r="W4" s="699"/>
    </row>
    <row r="5" spans="2:52" ht="15" thickBot="1">
      <c r="B5" s="1065" t="s">
        <v>261</v>
      </c>
      <c r="C5" s="1066"/>
      <c r="D5" s="1067"/>
      <c r="E5" s="1068"/>
      <c r="F5" s="1068"/>
      <c r="G5" s="1068"/>
      <c r="H5" s="1068"/>
      <c r="I5" s="1069"/>
      <c r="J5" s="1070"/>
      <c r="K5" s="1070"/>
      <c r="L5" s="1070"/>
      <c r="M5" s="1070"/>
      <c r="N5" s="1070"/>
      <c r="O5" s="1071"/>
      <c r="P5" s="1072"/>
      <c r="Q5" s="1072"/>
      <c r="R5" s="1073"/>
      <c r="S5" s="699"/>
      <c r="T5" s="699"/>
      <c r="U5" s="699"/>
      <c r="V5" s="699"/>
      <c r="W5" s="699"/>
      <c r="X5" s="444" t="s">
        <v>262</v>
      </c>
      <c r="Y5" s="444" t="s">
        <v>263</v>
      </c>
      <c r="Z5" s="444" t="s">
        <v>264</v>
      </c>
      <c r="AA5" s="444" t="s">
        <v>265</v>
      </c>
      <c r="AB5" s="444" t="s">
        <v>266</v>
      </c>
      <c r="AD5" s="444" t="s">
        <v>262</v>
      </c>
      <c r="AE5" s="444" t="s">
        <v>263</v>
      </c>
      <c r="AF5" s="444" t="s">
        <v>264</v>
      </c>
      <c r="AG5" s="444" t="s">
        <v>265</v>
      </c>
      <c r="AH5" s="444" t="s">
        <v>266</v>
      </c>
      <c r="AJ5" s="444" t="s">
        <v>262</v>
      </c>
      <c r="AK5" s="444" t="s">
        <v>263</v>
      </c>
      <c r="AL5" s="444" t="s">
        <v>264</v>
      </c>
      <c r="AM5" s="444" t="s">
        <v>265</v>
      </c>
      <c r="AN5" s="444" t="s">
        <v>266</v>
      </c>
      <c r="AP5" s="444" t="s">
        <v>262</v>
      </c>
      <c r="AQ5" s="444" t="s">
        <v>263</v>
      </c>
      <c r="AR5" s="444" t="s">
        <v>264</v>
      </c>
      <c r="AS5" s="444" t="s">
        <v>265</v>
      </c>
      <c r="AT5" s="444" t="s">
        <v>266</v>
      </c>
      <c r="AV5" s="444" t="s">
        <v>262</v>
      </c>
      <c r="AW5" s="444" t="s">
        <v>263</v>
      </c>
      <c r="AX5" s="444" t="s">
        <v>264</v>
      </c>
      <c r="AY5" s="444" t="s">
        <v>265</v>
      </c>
      <c r="AZ5" s="444" t="s">
        <v>266</v>
      </c>
    </row>
    <row r="6" spans="2:52" ht="23.25" thickBot="1">
      <c r="B6" s="1074" t="s">
        <v>267</v>
      </c>
      <c r="C6" s="1075"/>
      <c r="D6" s="1076"/>
      <c r="E6" s="1077"/>
      <c r="F6" s="1077"/>
      <c r="G6" s="1077"/>
      <c r="H6" s="1077"/>
      <c r="I6" s="1354" t="s">
        <v>268</v>
      </c>
      <c r="J6" s="1355"/>
      <c r="K6" s="1355"/>
      <c r="L6" s="1355"/>
      <c r="M6" s="1355"/>
      <c r="N6" s="1355"/>
      <c r="O6" s="1356"/>
      <c r="P6" s="1078" t="s">
        <v>269</v>
      </c>
      <c r="Q6" s="1079" t="s">
        <v>270</v>
      </c>
      <c r="R6" s="1080" t="s">
        <v>271</v>
      </c>
      <c r="S6" s="699"/>
      <c r="T6" s="686" t="s">
        <v>272</v>
      </c>
      <c r="U6" s="686" t="s">
        <v>259</v>
      </c>
      <c r="V6" s="686" t="s">
        <v>185</v>
      </c>
      <c r="W6" s="699"/>
      <c r="AC6" s="96"/>
      <c r="AI6" s="96"/>
      <c r="AJ6" s="140"/>
      <c r="AK6" s="140"/>
      <c r="AL6" s="140"/>
      <c r="AM6" s="140"/>
      <c r="AN6" s="140"/>
      <c r="AV6" s="140"/>
      <c r="AW6" s="140"/>
      <c r="AX6" s="140"/>
      <c r="AY6" s="140"/>
      <c r="AZ6" s="140"/>
    </row>
    <row r="7" spans="2:52" ht="18" customHeight="1" thickBot="1">
      <c r="B7" s="1081" t="s">
        <v>1089</v>
      </c>
      <c r="C7" s="1082"/>
      <c r="D7" s="1083"/>
      <c r="E7" s="1084"/>
      <c r="F7" s="1084"/>
      <c r="G7" s="1084"/>
      <c r="H7" s="1084"/>
      <c r="I7" s="1085"/>
      <c r="J7" s="1086"/>
      <c r="K7" s="1086"/>
      <c r="L7" s="1086"/>
      <c r="M7" s="1086"/>
      <c r="N7" s="1086"/>
      <c r="O7" s="1087"/>
      <c r="P7" s="1088"/>
      <c r="Q7" s="1089"/>
      <c r="R7" s="1090">
        <f>ROUNDDOWN($V7,1)</f>
        <v>3</v>
      </c>
      <c r="S7" s="699"/>
      <c r="T7" s="1091"/>
      <c r="U7" s="1091">
        <f>AP7</f>
        <v>3.0723104056437389</v>
      </c>
      <c r="V7" s="1091">
        <f>T7+U7</f>
        <v>3.0723104056437389</v>
      </c>
      <c r="W7" s="699"/>
      <c r="X7" s="444"/>
      <c r="Y7" s="444"/>
      <c r="Z7" s="444"/>
      <c r="AA7" s="444"/>
      <c r="AB7" s="444"/>
      <c r="AC7" s="96"/>
      <c r="AD7" s="1092">
        <f>SUM(AD8:AD98)</f>
        <v>3</v>
      </c>
      <c r="AE7" s="444"/>
      <c r="AF7" s="444"/>
      <c r="AG7" s="444"/>
      <c r="AH7" s="444">
        <f t="shared" ref="AH7" si="0">IF($T7=0,0,1)*AB7</f>
        <v>0</v>
      </c>
      <c r="AI7" s="96"/>
      <c r="AJ7" s="1092"/>
      <c r="AK7" s="444"/>
      <c r="AL7" s="444"/>
      <c r="AM7" s="444"/>
      <c r="AN7" s="444"/>
      <c r="AP7" s="1093">
        <f>SUM(AP8:AP98)</f>
        <v>3.0723104056437389</v>
      </c>
      <c r="AQ7" s="1094">
        <f>($T7+AR7)*AK7</f>
        <v>0</v>
      </c>
      <c r="AR7" s="1094">
        <f>($T7+AS7)*AL7</f>
        <v>0</v>
      </c>
      <c r="AS7" s="1094">
        <f>($T7+AT7)*AM7</f>
        <v>0</v>
      </c>
      <c r="AT7" s="1095">
        <f t="shared" ref="AT7:AT14" si="1">T7*AN7</f>
        <v>0</v>
      </c>
      <c r="AV7" s="1092">
        <f>SUM(AV8:AV98)</f>
        <v>1</v>
      </c>
      <c r="AW7" s="444"/>
      <c r="AX7" s="444"/>
      <c r="AY7" s="444"/>
      <c r="AZ7" s="444"/>
    </row>
    <row r="8" spans="2:52" ht="13.15" customHeight="1" thickBot="1">
      <c r="B8" s="1096" t="str">
        <f>採点Q1!B9</f>
        <v>Q-1 環境</v>
      </c>
      <c r="C8" s="1097"/>
      <c r="D8" s="1097"/>
      <c r="E8" s="1097"/>
      <c r="F8" s="1097"/>
      <c r="G8" s="1097"/>
      <c r="H8" s="1098"/>
      <c r="I8" s="1099"/>
      <c r="J8" s="1100"/>
      <c r="K8" s="1100"/>
      <c r="L8" s="1100"/>
      <c r="M8" s="1100"/>
      <c r="N8" s="1100"/>
      <c r="O8" s="1101"/>
      <c r="P8" s="1102"/>
      <c r="Q8" s="1103">
        <f>SUM(AJ8:AN8)</f>
        <v>0.33333333333333331</v>
      </c>
      <c r="R8" s="1104">
        <f>ROUNDDOWN($V8,1)</f>
        <v>3</v>
      </c>
      <c r="S8" s="1105"/>
      <c r="T8" s="1091"/>
      <c r="U8" s="1091">
        <f>AQ8</f>
        <v>3.074074074074074</v>
      </c>
      <c r="V8" s="1091">
        <f t="shared" ref="V8:V71" si="2">T8+U8</f>
        <v>3.074074074074074</v>
      </c>
      <c r="W8" s="699"/>
      <c r="X8" s="1351">
        <v>1</v>
      </c>
      <c r="Y8" s="1091"/>
      <c r="Z8" s="1091"/>
      <c r="AA8" s="1091"/>
      <c r="AB8" s="1091"/>
      <c r="AC8" s="96"/>
      <c r="AD8" s="1106">
        <f>IF(AE8=0,0,X8)</f>
        <v>1</v>
      </c>
      <c r="AE8" s="1092">
        <f>SUM(AE9:AE40)</f>
        <v>3</v>
      </c>
      <c r="AF8" s="1091"/>
      <c r="AG8" s="1091"/>
      <c r="AH8" s="1091">
        <f t="shared" ref="AH8:AH67" si="3">IF($T8=0,0,1)*AB8</f>
        <v>0</v>
      </c>
      <c r="AI8" s="96"/>
      <c r="AJ8" s="1106">
        <f>AD8/AD7</f>
        <v>0.33333333333333331</v>
      </c>
      <c r="AK8" s="1092"/>
      <c r="AL8" s="1091"/>
      <c r="AM8" s="1091"/>
      <c r="AN8" s="1091"/>
      <c r="AP8" s="1094">
        <f>($T8+AQ8)*AJ8</f>
        <v>1.0246913580246912</v>
      </c>
      <c r="AQ8" s="1093">
        <f>SUM(AQ9:AQ40)</f>
        <v>3.074074074074074</v>
      </c>
      <c r="AR8" s="1094">
        <f>($T8+AS8)*AL8</f>
        <v>0</v>
      </c>
      <c r="AS8" s="1094">
        <f>($T8+AT8)*AM8</f>
        <v>0</v>
      </c>
      <c r="AT8" s="1095">
        <f t="shared" si="1"/>
        <v>0</v>
      </c>
      <c r="AV8" s="1106">
        <f>AJ8</f>
        <v>0.33333333333333331</v>
      </c>
      <c r="AW8" s="1092">
        <f>SUM(AW9:AW40)</f>
        <v>0.99999999999999989</v>
      </c>
      <c r="AX8" s="1091"/>
      <c r="AY8" s="1091"/>
      <c r="AZ8" s="1091"/>
    </row>
    <row r="9" spans="2:52" ht="13.15" customHeight="1">
      <c r="B9" s="1107" t="str">
        <f>採点Q1!B12</f>
        <v>1.1 自然環境</v>
      </c>
      <c r="C9" s="1108"/>
      <c r="D9" s="1109"/>
      <c r="E9" s="1109"/>
      <c r="F9" s="1109"/>
      <c r="G9" s="1109"/>
      <c r="H9" s="1109"/>
      <c r="I9" s="1110"/>
      <c r="J9" s="1111"/>
      <c r="K9" s="1111"/>
      <c r="L9" s="1111"/>
      <c r="M9" s="1111"/>
      <c r="N9" s="1111"/>
      <c r="O9" s="1112"/>
      <c r="P9" s="1113"/>
      <c r="Q9" s="1114">
        <f t="shared" ref="Q9:Q72" si="4">SUM(AJ9:AN9)</f>
        <v>0.33333333333333331</v>
      </c>
      <c r="R9" s="1115">
        <f>ROUNDDOWN($V9,1)</f>
        <v>3</v>
      </c>
      <c r="S9" s="699"/>
      <c r="T9" s="1091"/>
      <c r="U9" s="1091">
        <f>AR9</f>
        <v>3</v>
      </c>
      <c r="V9" s="1091">
        <f t="shared" si="2"/>
        <v>3</v>
      </c>
      <c r="W9" s="699"/>
      <c r="X9" s="1352"/>
      <c r="Y9" s="1351">
        <v>1</v>
      </c>
      <c r="Z9" s="1091"/>
      <c r="AA9" s="1091"/>
      <c r="AB9" s="1091"/>
      <c r="AC9" s="96"/>
      <c r="AD9" s="1116"/>
      <c r="AE9" s="1106">
        <f>IF(AF9=0,0,Y9)</f>
        <v>1</v>
      </c>
      <c r="AF9" s="1092">
        <f>SUM(AF10:AF24)</f>
        <v>2</v>
      </c>
      <c r="AG9" s="1091"/>
      <c r="AH9" s="1091">
        <f t="shared" si="3"/>
        <v>0</v>
      </c>
      <c r="AI9" s="96"/>
      <c r="AJ9" s="1116"/>
      <c r="AK9" s="1106">
        <f>AE9/AE8</f>
        <v>0.33333333333333331</v>
      </c>
      <c r="AL9" s="1092"/>
      <c r="AM9" s="1091"/>
      <c r="AN9" s="1091"/>
      <c r="AP9" s="1117"/>
      <c r="AQ9" s="1094">
        <f>($T9+AR9)*AK9</f>
        <v>1</v>
      </c>
      <c r="AR9" s="1093">
        <f>SUM(AR10:AR24)</f>
        <v>3</v>
      </c>
      <c r="AS9" s="1094">
        <f>($T9+AT9)*AM9</f>
        <v>0</v>
      </c>
      <c r="AT9" s="1095">
        <f t="shared" si="1"/>
        <v>0</v>
      </c>
      <c r="AV9" s="1116"/>
      <c r="AW9" s="1106">
        <f>AK9</f>
        <v>0.33333333333333331</v>
      </c>
      <c r="AX9" s="1092">
        <f>SUM(AX10:AX24)</f>
        <v>1</v>
      </c>
      <c r="AY9" s="1091"/>
      <c r="AZ9" s="1091"/>
    </row>
    <row r="10" spans="2:52" ht="13.15" customHeight="1">
      <c r="B10" s="1118"/>
      <c r="C10" s="1119" t="str">
        <f>採点Q1!C13</f>
        <v>1.1.1 自然環境の保全</v>
      </c>
      <c r="D10" s="473"/>
      <c r="E10" s="786"/>
      <c r="F10" s="786"/>
      <c r="G10" s="786"/>
      <c r="H10" s="786"/>
      <c r="I10" s="1120"/>
      <c r="J10" s="1121"/>
      <c r="K10" s="1121"/>
      <c r="L10" s="1121"/>
      <c r="M10" s="1121"/>
      <c r="N10" s="1121"/>
      <c r="O10" s="1122"/>
      <c r="P10" s="1123">
        <f t="shared" ref="P10:P24" si="5">ROUNDDOWN($V10,1)</f>
        <v>3</v>
      </c>
      <c r="Q10" s="1124">
        <f t="shared" si="4"/>
        <v>0.5</v>
      </c>
      <c r="R10" s="1125"/>
      <c r="S10" s="699"/>
      <c r="T10" s="1091"/>
      <c r="U10" s="1091">
        <f>AS10</f>
        <v>3</v>
      </c>
      <c r="V10" s="1091">
        <f>T10+U10</f>
        <v>3</v>
      </c>
      <c r="W10" s="699"/>
      <c r="X10" s="1352"/>
      <c r="Y10" s="1352"/>
      <c r="Z10" s="1351">
        <v>1</v>
      </c>
      <c r="AA10" s="1091"/>
      <c r="AB10" s="1091"/>
      <c r="AC10" s="96"/>
      <c r="AD10" s="1116"/>
      <c r="AE10" s="1116"/>
      <c r="AF10" s="1106">
        <f>IF(AG10=0,0,Z10)</f>
        <v>1</v>
      </c>
      <c r="AG10" s="1092">
        <f>SUM(AG12:AG14)</f>
        <v>3</v>
      </c>
      <c r="AH10" s="1091"/>
      <c r="AI10" s="96"/>
      <c r="AJ10" s="1116"/>
      <c r="AK10" s="1116"/>
      <c r="AL10" s="1106">
        <f>AF10/AF9</f>
        <v>0.5</v>
      </c>
      <c r="AM10" s="1092"/>
      <c r="AN10" s="1091"/>
      <c r="AP10" s="1117"/>
      <c r="AQ10" s="1117"/>
      <c r="AR10" s="1094">
        <f>($T10+AS10)*AL10</f>
        <v>1.5</v>
      </c>
      <c r="AS10" s="1092">
        <f>SUM(AS12:AS14)</f>
        <v>3</v>
      </c>
      <c r="AT10" s="1095">
        <f t="shared" si="1"/>
        <v>0</v>
      </c>
      <c r="AV10" s="1116"/>
      <c r="AW10" s="1116"/>
      <c r="AX10" s="1106">
        <f>AL10</f>
        <v>0.5</v>
      </c>
      <c r="AY10" s="1092">
        <f>SUM(AY12:AY14)</f>
        <v>1</v>
      </c>
      <c r="AZ10" s="1091"/>
    </row>
    <row r="11" spans="2:52" ht="13.15" hidden="1" customHeight="1">
      <c r="B11" s="1118"/>
      <c r="C11" s="1126"/>
      <c r="D11" s="1127"/>
      <c r="E11" s="786"/>
      <c r="F11" s="786"/>
      <c r="G11" s="786"/>
      <c r="H11" s="786"/>
      <c r="I11" s="1120"/>
      <c r="J11" s="1121"/>
      <c r="K11" s="1121"/>
      <c r="L11" s="1121"/>
      <c r="M11" s="1121"/>
      <c r="N11" s="1121"/>
      <c r="O11" s="1122"/>
      <c r="P11" s="1123"/>
      <c r="Q11" s="1124"/>
      <c r="R11" s="1125"/>
      <c r="S11" s="699"/>
      <c r="T11" s="1091"/>
      <c r="U11" s="1091"/>
      <c r="V11" s="1091"/>
      <c r="W11" s="699"/>
      <c r="X11" s="1352"/>
      <c r="Y11" s="1352"/>
      <c r="Z11" s="1352"/>
      <c r="AA11" s="1091"/>
      <c r="AB11" s="1091"/>
      <c r="AC11" s="96"/>
      <c r="AD11" s="1116"/>
      <c r="AE11" s="1116"/>
      <c r="AF11" s="1116"/>
      <c r="AG11" s="1092"/>
      <c r="AH11" s="1091"/>
      <c r="AI11" s="96"/>
      <c r="AJ11" s="1116"/>
      <c r="AK11" s="1116"/>
      <c r="AL11" s="1116"/>
      <c r="AM11" s="1092"/>
      <c r="AN11" s="1091"/>
      <c r="AP11" s="1117"/>
      <c r="AQ11" s="1117"/>
      <c r="AR11" s="1117"/>
      <c r="AS11" s="1092"/>
      <c r="AT11" s="1095"/>
      <c r="AV11" s="1116"/>
      <c r="AW11" s="1116"/>
      <c r="AX11" s="1116"/>
      <c r="AY11" s="1092"/>
      <c r="AZ11" s="1091"/>
    </row>
    <row r="12" spans="2:52" ht="13.15" customHeight="1">
      <c r="B12" s="1118"/>
      <c r="C12" s="1128"/>
      <c r="D12" s="1129" t="str">
        <f>採点Q1!D14</f>
        <v>1.1.1.1 動植物の保全</v>
      </c>
      <c r="E12" s="433"/>
      <c r="F12" s="433"/>
      <c r="G12" s="1130"/>
      <c r="H12" s="433"/>
      <c r="I12" s="1131">
        <f>採点Q1!E21</f>
        <v>0</v>
      </c>
      <c r="J12" s="1121"/>
      <c r="K12" s="1121"/>
      <c r="L12" s="1121"/>
      <c r="M12" s="1121"/>
      <c r="N12" s="1121"/>
      <c r="O12" s="1122"/>
      <c r="P12" s="1123">
        <f t="shared" si="5"/>
        <v>3</v>
      </c>
      <c r="Q12" s="1124">
        <f>SUM(AJ12:AM12)</f>
        <v>0.33333333333333331</v>
      </c>
      <c r="R12" s="1125"/>
      <c r="S12" s="699"/>
      <c r="T12" s="1091">
        <f>採点Q1!D15</f>
        <v>3</v>
      </c>
      <c r="U12" s="1091"/>
      <c r="V12" s="1091">
        <f t="shared" si="2"/>
        <v>3</v>
      </c>
      <c r="W12" s="699"/>
      <c r="X12" s="1352"/>
      <c r="Y12" s="1352"/>
      <c r="Z12" s="1352"/>
      <c r="AA12" s="1091">
        <v>1</v>
      </c>
      <c r="AB12" s="1091"/>
      <c r="AC12" s="96"/>
      <c r="AD12" s="1116"/>
      <c r="AE12" s="1116"/>
      <c r="AF12" s="1116"/>
      <c r="AG12" s="1091">
        <f>IF($T12=0,0,1)*AA12</f>
        <v>1</v>
      </c>
      <c r="AH12" s="1091">
        <f t="shared" si="3"/>
        <v>0</v>
      </c>
      <c r="AI12" s="96"/>
      <c r="AJ12" s="1116"/>
      <c r="AK12" s="1116"/>
      <c r="AL12" s="1116"/>
      <c r="AM12" s="1091">
        <f>AG12/AG10</f>
        <v>0.33333333333333331</v>
      </c>
      <c r="AN12" s="1091"/>
      <c r="AP12" s="1117"/>
      <c r="AQ12" s="1117"/>
      <c r="AR12" s="1117"/>
      <c r="AS12" s="1095">
        <f>T12*AM12</f>
        <v>1</v>
      </c>
      <c r="AT12" s="1095">
        <f t="shared" si="1"/>
        <v>0</v>
      </c>
      <c r="AV12" s="1116"/>
      <c r="AW12" s="1116"/>
      <c r="AX12" s="1116"/>
      <c r="AY12" s="1091">
        <f>AM12</f>
        <v>0.33333333333333331</v>
      </c>
      <c r="AZ12" s="1091"/>
    </row>
    <row r="13" spans="2:52" ht="13.15" customHeight="1">
      <c r="B13" s="1118"/>
      <c r="C13" s="1128"/>
      <c r="D13" s="1129" t="str">
        <f>採点Q1!D23</f>
        <v>1.1.1.2 地形の保全</v>
      </c>
      <c r="E13" s="433"/>
      <c r="F13" s="433"/>
      <c r="G13" s="1130"/>
      <c r="H13" s="1130"/>
      <c r="I13" s="1131">
        <f>採点Q1!E30</f>
        <v>0</v>
      </c>
      <c r="J13" s="1121"/>
      <c r="K13" s="1121"/>
      <c r="L13" s="1121"/>
      <c r="M13" s="1121"/>
      <c r="N13" s="1121"/>
      <c r="O13" s="1122"/>
      <c r="P13" s="1123">
        <f t="shared" si="5"/>
        <v>3</v>
      </c>
      <c r="Q13" s="1124">
        <f>SUM(AJ13:AM13)</f>
        <v>0.33333333333333331</v>
      </c>
      <c r="R13" s="1125"/>
      <c r="S13" s="699"/>
      <c r="T13" s="1091">
        <f>採点Q1!D24</f>
        <v>3</v>
      </c>
      <c r="U13" s="1091"/>
      <c r="V13" s="1091">
        <f t="shared" si="2"/>
        <v>3</v>
      </c>
      <c r="W13" s="699"/>
      <c r="X13" s="1352"/>
      <c r="Y13" s="1352"/>
      <c r="Z13" s="1352"/>
      <c r="AA13" s="1091">
        <v>1</v>
      </c>
      <c r="AB13" s="1091"/>
      <c r="AC13" s="96"/>
      <c r="AD13" s="1116"/>
      <c r="AE13" s="1116"/>
      <c r="AF13" s="1116"/>
      <c r="AG13" s="1091">
        <f>IF($T13=0,0,1)*AA13</f>
        <v>1</v>
      </c>
      <c r="AH13" s="1091">
        <f>IF($T13=0,0,1)*AB13</f>
        <v>0</v>
      </c>
      <c r="AI13" s="96"/>
      <c r="AJ13" s="1116"/>
      <c r="AK13" s="1116"/>
      <c r="AL13" s="1116"/>
      <c r="AM13" s="1091">
        <f>AG13/AG10</f>
        <v>0.33333333333333331</v>
      </c>
      <c r="AN13" s="1091"/>
      <c r="AP13" s="1117"/>
      <c r="AQ13" s="1117"/>
      <c r="AR13" s="1117"/>
      <c r="AS13" s="1095">
        <f>T13*AM13</f>
        <v>1</v>
      </c>
      <c r="AT13" s="1095">
        <f t="shared" si="1"/>
        <v>0</v>
      </c>
      <c r="AV13" s="1116"/>
      <c r="AW13" s="1116"/>
      <c r="AX13" s="1116"/>
      <c r="AY13" s="1091">
        <f>AM13</f>
        <v>0.33333333333333331</v>
      </c>
      <c r="AZ13" s="1091"/>
    </row>
    <row r="14" spans="2:52" ht="13.15" customHeight="1">
      <c r="B14" s="1118"/>
      <c r="C14" s="1128"/>
      <c r="D14" s="1129" t="str">
        <f>採点Q1!D32</f>
        <v>1.1.1.3 土壌の保全</v>
      </c>
      <c r="E14" s="433"/>
      <c r="F14" s="433"/>
      <c r="G14" s="1130"/>
      <c r="H14" s="1130"/>
      <c r="I14" s="1131">
        <f>採点Q1!E39</f>
        <v>0</v>
      </c>
      <c r="J14" s="1121"/>
      <c r="K14" s="1121"/>
      <c r="L14" s="1121"/>
      <c r="M14" s="1121"/>
      <c r="N14" s="1121"/>
      <c r="O14" s="1122"/>
      <c r="P14" s="1123">
        <f t="shared" si="5"/>
        <v>3</v>
      </c>
      <c r="Q14" s="1124">
        <f>SUM(AJ14:AM14)</f>
        <v>0.33333333333333331</v>
      </c>
      <c r="R14" s="1125"/>
      <c r="S14" s="699"/>
      <c r="T14" s="1091">
        <f>採点Q1!D33</f>
        <v>3</v>
      </c>
      <c r="U14" s="1091"/>
      <c r="V14" s="1091">
        <f t="shared" si="2"/>
        <v>3</v>
      </c>
      <c r="W14" s="699"/>
      <c r="X14" s="1352"/>
      <c r="Y14" s="1352"/>
      <c r="Z14" s="1353"/>
      <c r="AA14" s="1091">
        <v>1</v>
      </c>
      <c r="AB14" s="1091"/>
      <c r="AC14" s="96"/>
      <c r="AD14" s="1116"/>
      <c r="AE14" s="1116"/>
      <c r="AF14" s="1132"/>
      <c r="AG14" s="1091">
        <f>IF($T14=0,0,1)*AA14</f>
        <v>1</v>
      </c>
      <c r="AH14" s="1091">
        <f t="shared" si="3"/>
        <v>0</v>
      </c>
      <c r="AI14" s="96"/>
      <c r="AJ14" s="1116"/>
      <c r="AK14" s="1116"/>
      <c r="AL14" s="1132"/>
      <c r="AM14" s="1091">
        <f>AG14/AG10</f>
        <v>0.33333333333333331</v>
      </c>
      <c r="AN14" s="1091"/>
      <c r="AP14" s="1117"/>
      <c r="AQ14" s="1117"/>
      <c r="AR14" s="1133"/>
      <c r="AS14" s="1095">
        <f>T14*AM14</f>
        <v>1</v>
      </c>
      <c r="AT14" s="1095">
        <f t="shared" si="1"/>
        <v>0</v>
      </c>
      <c r="AV14" s="1116"/>
      <c r="AW14" s="1116"/>
      <c r="AX14" s="1132"/>
      <c r="AY14" s="1091">
        <f>AM14</f>
        <v>0.33333333333333331</v>
      </c>
      <c r="AZ14" s="1091"/>
    </row>
    <row r="15" spans="2:52" ht="13.15" customHeight="1">
      <c r="B15" s="1134"/>
      <c r="C15" s="1119" t="str">
        <f>採点Q1!C41</f>
        <v>1.1.2 生物の生息空間の確保</v>
      </c>
      <c r="D15" s="473"/>
      <c r="E15" s="786"/>
      <c r="F15" s="786"/>
      <c r="G15" s="786"/>
      <c r="H15" s="786"/>
      <c r="I15" s="1120"/>
      <c r="J15" s="1121"/>
      <c r="K15" s="1121"/>
      <c r="L15" s="1121"/>
      <c r="M15" s="1121"/>
      <c r="N15" s="1121"/>
      <c r="O15" s="1122"/>
      <c r="P15" s="1123">
        <f t="shared" si="5"/>
        <v>3</v>
      </c>
      <c r="Q15" s="1124">
        <f t="shared" si="4"/>
        <v>0.5</v>
      </c>
      <c r="R15" s="1125"/>
      <c r="S15" s="699"/>
      <c r="T15" s="1091"/>
      <c r="U15" s="1091">
        <f>AS15</f>
        <v>3</v>
      </c>
      <c r="V15" s="1091">
        <f t="shared" si="2"/>
        <v>3</v>
      </c>
      <c r="W15" s="699"/>
      <c r="X15" s="1352"/>
      <c r="Y15" s="1352"/>
      <c r="Z15" s="1351">
        <v>1</v>
      </c>
      <c r="AA15" s="1091"/>
      <c r="AB15" s="1091"/>
      <c r="AC15" s="96"/>
      <c r="AD15" s="1116"/>
      <c r="AE15" s="1116"/>
      <c r="AF15" s="1106">
        <f>IF(AG15=0,0,Z15)</f>
        <v>1</v>
      </c>
      <c r="AG15" s="1092">
        <f>SUM(AG16:AG24)</f>
        <v>4</v>
      </c>
      <c r="AH15" s="1091"/>
      <c r="AI15" s="96"/>
      <c r="AJ15" s="1116"/>
      <c r="AK15" s="1116"/>
      <c r="AL15" s="1106">
        <f>AF15/AF9</f>
        <v>0.5</v>
      </c>
      <c r="AM15" s="1092"/>
      <c r="AN15" s="1091"/>
      <c r="AP15" s="1117"/>
      <c r="AQ15" s="1117"/>
      <c r="AR15" s="1094">
        <f>($T15+AS15)*AL15</f>
        <v>1.5</v>
      </c>
      <c r="AS15" s="1093">
        <f>SUM(AS16:AS24)</f>
        <v>3</v>
      </c>
      <c r="AT15" s="1095">
        <f>T15*AN15</f>
        <v>0</v>
      </c>
      <c r="AV15" s="1116"/>
      <c r="AW15" s="1116"/>
      <c r="AX15" s="1106">
        <f>AL15</f>
        <v>0.5</v>
      </c>
      <c r="AY15" s="1092">
        <f>SUM(AY16:AY24)</f>
        <v>1</v>
      </c>
      <c r="AZ15" s="1091"/>
    </row>
    <row r="16" spans="2:52" ht="13.15" customHeight="1">
      <c r="B16" s="1118"/>
      <c r="C16" s="1128"/>
      <c r="D16" s="1129" t="str">
        <f>採点Q1!D42</f>
        <v>1.1.2.1 生物の生息空間のまとまり</v>
      </c>
      <c r="E16" s="433"/>
      <c r="F16" s="433"/>
      <c r="G16" s="433"/>
      <c r="H16" s="433"/>
      <c r="I16" s="1131">
        <f>採点Q1!E49</f>
        <v>0</v>
      </c>
      <c r="J16" s="1121"/>
      <c r="K16" s="1121"/>
      <c r="L16" s="1121"/>
      <c r="M16" s="1121"/>
      <c r="N16" s="1121"/>
      <c r="O16" s="1122"/>
      <c r="P16" s="1123">
        <f t="shared" si="5"/>
        <v>3</v>
      </c>
      <c r="Q16" s="1124">
        <f t="shared" si="4"/>
        <v>0.25</v>
      </c>
      <c r="R16" s="1125"/>
      <c r="S16" s="699"/>
      <c r="T16" s="1091">
        <f>採点Q1!D43</f>
        <v>3</v>
      </c>
      <c r="U16" s="1091"/>
      <c r="V16" s="1091">
        <f t="shared" si="2"/>
        <v>3</v>
      </c>
      <c r="W16" s="699"/>
      <c r="X16" s="1352"/>
      <c r="Y16" s="1352"/>
      <c r="Z16" s="1352"/>
      <c r="AA16" s="1091">
        <v>1</v>
      </c>
      <c r="AB16" s="1091"/>
      <c r="AC16" s="96"/>
      <c r="AD16" s="1116"/>
      <c r="AE16" s="1116"/>
      <c r="AF16" s="1116"/>
      <c r="AG16" s="1091">
        <f t="shared" ref="AG16:AG40" si="6">IF($T16=0,0,1)*AA16</f>
        <v>1</v>
      </c>
      <c r="AH16" s="1091">
        <f t="shared" si="3"/>
        <v>0</v>
      </c>
      <c r="AI16" s="96"/>
      <c r="AJ16" s="1116"/>
      <c r="AK16" s="1116"/>
      <c r="AL16" s="1116"/>
      <c r="AM16" s="1091">
        <f>AG16/AG15</f>
        <v>0.25</v>
      </c>
      <c r="AN16" s="1091"/>
      <c r="AP16" s="1117"/>
      <c r="AQ16" s="1117"/>
      <c r="AR16" s="1117"/>
      <c r="AS16" s="1094">
        <f>($T16+AT16)*AM16</f>
        <v>0.75</v>
      </c>
      <c r="AT16" s="1095">
        <f>T16*AN16</f>
        <v>0</v>
      </c>
      <c r="AV16" s="1116"/>
      <c r="AW16" s="1116"/>
      <c r="AX16" s="1116"/>
      <c r="AY16" s="1091">
        <f t="shared" ref="AY16:AY17" si="7">AM16</f>
        <v>0.25</v>
      </c>
      <c r="AZ16" s="1091"/>
    </row>
    <row r="17" spans="2:52" ht="13.15" customHeight="1">
      <c r="B17" s="1118"/>
      <c r="C17" s="1128"/>
      <c r="D17" s="1129" t="str">
        <f>採点Q1!D51</f>
        <v>1.1.2.2 生物の生息空間の質</v>
      </c>
      <c r="E17" s="433"/>
      <c r="F17" s="433"/>
      <c r="G17" s="433"/>
      <c r="H17" s="433"/>
      <c r="I17" s="1120"/>
      <c r="J17" s="1121"/>
      <c r="K17" s="1121"/>
      <c r="L17" s="1121"/>
      <c r="M17" s="1121"/>
      <c r="N17" s="1121"/>
      <c r="O17" s="1122"/>
      <c r="P17" s="1123">
        <f t="shared" si="5"/>
        <v>3</v>
      </c>
      <c r="Q17" s="1124">
        <f t="shared" si="4"/>
        <v>0.25</v>
      </c>
      <c r="R17" s="1125"/>
      <c r="S17" s="699"/>
      <c r="T17" s="1091"/>
      <c r="U17" s="1091">
        <f>AT17</f>
        <v>3</v>
      </c>
      <c r="V17" s="1091">
        <f t="shared" si="2"/>
        <v>3</v>
      </c>
      <c r="W17" s="699"/>
      <c r="X17" s="1352"/>
      <c r="Y17" s="1352"/>
      <c r="Z17" s="1352"/>
      <c r="AA17" s="1351">
        <v>1</v>
      </c>
      <c r="AB17" s="1091"/>
      <c r="AC17" s="96"/>
      <c r="AD17" s="1116"/>
      <c r="AE17" s="1116"/>
      <c r="AF17" s="1116"/>
      <c r="AG17" s="1106">
        <f>IF(AH17=0,0,AA17)</f>
        <v>1</v>
      </c>
      <c r="AH17" s="1092">
        <f>SUM(AH18:AH20)</f>
        <v>3</v>
      </c>
      <c r="AI17" s="96"/>
      <c r="AJ17" s="1116"/>
      <c r="AK17" s="1116"/>
      <c r="AL17" s="1116"/>
      <c r="AM17" s="1106">
        <f>AG17/AG15</f>
        <v>0.25</v>
      </c>
      <c r="AN17" s="1092"/>
      <c r="AP17" s="1117"/>
      <c r="AQ17" s="1117"/>
      <c r="AR17" s="1117"/>
      <c r="AS17" s="1094">
        <f>($T17+AT17)*AM17</f>
        <v>0.75</v>
      </c>
      <c r="AT17" s="1093">
        <f>SUM(AT18:AT20)</f>
        <v>3</v>
      </c>
      <c r="AV17" s="1116"/>
      <c r="AW17" s="1116"/>
      <c r="AX17" s="1116"/>
      <c r="AY17" s="1106">
        <f t="shared" si="7"/>
        <v>0.25</v>
      </c>
      <c r="AZ17" s="1092">
        <f>SUM(AZ18:AZ20)</f>
        <v>1</v>
      </c>
    </row>
    <row r="18" spans="2:52" ht="13.15" customHeight="1">
      <c r="B18" s="1118"/>
      <c r="C18" s="1128"/>
      <c r="D18" s="1126"/>
      <c r="E18" s="1135" t="str">
        <f>採点Q1!D52</f>
        <v>1）樹林</v>
      </c>
      <c r="F18" s="1130"/>
      <c r="G18" s="1130"/>
      <c r="H18" s="433"/>
      <c r="I18" s="1131">
        <f>採点Q1!E59</f>
        <v>0</v>
      </c>
      <c r="J18" s="1121"/>
      <c r="K18" s="1121"/>
      <c r="L18" s="1121"/>
      <c r="M18" s="1121"/>
      <c r="N18" s="1121"/>
      <c r="O18" s="1122"/>
      <c r="P18" s="1123">
        <f t="shared" si="5"/>
        <v>3</v>
      </c>
      <c r="Q18" s="1124">
        <f>SUM(AJ18:AN18)</f>
        <v>0.33333333333333331</v>
      </c>
      <c r="R18" s="1125"/>
      <c r="S18" s="699"/>
      <c r="T18" s="1091">
        <f>採点Q1!D53</f>
        <v>3</v>
      </c>
      <c r="U18" s="1091"/>
      <c r="V18" s="1091">
        <f t="shared" si="2"/>
        <v>3</v>
      </c>
      <c r="W18" s="699"/>
      <c r="X18" s="1352"/>
      <c r="Y18" s="1352"/>
      <c r="Z18" s="1352"/>
      <c r="AA18" s="1352"/>
      <c r="AB18" s="1091">
        <v>1</v>
      </c>
      <c r="AC18" s="96"/>
      <c r="AD18" s="1116"/>
      <c r="AE18" s="1116"/>
      <c r="AF18" s="1116"/>
      <c r="AG18" s="1116"/>
      <c r="AH18" s="1091">
        <f t="shared" si="3"/>
        <v>1</v>
      </c>
      <c r="AI18" s="96"/>
      <c r="AJ18" s="1116"/>
      <c r="AK18" s="1116"/>
      <c r="AL18" s="1116"/>
      <c r="AM18" s="1116"/>
      <c r="AN18" s="1091">
        <f>AH18/AH17</f>
        <v>0.33333333333333331</v>
      </c>
      <c r="AP18" s="1117"/>
      <c r="AQ18" s="1117"/>
      <c r="AR18" s="1117"/>
      <c r="AS18" s="1117"/>
      <c r="AT18" s="1095">
        <f>T18*AN18</f>
        <v>1</v>
      </c>
      <c r="AV18" s="1116"/>
      <c r="AW18" s="1116"/>
      <c r="AX18" s="1116"/>
      <c r="AY18" s="1116"/>
      <c r="AZ18" s="1091">
        <f t="shared" ref="AZ18:AZ20" si="8">AN18</f>
        <v>0.33333333333333331</v>
      </c>
    </row>
    <row r="19" spans="2:52" ht="13.15" customHeight="1">
      <c r="B19" s="1118"/>
      <c r="C19" s="1128"/>
      <c r="D19" s="1126"/>
      <c r="E19" s="1135" t="str">
        <f>採点Q1!D60</f>
        <v>2）草地</v>
      </c>
      <c r="F19" s="1130"/>
      <c r="G19" s="1130"/>
      <c r="H19" s="1130"/>
      <c r="I19" s="1131">
        <f>採点Q1!E67</f>
        <v>0</v>
      </c>
      <c r="J19" s="1121"/>
      <c r="K19" s="1121"/>
      <c r="L19" s="1121"/>
      <c r="M19" s="1121"/>
      <c r="N19" s="1121"/>
      <c r="O19" s="1122"/>
      <c r="P19" s="1123">
        <f t="shared" si="5"/>
        <v>3</v>
      </c>
      <c r="Q19" s="1124">
        <f t="shared" si="4"/>
        <v>0.33333333333333331</v>
      </c>
      <c r="R19" s="1125"/>
      <c r="S19" s="699"/>
      <c r="T19" s="1091">
        <f>採点Q1!D61</f>
        <v>3</v>
      </c>
      <c r="U19" s="1091"/>
      <c r="V19" s="1091">
        <f t="shared" si="2"/>
        <v>3</v>
      </c>
      <c r="W19" s="699"/>
      <c r="X19" s="1352"/>
      <c r="Y19" s="1352"/>
      <c r="Z19" s="1352"/>
      <c r="AA19" s="1352"/>
      <c r="AB19" s="1091">
        <v>1</v>
      </c>
      <c r="AC19" s="96"/>
      <c r="AD19" s="1116"/>
      <c r="AE19" s="1116"/>
      <c r="AF19" s="1116"/>
      <c r="AG19" s="1116"/>
      <c r="AH19" s="1091">
        <f t="shared" si="3"/>
        <v>1</v>
      </c>
      <c r="AI19" s="96"/>
      <c r="AJ19" s="1116"/>
      <c r="AK19" s="1116"/>
      <c r="AL19" s="1116"/>
      <c r="AM19" s="1116"/>
      <c r="AN19" s="1091">
        <f>AH19/AH17</f>
        <v>0.33333333333333331</v>
      </c>
      <c r="AP19" s="1117"/>
      <c r="AQ19" s="1117"/>
      <c r="AR19" s="1117"/>
      <c r="AS19" s="1117"/>
      <c r="AT19" s="1095">
        <f>T19*AN19</f>
        <v>1</v>
      </c>
      <c r="AV19" s="1116"/>
      <c r="AW19" s="1116"/>
      <c r="AX19" s="1116"/>
      <c r="AY19" s="1116"/>
      <c r="AZ19" s="1091">
        <f t="shared" si="8"/>
        <v>0.33333333333333331</v>
      </c>
    </row>
    <row r="20" spans="2:52" ht="13.15" customHeight="1">
      <c r="B20" s="1118"/>
      <c r="C20" s="1128"/>
      <c r="D20" s="1126"/>
      <c r="E20" s="1135" t="str">
        <f>採点Q1!D68</f>
        <v>3）水辺</v>
      </c>
      <c r="F20" s="1130"/>
      <c r="G20" s="1130"/>
      <c r="H20" s="1136"/>
      <c r="I20" s="1131">
        <f>採点Q1!E75</f>
        <v>0</v>
      </c>
      <c r="J20" s="1121"/>
      <c r="K20" s="1121"/>
      <c r="L20" s="1121"/>
      <c r="M20" s="1121"/>
      <c r="N20" s="1121"/>
      <c r="O20" s="1122"/>
      <c r="P20" s="1123">
        <f t="shared" si="5"/>
        <v>3</v>
      </c>
      <c r="Q20" s="1124">
        <f t="shared" si="4"/>
        <v>0.33333333333333331</v>
      </c>
      <c r="R20" s="1125"/>
      <c r="S20" s="699"/>
      <c r="T20" s="1091">
        <f>採点Q1!D69</f>
        <v>3</v>
      </c>
      <c r="U20" s="1091"/>
      <c r="V20" s="1091">
        <f t="shared" si="2"/>
        <v>3</v>
      </c>
      <c r="W20" s="699"/>
      <c r="X20" s="1352"/>
      <c r="Y20" s="1352"/>
      <c r="Z20" s="1352"/>
      <c r="AA20" s="1353"/>
      <c r="AB20" s="1091">
        <v>1</v>
      </c>
      <c r="AC20" s="96"/>
      <c r="AD20" s="1116"/>
      <c r="AE20" s="1116"/>
      <c r="AF20" s="1116"/>
      <c r="AG20" s="1132"/>
      <c r="AH20" s="1091">
        <f t="shared" si="3"/>
        <v>1</v>
      </c>
      <c r="AI20" s="96"/>
      <c r="AJ20" s="1116"/>
      <c r="AK20" s="1116"/>
      <c r="AL20" s="1116"/>
      <c r="AM20" s="1132"/>
      <c r="AN20" s="1091">
        <f>AH20/AH17</f>
        <v>0.33333333333333331</v>
      </c>
      <c r="AP20" s="1117"/>
      <c r="AQ20" s="1117"/>
      <c r="AR20" s="1117"/>
      <c r="AS20" s="1133"/>
      <c r="AT20" s="1095">
        <f>T20*AN20</f>
        <v>1</v>
      </c>
      <c r="AV20" s="1116"/>
      <c r="AW20" s="1116"/>
      <c r="AX20" s="1116"/>
      <c r="AY20" s="1132"/>
      <c r="AZ20" s="1091">
        <f t="shared" si="8"/>
        <v>0.33333333333333331</v>
      </c>
    </row>
    <row r="21" spans="2:52" ht="13.15" customHeight="1">
      <c r="B21" s="1118"/>
      <c r="C21" s="1128"/>
      <c r="D21" s="1129" t="str">
        <f>採点Q1!D77</f>
        <v>1.1.2.3 地域性への配慮</v>
      </c>
      <c r="E21" s="433"/>
      <c r="F21" s="433"/>
      <c r="G21" s="433"/>
      <c r="H21" s="433"/>
      <c r="I21" s="1120"/>
      <c r="J21" s="1121"/>
      <c r="K21" s="1121"/>
      <c r="L21" s="1121"/>
      <c r="M21" s="1121"/>
      <c r="N21" s="1121"/>
      <c r="O21" s="1122"/>
      <c r="P21" s="1123">
        <f t="shared" si="5"/>
        <v>3</v>
      </c>
      <c r="Q21" s="1124">
        <f t="shared" si="4"/>
        <v>0.25</v>
      </c>
      <c r="R21" s="1125"/>
      <c r="S21" s="699"/>
      <c r="T21" s="1091"/>
      <c r="U21" s="1091">
        <f>AT21</f>
        <v>3</v>
      </c>
      <c r="V21" s="1091">
        <f t="shared" si="2"/>
        <v>3</v>
      </c>
      <c r="W21" s="699"/>
      <c r="X21" s="1352"/>
      <c r="Y21" s="1352"/>
      <c r="Z21" s="1352"/>
      <c r="AA21" s="1351">
        <v>1</v>
      </c>
      <c r="AB21" s="1091"/>
      <c r="AC21" s="96"/>
      <c r="AD21" s="1116"/>
      <c r="AE21" s="1116"/>
      <c r="AF21" s="1116"/>
      <c r="AG21" s="1106">
        <f>IF(AH21=0,0,AA21)</f>
        <v>1</v>
      </c>
      <c r="AH21" s="1092">
        <f>SUM(AH22:AH23)</f>
        <v>2</v>
      </c>
      <c r="AI21" s="96"/>
      <c r="AJ21" s="1116"/>
      <c r="AK21" s="1116"/>
      <c r="AL21" s="1116"/>
      <c r="AM21" s="1106">
        <f>AG21/AG15</f>
        <v>0.25</v>
      </c>
      <c r="AN21" s="1092"/>
      <c r="AP21" s="1117"/>
      <c r="AQ21" s="1117"/>
      <c r="AR21" s="1117"/>
      <c r="AS21" s="1094">
        <f>($T21+AT21)*AM21</f>
        <v>0.75</v>
      </c>
      <c r="AT21" s="1093">
        <f>SUM(AT22:AT23)</f>
        <v>3</v>
      </c>
      <c r="AV21" s="1116"/>
      <c r="AW21" s="1116"/>
      <c r="AX21" s="1116"/>
      <c r="AY21" s="1106">
        <f>AM21</f>
        <v>0.25</v>
      </c>
      <c r="AZ21" s="1092">
        <f>SUM(AZ22:AZ23)</f>
        <v>1</v>
      </c>
    </row>
    <row r="22" spans="2:52" ht="13.15" customHeight="1">
      <c r="B22" s="1118"/>
      <c r="C22" s="1128"/>
      <c r="D22" s="1126"/>
      <c r="E22" s="1135" t="str">
        <f>採点Q1!D78</f>
        <v>1）木本（中高木）</v>
      </c>
      <c r="F22" s="1130"/>
      <c r="G22" s="1130"/>
      <c r="H22" s="433"/>
      <c r="I22" s="1131">
        <f>採点Q1!E85</f>
        <v>0</v>
      </c>
      <c r="J22" s="1121"/>
      <c r="K22" s="1121"/>
      <c r="L22" s="1121"/>
      <c r="M22" s="1121"/>
      <c r="N22" s="1121"/>
      <c r="O22" s="1122"/>
      <c r="P22" s="1123">
        <f t="shared" si="5"/>
        <v>3</v>
      </c>
      <c r="Q22" s="1124">
        <f t="shared" si="4"/>
        <v>0.5</v>
      </c>
      <c r="R22" s="1125"/>
      <c r="S22" s="699"/>
      <c r="T22" s="1091">
        <f>採点Q1!D79</f>
        <v>3</v>
      </c>
      <c r="U22" s="1091"/>
      <c r="V22" s="1091">
        <f t="shared" si="2"/>
        <v>3</v>
      </c>
      <c r="W22" s="699"/>
      <c r="X22" s="1352"/>
      <c r="Y22" s="1352"/>
      <c r="Z22" s="1352"/>
      <c r="AA22" s="1352"/>
      <c r="AB22" s="1091">
        <v>1</v>
      </c>
      <c r="AC22" s="96"/>
      <c r="AD22" s="1116"/>
      <c r="AE22" s="1116"/>
      <c r="AF22" s="1116"/>
      <c r="AG22" s="1116"/>
      <c r="AH22" s="1091">
        <f t="shared" si="3"/>
        <v>1</v>
      </c>
      <c r="AI22" s="96"/>
      <c r="AJ22" s="1116"/>
      <c r="AK22" s="1116"/>
      <c r="AL22" s="1116"/>
      <c r="AM22" s="1116"/>
      <c r="AN22" s="1091">
        <f>AH22/AH21</f>
        <v>0.5</v>
      </c>
      <c r="AP22" s="1117"/>
      <c r="AQ22" s="1117"/>
      <c r="AR22" s="1117"/>
      <c r="AS22" s="1117"/>
      <c r="AT22" s="1095">
        <f t="shared" ref="AT22:AT27" si="9">T22*AN22</f>
        <v>1.5</v>
      </c>
      <c r="AV22" s="1116"/>
      <c r="AW22" s="1116"/>
      <c r="AX22" s="1116"/>
      <c r="AY22" s="1116"/>
      <c r="AZ22" s="1091">
        <f t="shared" ref="AZ22:AZ23" si="10">AN22</f>
        <v>0.5</v>
      </c>
    </row>
    <row r="23" spans="2:52" ht="13.15" customHeight="1">
      <c r="B23" s="1118"/>
      <c r="C23" s="1128"/>
      <c r="D23" s="1126"/>
      <c r="E23" s="1135" t="str">
        <f>採点Q1!D86</f>
        <v>2）木本（低木）・草本</v>
      </c>
      <c r="F23" s="1130"/>
      <c r="G23" s="1130"/>
      <c r="H23" s="1130"/>
      <c r="I23" s="1131">
        <f>採点Q1!E93</f>
        <v>0</v>
      </c>
      <c r="J23" s="1121"/>
      <c r="K23" s="1121"/>
      <c r="L23" s="1121"/>
      <c r="M23" s="1121"/>
      <c r="N23" s="1121"/>
      <c r="O23" s="1122"/>
      <c r="P23" s="1123">
        <f t="shared" si="5"/>
        <v>3</v>
      </c>
      <c r="Q23" s="1124">
        <f t="shared" si="4"/>
        <v>0.5</v>
      </c>
      <c r="R23" s="1125"/>
      <c r="S23" s="699"/>
      <c r="T23" s="1091">
        <f>採点Q1!D87</f>
        <v>3</v>
      </c>
      <c r="U23" s="1091"/>
      <c r="V23" s="1091">
        <f t="shared" si="2"/>
        <v>3</v>
      </c>
      <c r="W23" s="699"/>
      <c r="X23" s="1352"/>
      <c r="Y23" s="1352"/>
      <c r="Z23" s="1352"/>
      <c r="AA23" s="1353"/>
      <c r="AB23" s="1091">
        <v>1</v>
      </c>
      <c r="AC23" s="96"/>
      <c r="AD23" s="1116"/>
      <c r="AE23" s="1116"/>
      <c r="AF23" s="1116"/>
      <c r="AG23" s="1132"/>
      <c r="AH23" s="1091">
        <f t="shared" si="3"/>
        <v>1</v>
      </c>
      <c r="AI23" s="96"/>
      <c r="AJ23" s="1116"/>
      <c r="AK23" s="1116"/>
      <c r="AL23" s="1116"/>
      <c r="AM23" s="1132"/>
      <c r="AN23" s="1091">
        <f>AH23/AH21</f>
        <v>0.5</v>
      </c>
      <c r="AP23" s="1117"/>
      <c r="AQ23" s="1117"/>
      <c r="AR23" s="1117"/>
      <c r="AS23" s="1133"/>
      <c r="AT23" s="1095">
        <f t="shared" si="9"/>
        <v>1.5</v>
      </c>
      <c r="AV23" s="1116"/>
      <c r="AW23" s="1116"/>
      <c r="AX23" s="1116"/>
      <c r="AY23" s="1132"/>
      <c r="AZ23" s="1091">
        <f t="shared" si="10"/>
        <v>0.5</v>
      </c>
    </row>
    <row r="24" spans="2:52" ht="13.15" customHeight="1">
      <c r="B24" s="1118"/>
      <c r="C24" s="1128"/>
      <c r="D24" s="1129" t="str">
        <f>採点Q1!D95</f>
        <v>1.1.2.4 エコロジカルネットワーク</v>
      </c>
      <c r="E24" s="1136"/>
      <c r="F24" s="1136"/>
      <c r="G24" s="1136"/>
      <c r="H24" s="433"/>
      <c r="I24" s="1131">
        <f>採点Q1!E102</f>
        <v>0</v>
      </c>
      <c r="J24" s="1121"/>
      <c r="K24" s="1121"/>
      <c r="L24" s="1121"/>
      <c r="M24" s="1121"/>
      <c r="N24" s="1121"/>
      <c r="O24" s="1122"/>
      <c r="P24" s="1123">
        <f t="shared" si="5"/>
        <v>3</v>
      </c>
      <c r="Q24" s="1124">
        <f t="shared" si="4"/>
        <v>0.25</v>
      </c>
      <c r="R24" s="1137"/>
      <c r="S24" s="699"/>
      <c r="T24" s="1091">
        <f>採点Q1!D96</f>
        <v>3</v>
      </c>
      <c r="U24" s="1091"/>
      <c r="V24" s="1091">
        <f t="shared" si="2"/>
        <v>3</v>
      </c>
      <c r="W24" s="699"/>
      <c r="X24" s="1352"/>
      <c r="Y24" s="1353"/>
      <c r="Z24" s="1353"/>
      <c r="AA24" s="1091">
        <v>1</v>
      </c>
      <c r="AB24" s="1091"/>
      <c r="AC24" s="96"/>
      <c r="AD24" s="1116"/>
      <c r="AE24" s="1132"/>
      <c r="AF24" s="1132"/>
      <c r="AG24" s="1091">
        <f t="shared" si="6"/>
        <v>1</v>
      </c>
      <c r="AH24" s="1091">
        <f t="shared" si="3"/>
        <v>0</v>
      </c>
      <c r="AI24" s="96"/>
      <c r="AJ24" s="1116"/>
      <c r="AK24" s="1132"/>
      <c r="AL24" s="1132"/>
      <c r="AM24" s="1091">
        <f>AG24/AG15</f>
        <v>0.25</v>
      </c>
      <c r="AN24" s="1091"/>
      <c r="AP24" s="1117"/>
      <c r="AQ24" s="1133"/>
      <c r="AR24" s="1133"/>
      <c r="AS24" s="1094">
        <f>($T24+AT24)*AM24</f>
        <v>0.75</v>
      </c>
      <c r="AT24" s="1095">
        <f t="shared" si="9"/>
        <v>0</v>
      </c>
      <c r="AV24" s="1116"/>
      <c r="AW24" s="1132"/>
      <c r="AX24" s="1132"/>
      <c r="AY24" s="1091">
        <f>AM24</f>
        <v>0.25</v>
      </c>
      <c r="AZ24" s="1091"/>
    </row>
    <row r="25" spans="2:52" ht="13.15" customHeight="1">
      <c r="B25" s="1138" t="str">
        <f>採点Q1!B104</f>
        <v>1.2 生活環境</v>
      </c>
      <c r="C25" s="1139"/>
      <c r="D25" s="786"/>
      <c r="E25" s="786"/>
      <c r="F25" s="786"/>
      <c r="G25" s="786"/>
      <c r="H25" s="786"/>
      <c r="I25" s="1120"/>
      <c r="J25" s="1121"/>
      <c r="K25" s="1121"/>
      <c r="L25" s="1121"/>
      <c r="M25" s="1121"/>
      <c r="N25" s="1121"/>
      <c r="O25" s="1122"/>
      <c r="P25" s="1123"/>
      <c r="Q25" s="1140">
        <f t="shared" si="4"/>
        <v>0.33333333333333331</v>
      </c>
      <c r="R25" s="1141">
        <f>ROUNDDOWN($V25,1)</f>
        <v>3.2</v>
      </c>
      <c r="S25" s="699"/>
      <c r="T25" s="1091"/>
      <c r="U25" s="1091">
        <f>AR25</f>
        <v>3.2222222222222223</v>
      </c>
      <c r="V25" s="1091">
        <f t="shared" si="2"/>
        <v>3.2222222222222223</v>
      </c>
      <c r="W25" s="699"/>
      <c r="X25" s="1352"/>
      <c r="Y25" s="1351">
        <v>1</v>
      </c>
      <c r="Z25" s="1091"/>
      <c r="AA25" s="1091"/>
      <c r="AB25" s="1091"/>
      <c r="AC25" s="96"/>
      <c r="AD25" s="1116"/>
      <c r="AE25" s="1106">
        <f>IF(AF25=0,0,Y25)</f>
        <v>1</v>
      </c>
      <c r="AF25" s="1092">
        <f>SUM(AF26:AF38)</f>
        <v>3</v>
      </c>
      <c r="AG25" s="1091"/>
      <c r="AH25" s="1091">
        <f t="shared" si="3"/>
        <v>0</v>
      </c>
      <c r="AI25" s="96"/>
      <c r="AJ25" s="1116"/>
      <c r="AK25" s="1106">
        <f>AE25/AE8</f>
        <v>0.33333333333333331</v>
      </c>
      <c r="AL25" s="1092"/>
      <c r="AM25" s="1091"/>
      <c r="AN25" s="1091"/>
      <c r="AP25" s="1117"/>
      <c r="AQ25" s="1094">
        <f>($T25+AR25)*AK25</f>
        <v>1.074074074074074</v>
      </c>
      <c r="AR25" s="1093">
        <f>SUM(AR26:AR38)</f>
        <v>3.2222222222222223</v>
      </c>
      <c r="AS25" s="1094">
        <f>($T25+AT25)*AM25</f>
        <v>0</v>
      </c>
      <c r="AT25" s="1095">
        <f t="shared" si="9"/>
        <v>0</v>
      </c>
      <c r="AV25" s="1116"/>
      <c r="AW25" s="1106">
        <f>AK25</f>
        <v>0.33333333333333331</v>
      </c>
      <c r="AX25" s="1092">
        <f>SUM(AX26:AX38)</f>
        <v>1</v>
      </c>
      <c r="AY25" s="1091"/>
      <c r="AZ25" s="1091"/>
    </row>
    <row r="26" spans="2:52" ht="13.15" customHeight="1">
      <c r="B26" s="1118"/>
      <c r="C26" s="1119" t="str">
        <f>採点Q1!C105</f>
        <v>1.2.1 水と緑</v>
      </c>
      <c r="D26" s="473"/>
      <c r="E26" s="786"/>
      <c r="F26" s="786"/>
      <c r="G26" s="786"/>
      <c r="H26" s="1142"/>
      <c r="I26" s="1120"/>
      <c r="J26" s="1121"/>
      <c r="K26" s="1121"/>
      <c r="L26" s="1121"/>
      <c r="M26" s="1121"/>
      <c r="N26" s="1121"/>
      <c r="O26" s="1122"/>
      <c r="P26" s="1123">
        <f t="shared" ref="P26:P38" si="11">ROUNDDOWN($V26,1)</f>
        <v>3</v>
      </c>
      <c r="Q26" s="1124">
        <f t="shared" si="4"/>
        <v>0.33333333333333331</v>
      </c>
      <c r="R26" s="1143"/>
      <c r="S26" s="699"/>
      <c r="T26" s="1091"/>
      <c r="U26" s="1091">
        <f>AS26</f>
        <v>3</v>
      </c>
      <c r="V26" s="1091">
        <f t="shared" si="2"/>
        <v>3</v>
      </c>
      <c r="W26" s="699"/>
      <c r="X26" s="1352"/>
      <c r="Y26" s="1352"/>
      <c r="Z26" s="1351">
        <v>1</v>
      </c>
      <c r="AA26" s="1091"/>
      <c r="AB26" s="1091"/>
      <c r="AC26" s="96"/>
      <c r="AD26" s="1116"/>
      <c r="AE26" s="1116"/>
      <c r="AF26" s="1106">
        <f>IF(AG26=0,0,Z26)</f>
        <v>1</v>
      </c>
      <c r="AG26" s="1092">
        <f>SUM(AG27:AG30)</f>
        <v>2</v>
      </c>
      <c r="AH26" s="1091"/>
      <c r="AI26" s="96"/>
      <c r="AJ26" s="1116"/>
      <c r="AK26" s="1116"/>
      <c r="AL26" s="1106">
        <f>AF26/AF25</f>
        <v>0.33333333333333331</v>
      </c>
      <c r="AM26" s="1092"/>
      <c r="AN26" s="1091"/>
      <c r="AP26" s="1117"/>
      <c r="AQ26" s="1117"/>
      <c r="AR26" s="1094">
        <f>($T26+AS26)*AL26</f>
        <v>1</v>
      </c>
      <c r="AS26" s="1093">
        <f>SUM(AS27:AS30)</f>
        <v>3</v>
      </c>
      <c r="AT26" s="1095">
        <f t="shared" si="9"/>
        <v>0</v>
      </c>
      <c r="AV26" s="1116"/>
      <c r="AW26" s="1116"/>
      <c r="AX26" s="1106">
        <f>AL26</f>
        <v>0.33333333333333331</v>
      </c>
      <c r="AY26" s="1092">
        <f>SUM(AY27:AY30)</f>
        <v>1</v>
      </c>
      <c r="AZ26" s="1091"/>
    </row>
    <row r="27" spans="2:52" ht="13.15" customHeight="1">
      <c r="B27" s="1118"/>
      <c r="C27" s="1144"/>
      <c r="D27" s="1129" t="str">
        <f>採点Q1!D106</f>
        <v>1.2.1.1 地上部の水と緑</v>
      </c>
      <c r="E27" s="433"/>
      <c r="F27" s="433"/>
      <c r="G27" s="433"/>
      <c r="H27" s="1142"/>
      <c r="I27" s="1131">
        <f>採点Q1!E113</f>
        <v>0</v>
      </c>
      <c r="J27" s="1121"/>
      <c r="K27" s="1121"/>
      <c r="L27" s="1121"/>
      <c r="M27" s="1121"/>
      <c r="N27" s="1121"/>
      <c r="O27" s="1122"/>
      <c r="P27" s="1123">
        <f t="shared" si="11"/>
        <v>3</v>
      </c>
      <c r="Q27" s="1124">
        <f t="shared" si="4"/>
        <v>0.5</v>
      </c>
      <c r="R27" s="1143"/>
      <c r="S27" s="699"/>
      <c r="T27" s="1091">
        <f>採点Q1!D107</f>
        <v>3</v>
      </c>
      <c r="U27" s="1091"/>
      <c r="V27" s="1091">
        <f t="shared" si="2"/>
        <v>3</v>
      </c>
      <c r="W27" s="699"/>
      <c r="X27" s="1352"/>
      <c r="Y27" s="1352"/>
      <c r="Z27" s="1352"/>
      <c r="AA27" s="1091">
        <v>1</v>
      </c>
      <c r="AB27" s="1091"/>
      <c r="AC27" s="96"/>
      <c r="AD27" s="1116"/>
      <c r="AE27" s="1116"/>
      <c r="AF27" s="1116"/>
      <c r="AG27" s="1091">
        <f t="shared" si="6"/>
        <v>1</v>
      </c>
      <c r="AH27" s="1091">
        <f t="shared" si="3"/>
        <v>0</v>
      </c>
      <c r="AI27" s="96"/>
      <c r="AJ27" s="1116"/>
      <c r="AK27" s="1116"/>
      <c r="AL27" s="1116"/>
      <c r="AM27" s="1106">
        <f>AG27/AG26</f>
        <v>0.5</v>
      </c>
      <c r="AN27" s="1091"/>
      <c r="AP27" s="1117"/>
      <c r="AQ27" s="1117"/>
      <c r="AR27" s="1117"/>
      <c r="AS27" s="1094">
        <f>($T27+AT27)*AM27</f>
        <v>1.5</v>
      </c>
      <c r="AT27" s="1095">
        <f t="shared" si="9"/>
        <v>0</v>
      </c>
      <c r="AV27" s="1116"/>
      <c r="AW27" s="1116"/>
      <c r="AX27" s="1116"/>
      <c r="AY27" s="1106">
        <f t="shared" ref="AY27:AY28" si="12">AM27</f>
        <v>0.5</v>
      </c>
      <c r="AZ27" s="1091"/>
    </row>
    <row r="28" spans="2:52" ht="13.15" customHeight="1">
      <c r="B28" s="1118"/>
      <c r="C28" s="1128"/>
      <c r="D28" s="1129" t="str">
        <f>採点Q1!D115</f>
        <v>1.2.1.2 建物の緑</v>
      </c>
      <c r="E28" s="433"/>
      <c r="F28" s="433"/>
      <c r="G28" s="433"/>
      <c r="H28" s="433"/>
      <c r="I28" s="1120"/>
      <c r="J28" s="1121"/>
      <c r="K28" s="1121"/>
      <c r="L28" s="1121"/>
      <c r="M28" s="1121"/>
      <c r="N28" s="1121"/>
      <c r="O28" s="1122"/>
      <c r="P28" s="1123">
        <f t="shared" si="11"/>
        <v>3</v>
      </c>
      <c r="Q28" s="1124">
        <f t="shared" si="4"/>
        <v>0.5</v>
      </c>
      <c r="R28" s="1143"/>
      <c r="S28" s="699"/>
      <c r="T28" s="1091"/>
      <c r="U28" s="1091">
        <f>AT28</f>
        <v>3</v>
      </c>
      <c r="V28" s="1091">
        <f t="shared" si="2"/>
        <v>3</v>
      </c>
      <c r="W28" s="699"/>
      <c r="X28" s="1352"/>
      <c r="Y28" s="1352"/>
      <c r="Z28" s="1352"/>
      <c r="AA28" s="1351">
        <v>1</v>
      </c>
      <c r="AB28" s="1091"/>
      <c r="AC28" s="96"/>
      <c r="AD28" s="1116"/>
      <c r="AE28" s="1116"/>
      <c r="AF28" s="1116"/>
      <c r="AG28" s="1106">
        <f>IF(AH28=0,0,AA28)</f>
        <v>1</v>
      </c>
      <c r="AH28" s="1092">
        <f>SUM(AH29:AH30)</f>
        <v>2</v>
      </c>
      <c r="AI28" s="96"/>
      <c r="AJ28" s="1116"/>
      <c r="AK28" s="1116"/>
      <c r="AL28" s="1116"/>
      <c r="AM28" s="1106">
        <f>AG28/AG26</f>
        <v>0.5</v>
      </c>
      <c r="AN28" s="1092"/>
      <c r="AP28" s="1117"/>
      <c r="AQ28" s="1117"/>
      <c r="AR28" s="1117"/>
      <c r="AS28" s="1094">
        <f>($T28+AT28)*AM28</f>
        <v>1.5</v>
      </c>
      <c r="AT28" s="1093">
        <f>SUM(AT29:AT30)</f>
        <v>3</v>
      </c>
      <c r="AV28" s="1116"/>
      <c r="AW28" s="1116"/>
      <c r="AX28" s="1116"/>
      <c r="AY28" s="1106">
        <f t="shared" si="12"/>
        <v>0.5</v>
      </c>
      <c r="AZ28" s="1092">
        <f>SUM(AZ29:AZ30)</f>
        <v>1</v>
      </c>
    </row>
    <row r="29" spans="2:52" ht="13.15" customHeight="1">
      <c r="B29" s="1118"/>
      <c r="C29" s="1128"/>
      <c r="D29" s="1126"/>
      <c r="E29" s="1135" t="str">
        <f>採点Q1!D116</f>
        <v>1）屋上緑化</v>
      </c>
      <c r="F29" s="1130"/>
      <c r="G29" s="1130"/>
      <c r="H29" s="433"/>
      <c r="I29" s="1131">
        <f>採点Q1!E123</f>
        <v>0</v>
      </c>
      <c r="J29" s="1121"/>
      <c r="K29" s="1121"/>
      <c r="L29" s="1121"/>
      <c r="M29" s="1121"/>
      <c r="N29" s="1121"/>
      <c r="O29" s="1122"/>
      <c r="P29" s="1123">
        <f t="shared" si="11"/>
        <v>3</v>
      </c>
      <c r="Q29" s="1124">
        <f t="shared" si="4"/>
        <v>0.5</v>
      </c>
      <c r="R29" s="1143"/>
      <c r="S29" s="699"/>
      <c r="T29" s="1091">
        <f>採点Q1!D117</f>
        <v>3</v>
      </c>
      <c r="U29" s="1091"/>
      <c r="V29" s="1091">
        <f t="shared" si="2"/>
        <v>3</v>
      </c>
      <c r="W29" s="699"/>
      <c r="X29" s="1352"/>
      <c r="Y29" s="1352"/>
      <c r="Z29" s="1352"/>
      <c r="AA29" s="1352"/>
      <c r="AB29" s="1091">
        <v>1</v>
      </c>
      <c r="AC29" s="96"/>
      <c r="AD29" s="1116"/>
      <c r="AE29" s="1116"/>
      <c r="AF29" s="1116"/>
      <c r="AG29" s="1116"/>
      <c r="AH29" s="1091">
        <f t="shared" si="3"/>
        <v>1</v>
      </c>
      <c r="AI29" s="96"/>
      <c r="AJ29" s="1116"/>
      <c r="AK29" s="1116"/>
      <c r="AL29" s="1116"/>
      <c r="AM29" s="1116"/>
      <c r="AN29" s="1091">
        <f>AH29/AH28</f>
        <v>0.5</v>
      </c>
      <c r="AP29" s="1117"/>
      <c r="AQ29" s="1117"/>
      <c r="AR29" s="1117"/>
      <c r="AS29" s="1117"/>
      <c r="AT29" s="1095">
        <f t="shared" ref="AT29:AT38" si="13">T29*AN29</f>
        <v>1.5</v>
      </c>
      <c r="AV29" s="1116"/>
      <c r="AW29" s="1116"/>
      <c r="AX29" s="1116"/>
      <c r="AY29" s="1116"/>
      <c r="AZ29" s="1091">
        <f t="shared" ref="AZ29:AZ30" si="14">AN29</f>
        <v>0.5</v>
      </c>
    </row>
    <row r="30" spans="2:52" ht="13.15" customHeight="1">
      <c r="B30" s="1118"/>
      <c r="C30" s="1128"/>
      <c r="D30" s="1126"/>
      <c r="E30" s="1135" t="str">
        <f>採点Q1!D124</f>
        <v>2）壁面緑化</v>
      </c>
      <c r="F30" s="1130"/>
      <c r="G30" s="1130"/>
      <c r="H30" s="1130"/>
      <c r="I30" s="1131">
        <f>採点Q1!E131</f>
        <v>0</v>
      </c>
      <c r="J30" s="1121"/>
      <c r="K30" s="1121"/>
      <c r="L30" s="1121"/>
      <c r="M30" s="1121"/>
      <c r="N30" s="1121"/>
      <c r="O30" s="1122"/>
      <c r="P30" s="1123">
        <f t="shared" si="11"/>
        <v>3</v>
      </c>
      <c r="Q30" s="1124">
        <f t="shared" si="4"/>
        <v>0.5</v>
      </c>
      <c r="R30" s="1143"/>
      <c r="S30" s="699"/>
      <c r="T30" s="1091">
        <f>採点Q1!D125</f>
        <v>3</v>
      </c>
      <c r="U30" s="1091"/>
      <c r="V30" s="1091">
        <f t="shared" si="2"/>
        <v>3</v>
      </c>
      <c r="W30" s="699"/>
      <c r="X30" s="1352"/>
      <c r="Y30" s="1352"/>
      <c r="Z30" s="1353"/>
      <c r="AA30" s="1353"/>
      <c r="AB30" s="1091">
        <v>1</v>
      </c>
      <c r="AC30" s="96"/>
      <c r="AD30" s="1116"/>
      <c r="AE30" s="1116"/>
      <c r="AF30" s="1132"/>
      <c r="AG30" s="1132"/>
      <c r="AH30" s="1091">
        <f t="shared" si="3"/>
        <v>1</v>
      </c>
      <c r="AI30" s="96"/>
      <c r="AJ30" s="1116"/>
      <c r="AK30" s="1116"/>
      <c r="AL30" s="1132"/>
      <c r="AM30" s="1132"/>
      <c r="AN30" s="1091">
        <f>AH30/AH28</f>
        <v>0.5</v>
      </c>
      <c r="AP30" s="1117"/>
      <c r="AQ30" s="1117"/>
      <c r="AR30" s="1133"/>
      <c r="AS30" s="1133"/>
      <c r="AT30" s="1095">
        <f t="shared" si="13"/>
        <v>1.5</v>
      </c>
      <c r="AV30" s="1116"/>
      <c r="AW30" s="1116"/>
      <c r="AX30" s="1132"/>
      <c r="AY30" s="1132"/>
      <c r="AZ30" s="1091">
        <f t="shared" si="14"/>
        <v>0.5</v>
      </c>
    </row>
    <row r="31" spans="2:52" ht="13.15" customHeight="1">
      <c r="B31" s="1145"/>
      <c r="C31" s="1119" t="str">
        <f>採点Q1!C133</f>
        <v>1.2.2 熱環境</v>
      </c>
      <c r="D31" s="473"/>
      <c r="E31" s="786"/>
      <c r="F31" s="786"/>
      <c r="G31" s="786"/>
      <c r="H31" s="1142"/>
      <c r="I31" s="1120"/>
      <c r="J31" s="1121"/>
      <c r="K31" s="1121"/>
      <c r="L31" s="1121"/>
      <c r="M31" s="1121"/>
      <c r="N31" s="1121"/>
      <c r="O31" s="1122"/>
      <c r="P31" s="1123">
        <f t="shared" si="11"/>
        <v>3.6</v>
      </c>
      <c r="Q31" s="1124">
        <f t="shared" si="4"/>
        <v>0.33333333333333331</v>
      </c>
      <c r="R31" s="1143"/>
      <c r="S31" s="699"/>
      <c r="T31" s="1091"/>
      <c r="U31" s="1091">
        <f>AS31</f>
        <v>3.6666666666666665</v>
      </c>
      <c r="V31" s="1091">
        <f t="shared" si="2"/>
        <v>3.6666666666666665</v>
      </c>
      <c r="W31" s="699"/>
      <c r="X31" s="1352"/>
      <c r="Y31" s="1352"/>
      <c r="Z31" s="1351">
        <v>1</v>
      </c>
      <c r="AA31" s="1091"/>
      <c r="AB31" s="1091"/>
      <c r="AC31" s="96"/>
      <c r="AD31" s="1116"/>
      <c r="AE31" s="1116"/>
      <c r="AF31" s="1106">
        <f>IF(AG31=0,0,Z31)</f>
        <v>1</v>
      </c>
      <c r="AG31" s="1092">
        <f>SUM(AG32:AG34)</f>
        <v>3</v>
      </c>
      <c r="AH31" s="1091"/>
      <c r="AI31" s="96"/>
      <c r="AJ31" s="1116"/>
      <c r="AK31" s="1116"/>
      <c r="AL31" s="1106">
        <f>AF31/AF25</f>
        <v>0.33333333333333331</v>
      </c>
      <c r="AM31" s="1092"/>
      <c r="AN31" s="1091"/>
      <c r="AP31" s="1117"/>
      <c r="AQ31" s="1117"/>
      <c r="AR31" s="1094">
        <f>($T31+AS31)*AL31</f>
        <v>1.2222222222222221</v>
      </c>
      <c r="AS31" s="1093">
        <f>SUM(AS32:AS34)</f>
        <v>3.6666666666666665</v>
      </c>
      <c r="AT31" s="1095">
        <f t="shared" si="13"/>
        <v>0</v>
      </c>
      <c r="AV31" s="1116"/>
      <c r="AW31" s="1116"/>
      <c r="AX31" s="1106">
        <f>AL31</f>
        <v>0.33333333333333331</v>
      </c>
      <c r="AY31" s="1092">
        <f>SUM(AY32:AY34)</f>
        <v>1</v>
      </c>
      <c r="AZ31" s="1091"/>
    </row>
    <row r="32" spans="2:52" ht="13.15" customHeight="1">
      <c r="B32" s="1118"/>
      <c r="C32" s="1144"/>
      <c r="D32" s="1129" t="str">
        <f>採点Q1!D134</f>
        <v>1.2.2.1 日射の遮蔽</v>
      </c>
      <c r="E32" s="433"/>
      <c r="F32" s="433"/>
      <c r="G32" s="433"/>
      <c r="H32" s="1142"/>
      <c r="I32" s="1131" t="str">
        <f>採点Q1!D142</f>
        <v>評価する取組</v>
      </c>
      <c r="J32" s="1121"/>
      <c r="K32" s="1146">
        <f>採点Q1!E141</f>
        <v>0</v>
      </c>
      <c r="L32" s="1121"/>
      <c r="M32" s="1121"/>
      <c r="N32" s="1121"/>
      <c r="O32" s="1122"/>
      <c r="P32" s="1123">
        <f t="shared" si="11"/>
        <v>5</v>
      </c>
      <c r="Q32" s="1124">
        <f t="shared" si="4"/>
        <v>0.33333333333333331</v>
      </c>
      <c r="R32" s="1143"/>
      <c r="S32" s="699"/>
      <c r="T32" s="1091">
        <f>採点Q1!D135</f>
        <v>5</v>
      </c>
      <c r="U32" s="1091"/>
      <c r="V32" s="1091">
        <f t="shared" si="2"/>
        <v>5</v>
      </c>
      <c r="W32" s="699"/>
      <c r="X32" s="1352"/>
      <c r="Y32" s="1352"/>
      <c r="Z32" s="1352"/>
      <c r="AA32" s="1091">
        <v>1</v>
      </c>
      <c r="AB32" s="1091"/>
      <c r="AC32" s="96"/>
      <c r="AD32" s="1116"/>
      <c r="AE32" s="1116"/>
      <c r="AF32" s="1116"/>
      <c r="AG32" s="1091">
        <f t="shared" si="6"/>
        <v>1</v>
      </c>
      <c r="AH32" s="1091">
        <f t="shared" si="3"/>
        <v>0</v>
      </c>
      <c r="AI32" s="96"/>
      <c r="AJ32" s="1116"/>
      <c r="AK32" s="1116"/>
      <c r="AL32" s="1116"/>
      <c r="AM32" s="1091">
        <f>AG32/AG31</f>
        <v>0.33333333333333331</v>
      </c>
      <c r="AN32" s="1091"/>
      <c r="AP32" s="1117"/>
      <c r="AQ32" s="1117"/>
      <c r="AR32" s="1117"/>
      <c r="AS32" s="1094">
        <f>($T32+AT32)*AM32</f>
        <v>1.6666666666666665</v>
      </c>
      <c r="AT32" s="1095">
        <f t="shared" si="13"/>
        <v>0</v>
      </c>
      <c r="AV32" s="1116"/>
      <c r="AW32" s="1116"/>
      <c r="AX32" s="1116"/>
      <c r="AY32" s="1091">
        <f t="shared" ref="AY32:AY34" si="15">AM32</f>
        <v>0.33333333333333331</v>
      </c>
      <c r="AZ32" s="1091"/>
    </row>
    <row r="33" spans="2:52" ht="13.15" customHeight="1">
      <c r="B33" s="1118"/>
      <c r="C33" s="1128"/>
      <c r="D33" s="1129" t="str">
        <f>採点Q1!D147</f>
        <v>1.2.2.2 輻射熱・反射の抑制</v>
      </c>
      <c r="E33" s="433"/>
      <c r="F33" s="433"/>
      <c r="G33" s="433"/>
      <c r="H33" s="433"/>
      <c r="I33" s="1131" t="str">
        <f>採点Q1!D155</f>
        <v>評価する取組</v>
      </c>
      <c r="J33" s="1121"/>
      <c r="K33" s="1146">
        <f>採点Q1!E154</f>
        <v>0</v>
      </c>
      <c r="L33" s="1121"/>
      <c r="M33" s="1121"/>
      <c r="N33" s="1121"/>
      <c r="O33" s="1122"/>
      <c r="P33" s="1123">
        <f t="shared" si="11"/>
        <v>3</v>
      </c>
      <c r="Q33" s="1124">
        <f t="shared" si="4"/>
        <v>0.33333333333333331</v>
      </c>
      <c r="R33" s="1143"/>
      <c r="S33" s="699"/>
      <c r="T33" s="1091">
        <f>採点Q1!D148</f>
        <v>3</v>
      </c>
      <c r="U33" s="1091"/>
      <c r="V33" s="1091">
        <f t="shared" si="2"/>
        <v>3</v>
      </c>
      <c r="W33" s="699"/>
      <c r="X33" s="1352"/>
      <c r="Y33" s="1352"/>
      <c r="Z33" s="1352"/>
      <c r="AA33" s="1091">
        <v>1</v>
      </c>
      <c r="AB33" s="1091"/>
      <c r="AC33" s="96"/>
      <c r="AD33" s="1116"/>
      <c r="AE33" s="1116"/>
      <c r="AF33" s="1116"/>
      <c r="AG33" s="1091">
        <f t="shared" si="6"/>
        <v>1</v>
      </c>
      <c r="AH33" s="1091">
        <f>IF($T33=0,0,1)*AB33</f>
        <v>0</v>
      </c>
      <c r="AI33" s="96"/>
      <c r="AJ33" s="1116"/>
      <c r="AK33" s="1116"/>
      <c r="AL33" s="1116"/>
      <c r="AM33" s="1091">
        <f>AG33/AG31</f>
        <v>0.33333333333333331</v>
      </c>
      <c r="AN33" s="1091"/>
      <c r="AP33" s="1117"/>
      <c r="AQ33" s="1117"/>
      <c r="AR33" s="1117"/>
      <c r="AS33" s="1094">
        <f>($T33+AT33)*AM33</f>
        <v>1</v>
      </c>
      <c r="AT33" s="1095">
        <f t="shared" si="13"/>
        <v>0</v>
      </c>
      <c r="AV33" s="1116"/>
      <c r="AW33" s="1116"/>
      <c r="AX33" s="1116"/>
      <c r="AY33" s="1091">
        <f t="shared" si="15"/>
        <v>0.33333333333333331</v>
      </c>
      <c r="AZ33" s="1091"/>
    </row>
    <row r="34" spans="2:52" ht="13.15" customHeight="1">
      <c r="B34" s="1118"/>
      <c r="C34" s="1128"/>
      <c r="D34" s="1129" t="str">
        <f>採点Q1!D160</f>
        <v>1.2.2.3 風通しの確保</v>
      </c>
      <c r="E34" s="433"/>
      <c r="F34" s="433"/>
      <c r="G34" s="433"/>
      <c r="H34" s="433"/>
      <c r="I34" s="1131" t="str">
        <f>採点Q1!D168</f>
        <v>評価する取組</v>
      </c>
      <c r="J34" s="1121"/>
      <c r="K34" s="1146">
        <f>採点Q1!E167</f>
        <v>0</v>
      </c>
      <c r="L34" s="1121"/>
      <c r="M34" s="1121"/>
      <c r="N34" s="1121"/>
      <c r="O34" s="1122"/>
      <c r="P34" s="1123">
        <f t="shared" si="11"/>
        <v>3</v>
      </c>
      <c r="Q34" s="1124">
        <f t="shared" si="4"/>
        <v>0.33333333333333331</v>
      </c>
      <c r="R34" s="1143"/>
      <c r="S34" s="699"/>
      <c r="T34" s="1091">
        <f>採点Q1!D161</f>
        <v>3</v>
      </c>
      <c r="U34" s="1091"/>
      <c r="V34" s="1091">
        <f t="shared" si="2"/>
        <v>3</v>
      </c>
      <c r="W34" s="699"/>
      <c r="X34" s="1352"/>
      <c r="Y34" s="1352"/>
      <c r="Z34" s="1353"/>
      <c r="AA34" s="1091">
        <v>1</v>
      </c>
      <c r="AB34" s="1091"/>
      <c r="AC34" s="96"/>
      <c r="AD34" s="1116"/>
      <c r="AE34" s="1116"/>
      <c r="AF34" s="1132"/>
      <c r="AG34" s="1091">
        <f t="shared" si="6"/>
        <v>1</v>
      </c>
      <c r="AH34" s="1091">
        <f t="shared" si="3"/>
        <v>0</v>
      </c>
      <c r="AI34" s="96"/>
      <c r="AJ34" s="1116"/>
      <c r="AK34" s="1116"/>
      <c r="AL34" s="1132"/>
      <c r="AM34" s="1091">
        <f>AG34/AG31</f>
        <v>0.33333333333333331</v>
      </c>
      <c r="AN34" s="1091"/>
      <c r="AP34" s="1117"/>
      <c r="AQ34" s="1117"/>
      <c r="AR34" s="1133"/>
      <c r="AS34" s="1094">
        <f>($T34+AT34)*AM34</f>
        <v>1</v>
      </c>
      <c r="AT34" s="1095">
        <f t="shared" si="13"/>
        <v>0</v>
      </c>
      <c r="AV34" s="1116"/>
      <c r="AW34" s="1116"/>
      <c r="AX34" s="1132"/>
      <c r="AY34" s="1091">
        <f t="shared" si="15"/>
        <v>0.33333333333333331</v>
      </c>
      <c r="AZ34" s="1091"/>
    </row>
    <row r="35" spans="2:52" ht="13.15" customHeight="1">
      <c r="B35" s="1118"/>
      <c r="C35" s="1119" t="str">
        <f>採点Q1!C174</f>
        <v>1.2.3 都市景観</v>
      </c>
      <c r="D35" s="473"/>
      <c r="E35" s="786"/>
      <c r="F35" s="786"/>
      <c r="G35" s="786"/>
      <c r="H35" s="786"/>
      <c r="I35" s="1120"/>
      <c r="J35" s="1121"/>
      <c r="K35" s="1121"/>
      <c r="L35" s="1121"/>
      <c r="M35" s="1121"/>
      <c r="N35" s="1121"/>
      <c r="O35" s="1122"/>
      <c r="P35" s="1123">
        <f t="shared" si="11"/>
        <v>3</v>
      </c>
      <c r="Q35" s="1124">
        <f t="shared" si="4"/>
        <v>0.33333333333333331</v>
      </c>
      <c r="R35" s="1143"/>
      <c r="S35" s="699"/>
      <c r="T35" s="1091"/>
      <c r="U35" s="1091">
        <f>AS35</f>
        <v>3</v>
      </c>
      <c r="V35" s="1091">
        <f t="shared" si="2"/>
        <v>3</v>
      </c>
      <c r="W35" s="699"/>
      <c r="X35" s="1352"/>
      <c r="Y35" s="1352"/>
      <c r="Z35" s="1351">
        <v>1</v>
      </c>
      <c r="AA35" s="1091"/>
      <c r="AB35" s="1091"/>
      <c r="AC35" s="96"/>
      <c r="AD35" s="1116"/>
      <c r="AE35" s="1116"/>
      <c r="AF35" s="1106">
        <f>IF(AG35=0,0,Z35)</f>
        <v>1</v>
      </c>
      <c r="AG35" s="1092">
        <f>SUM(AG37:AG38)</f>
        <v>2</v>
      </c>
      <c r="AH35" s="1091"/>
      <c r="AI35" s="96"/>
      <c r="AJ35" s="1116"/>
      <c r="AK35" s="1116"/>
      <c r="AL35" s="1106">
        <f>AF35/AF25</f>
        <v>0.33333333333333331</v>
      </c>
      <c r="AM35" s="1092"/>
      <c r="AN35" s="1091"/>
      <c r="AP35" s="1117"/>
      <c r="AQ35" s="1117"/>
      <c r="AR35" s="1094">
        <f>($T35+AS35)*AL35</f>
        <v>1</v>
      </c>
      <c r="AS35" s="1092">
        <f>SUM(AS37:AS38)</f>
        <v>3</v>
      </c>
      <c r="AT35" s="1095">
        <f t="shared" si="13"/>
        <v>0</v>
      </c>
      <c r="AV35" s="1116"/>
      <c r="AW35" s="1116"/>
      <c r="AX35" s="1106">
        <f>AL35</f>
        <v>0.33333333333333331</v>
      </c>
      <c r="AY35" s="1092">
        <f>SUM(AY37:AY38)</f>
        <v>1</v>
      </c>
      <c r="AZ35" s="1091"/>
    </row>
    <row r="36" spans="2:52" ht="13.15" hidden="1" customHeight="1">
      <c r="B36" s="1118"/>
      <c r="C36" s="1126"/>
      <c r="D36" s="1127"/>
      <c r="E36" s="786"/>
      <c r="F36" s="786"/>
      <c r="G36" s="786"/>
      <c r="H36" s="786"/>
      <c r="I36" s="1120"/>
      <c r="J36" s="1121"/>
      <c r="K36" s="1121"/>
      <c r="L36" s="1121"/>
      <c r="M36" s="1121"/>
      <c r="N36" s="1121"/>
      <c r="O36" s="1122"/>
      <c r="P36" s="1123"/>
      <c r="Q36" s="1124"/>
      <c r="R36" s="1143"/>
      <c r="S36" s="699"/>
      <c r="T36" s="1091"/>
      <c r="U36" s="1091"/>
      <c r="V36" s="1091"/>
      <c r="W36" s="699"/>
      <c r="X36" s="1352"/>
      <c r="Y36" s="1352"/>
      <c r="Z36" s="1352"/>
      <c r="AA36" s="1091"/>
      <c r="AB36" s="1091"/>
      <c r="AC36" s="96"/>
      <c r="AD36" s="1116"/>
      <c r="AE36" s="1116"/>
      <c r="AF36" s="1116"/>
      <c r="AG36" s="1092"/>
      <c r="AH36" s="1091"/>
      <c r="AI36" s="96"/>
      <c r="AJ36" s="1116"/>
      <c r="AK36" s="1116"/>
      <c r="AL36" s="1116"/>
      <c r="AM36" s="1092"/>
      <c r="AN36" s="1091"/>
      <c r="AP36" s="1117"/>
      <c r="AQ36" s="1117"/>
      <c r="AR36" s="1117"/>
      <c r="AS36" s="1092"/>
      <c r="AT36" s="1095"/>
      <c r="AV36" s="1116"/>
      <c r="AW36" s="1116"/>
      <c r="AX36" s="1116"/>
      <c r="AY36" s="1092"/>
      <c r="AZ36" s="1091"/>
    </row>
    <row r="37" spans="2:52" ht="13.15" customHeight="1">
      <c r="B37" s="1118"/>
      <c r="C37" s="1128"/>
      <c r="D37" s="1129" t="str">
        <f>採点Q1!D175</f>
        <v>1.2.3.1 街並み・景観形成への配慮</v>
      </c>
      <c r="E37" s="433"/>
      <c r="F37" s="433"/>
      <c r="G37" s="433"/>
      <c r="H37" s="433"/>
      <c r="I37" s="1131" t="str">
        <f>採点Q1!D183</f>
        <v>評価する取組</v>
      </c>
      <c r="J37" s="1121"/>
      <c r="K37" s="1146">
        <f>採点Q1!E182</f>
        <v>0</v>
      </c>
      <c r="L37" s="1121"/>
      <c r="M37" s="1121"/>
      <c r="N37" s="1121"/>
      <c r="O37" s="1122"/>
      <c r="P37" s="1123">
        <f t="shared" si="11"/>
        <v>3</v>
      </c>
      <c r="Q37" s="1124">
        <f>SUM(AJ37:AM37)</f>
        <v>0.5</v>
      </c>
      <c r="R37" s="1147"/>
      <c r="S37" s="699"/>
      <c r="T37" s="1091">
        <f>採点Q1!D176</f>
        <v>3</v>
      </c>
      <c r="U37" s="1091"/>
      <c r="V37" s="1091">
        <f t="shared" si="2"/>
        <v>3</v>
      </c>
      <c r="W37" s="699"/>
      <c r="X37" s="1352"/>
      <c r="Y37" s="1352"/>
      <c r="Z37" s="1352"/>
      <c r="AA37" s="1091">
        <v>1</v>
      </c>
      <c r="AB37" s="1091"/>
      <c r="AC37" s="96"/>
      <c r="AD37" s="1116"/>
      <c r="AE37" s="1116"/>
      <c r="AF37" s="1116"/>
      <c r="AG37" s="1091">
        <f>IF($T37=0,0,1)*AA37</f>
        <v>1</v>
      </c>
      <c r="AH37" s="1091">
        <f t="shared" si="3"/>
        <v>0</v>
      </c>
      <c r="AI37" s="96"/>
      <c r="AJ37" s="1116"/>
      <c r="AK37" s="1116"/>
      <c r="AL37" s="1116"/>
      <c r="AM37" s="1091">
        <f>AG37/AG35</f>
        <v>0.5</v>
      </c>
      <c r="AN37" s="1091"/>
      <c r="AP37" s="1117"/>
      <c r="AQ37" s="1117"/>
      <c r="AR37" s="1117"/>
      <c r="AS37" s="1095">
        <f>T37*AM37</f>
        <v>1.5</v>
      </c>
      <c r="AT37" s="1095">
        <f t="shared" si="13"/>
        <v>0</v>
      </c>
      <c r="AV37" s="1116"/>
      <c r="AW37" s="1116"/>
      <c r="AX37" s="1116"/>
      <c r="AY37" s="1091">
        <f>AM37</f>
        <v>0.5</v>
      </c>
      <c r="AZ37" s="1091"/>
    </row>
    <row r="38" spans="2:52" ht="13.15" customHeight="1">
      <c r="B38" s="1118"/>
      <c r="C38" s="1128"/>
      <c r="D38" s="1129" t="str">
        <f>採点Q1!D194</f>
        <v>1.2.3.2 周辺との調和性</v>
      </c>
      <c r="E38" s="433"/>
      <c r="F38" s="433"/>
      <c r="G38" s="433"/>
      <c r="H38" s="1130"/>
      <c r="I38" s="1131" t="str">
        <f>採点Q1!D202</f>
        <v>評価する取組</v>
      </c>
      <c r="J38" s="1121"/>
      <c r="K38" s="1146">
        <f>採点Q1!E201</f>
        <v>0</v>
      </c>
      <c r="L38" s="1121"/>
      <c r="M38" s="1121"/>
      <c r="N38" s="1121"/>
      <c r="O38" s="1122"/>
      <c r="P38" s="1123">
        <f t="shared" si="11"/>
        <v>3</v>
      </c>
      <c r="Q38" s="1124">
        <f>SUM(AJ38:AM38)</f>
        <v>0.5</v>
      </c>
      <c r="R38" s="1148"/>
      <c r="S38" s="699"/>
      <c r="T38" s="1091">
        <f>採点Q1!D195</f>
        <v>3</v>
      </c>
      <c r="U38" s="1091"/>
      <c r="V38" s="1091">
        <f t="shared" si="2"/>
        <v>3</v>
      </c>
      <c r="W38" s="699"/>
      <c r="X38" s="1352"/>
      <c r="Y38" s="1353"/>
      <c r="Z38" s="1353"/>
      <c r="AA38" s="1091">
        <v>1</v>
      </c>
      <c r="AB38" s="1091"/>
      <c r="AC38" s="96"/>
      <c r="AD38" s="1116"/>
      <c r="AE38" s="1132"/>
      <c r="AF38" s="1132"/>
      <c r="AG38" s="1091">
        <f>IF($T38=0,0,1)*AA38</f>
        <v>1</v>
      </c>
      <c r="AH38" s="1091">
        <f t="shared" si="3"/>
        <v>0</v>
      </c>
      <c r="AI38" s="96"/>
      <c r="AJ38" s="1116"/>
      <c r="AK38" s="1132"/>
      <c r="AL38" s="1132"/>
      <c r="AM38" s="1091">
        <f>AG38/AG35</f>
        <v>0.5</v>
      </c>
      <c r="AN38" s="1091"/>
      <c r="AP38" s="1117"/>
      <c r="AQ38" s="1133"/>
      <c r="AR38" s="1133"/>
      <c r="AS38" s="1095">
        <f>T38*AM38</f>
        <v>1.5</v>
      </c>
      <c r="AT38" s="1095">
        <f t="shared" si="13"/>
        <v>0</v>
      </c>
      <c r="AV38" s="1116"/>
      <c r="AW38" s="1132"/>
      <c r="AX38" s="1132"/>
      <c r="AY38" s="1091">
        <f>AM38</f>
        <v>0.5</v>
      </c>
      <c r="AZ38" s="1091"/>
    </row>
    <row r="39" spans="2:52" ht="13.15" customHeight="1">
      <c r="B39" s="1138" t="str">
        <f>採点Q1!B208</f>
        <v>1.3 建築物における環境配慮</v>
      </c>
      <c r="C39" s="1139"/>
      <c r="D39" s="786"/>
      <c r="E39" s="786"/>
      <c r="F39" s="786"/>
      <c r="G39" s="786"/>
      <c r="H39" s="786"/>
      <c r="I39" s="1131">
        <f>採点Q1!E215</f>
        <v>0</v>
      </c>
      <c r="J39" s="1121"/>
      <c r="K39" s="1121"/>
      <c r="L39" s="1121"/>
      <c r="M39" s="1121"/>
      <c r="N39" s="1121"/>
      <c r="O39" s="1122"/>
      <c r="P39" s="1123"/>
      <c r="Q39" s="1140">
        <f t="shared" si="4"/>
        <v>0.16666666666666666</v>
      </c>
      <c r="R39" s="1149">
        <f t="shared" ref="R39:R40" si="16">ROUNDDOWN($V39,1)</f>
        <v>3</v>
      </c>
      <c r="S39" s="699"/>
      <c r="T39" s="1091">
        <f>採点Q1!D209</f>
        <v>3</v>
      </c>
      <c r="U39" s="1091"/>
      <c r="V39" s="1091">
        <f t="shared" si="2"/>
        <v>3</v>
      </c>
      <c r="W39" s="699"/>
      <c r="X39" s="1352"/>
      <c r="Y39" s="1091">
        <v>0.5</v>
      </c>
      <c r="Z39" s="1091"/>
      <c r="AA39" s="1091"/>
      <c r="AB39" s="1091"/>
      <c r="AC39" s="96"/>
      <c r="AD39" s="1116"/>
      <c r="AE39" s="1091">
        <f t="shared" ref="AE39:AE40" si="17">IF($T39=0,0,1)*Y39</f>
        <v>0.5</v>
      </c>
      <c r="AF39" s="1091">
        <f t="shared" ref="AF39:AF40" si="18">IF($T39=0,0,1)*Z39</f>
        <v>0</v>
      </c>
      <c r="AG39" s="1091">
        <f t="shared" si="6"/>
        <v>0</v>
      </c>
      <c r="AH39" s="1091">
        <f t="shared" si="3"/>
        <v>0</v>
      </c>
      <c r="AI39" s="96"/>
      <c r="AJ39" s="1116"/>
      <c r="AK39" s="1106">
        <f>AE39/AE8</f>
        <v>0.16666666666666666</v>
      </c>
      <c r="AL39" s="1091"/>
      <c r="AM39" s="1091"/>
      <c r="AN39" s="1091"/>
      <c r="AP39" s="1117"/>
      <c r="AQ39" s="1094">
        <f>($T39+AR39)*AK39</f>
        <v>0.5</v>
      </c>
      <c r="AR39" s="1094">
        <f t="shared" ref="AQ39:AS40" si="19">($T39+AS39)*AL39</f>
        <v>0</v>
      </c>
      <c r="AS39" s="1094">
        <f t="shared" si="19"/>
        <v>0</v>
      </c>
      <c r="AT39" s="1095">
        <f>T39*AN39</f>
        <v>0</v>
      </c>
      <c r="AV39" s="1116"/>
      <c r="AW39" s="1106">
        <f t="shared" ref="AW39:AW40" si="20">AK39</f>
        <v>0.16666666666666666</v>
      </c>
      <c r="AX39" s="1091"/>
      <c r="AY39" s="1091"/>
      <c r="AZ39" s="1091"/>
    </row>
    <row r="40" spans="2:52" ht="13.15" customHeight="1" thickBot="1">
      <c r="B40" s="1138" t="str">
        <f>採点Q1!B217</f>
        <v>1.4 環境性能に関するスマート化</v>
      </c>
      <c r="C40" s="1150"/>
      <c r="D40" s="1151"/>
      <c r="E40" s="1151"/>
      <c r="F40" s="1151"/>
      <c r="G40" s="1151"/>
      <c r="H40" s="1151"/>
      <c r="I40" s="1131" t="str">
        <f>採点Q1!D225</f>
        <v>評価する取組</v>
      </c>
      <c r="J40" s="1152"/>
      <c r="K40" s="1146">
        <f>採点Q1!E224</f>
        <v>0</v>
      </c>
      <c r="L40" s="1152"/>
      <c r="M40" s="1152"/>
      <c r="N40" s="1152"/>
      <c r="O40" s="1153"/>
      <c r="P40" s="1154"/>
      <c r="Q40" s="1155">
        <f t="shared" si="4"/>
        <v>0.16666666666666666</v>
      </c>
      <c r="R40" s="1141">
        <f t="shared" si="16"/>
        <v>3</v>
      </c>
      <c r="S40" s="699"/>
      <c r="T40" s="1091">
        <f>採点Q1!D218</f>
        <v>3</v>
      </c>
      <c r="U40" s="1091"/>
      <c r="V40" s="1091">
        <f t="shared" si="2"/>
        <v>3</v>
      </c>
      <c r="W40" s="699"/>
      <c r="X40" s="1353"/>
      <c r="Y40" s="1091">
        <v>0.5</v>
      </c>
      <c r="Z40" s="1091"/>
      <c r="AA40" s="1091"/>
      <c r="AB40" s="1091"/>
      <c r="AC40" s="96"/>
      <c r="AD40" s="1132"/>
      <c r="AE40" s="1091">
        <f t="shared" si="17"/>
        <v>0.5</v>
      </c>
      <c r="AF40" s="1091">
        <f t="shared" si="18"/>
        <v>0</v>
      </c>
      <c r="AG40" s="1091">
        <f t="shared" si="6"/>
        <v>0</v>
      </c>
      <c r="AH40" s="1091">
        <f>IF($T40=0,0,1)*AB40</f>
        <v>0</v>
      </c>
      <c r="AI40" s="96"/>
      <c r="AJ40" s="1132"/>
      <c r="AK40" s="1106">
        <f>AE40/AE8</f>
        <v>0.16666666666666666</v>
      </c>
      <c r="AL40" s="1091"/>
      <c r="AM40" s="1091"/>
      <c r="AN40" s="1091"/>
      <c r="AP40" s="1133"/>
      <c r="AQ40" s="1094">
        <f t="shared" si="19"/>
        <v>0.5</v>
      </c>
      <c r="AR40" s="1094">
        <f t="shared" si="19"/>
        <v>0</v>
      </c>
      <c r="AS40" s="1094">
        <f t="shared" si="19"/>
        <v>0</v>
      </c>
      <c r="AT40" s="1095">
        <f>T40*AN40</f>
        <v>0</v>
      </c>
      <c r="AV40" s="1132"/>
      <c r="AW40" s="1106">
        <f t="shared" si="20"/>
        <v>0.16666666666666666</v>
      </c>
      <c r="AX40" s="1091"/>
      <c r="AY40" s="1091"/>
      <c r="AZ40" s="1091"/>
    </row>
    <row r="41" spans="2:52" ht="13.15" customHeight="1" thickBot="1">
      <c r="B41" s="1096" t="str">
        <f>採点Q2!B9</f>
        <v>Q-2 社会</v>
      </c>
      <c r="C41" s="1097"/>
      <c r="D41" s="1097"/>
      <c r="E41" s="1097"/>
      <c r="F41" s="1097"/>
      <c r="G41" s="1097"/>
      <c r="H41" s="1098"/>
      <c r="I41" s="1156"/>
      <c r="J41" s="1100"/>
      <c r="K41" s="1100"/>
      <c r="L41" s="1100"/>
      <c r="M41" s="1100"/>
      <c r="N41" s="1100"/>
      <c r="O41" s="1101"/>
      <c r="P41" s="1102"/>
      <c r="Q41" s="1103">
        <f>SUM(AJ41:AN41)</f>
        <v>0.33333333333333331</v>
      </c>
      <c r="R41" s="1104">
        <f>ROUNDDOWN($V41,1)</f>
        <v>3</v>
      </c>
      <c r="S41" s="699"/>
      <c r="T41" s="1091"/>
      <c r="U41" s="1091">
        <f>AQ41</f>
        <v>3</v>
      </c>
      <c r="V41" s="1091">
        <f t="shared" si="2"/>
        <v>3</v>
      </c>
      <c r="W41" s="699"/>
      <c r="X41" s="1351">
        <v>1</v>
      </c>
      <c r="Y41" s="1091"/>
      <c r="Z41" s="1091"/>
      <c r="AA41" s="1091"/>
      <c r="AB41" s="1091"/>
      <c r="AC41" s="96"/>
      <c r="AD41" s="1106">
        <f>IF(AE41=0,0,X41)</f>
        <v>1</v>
      </c>
      <c r="AE41" s="1092">
        <f>SUM(AE42:AE73)</f>
        <v>5.5</v>
      </c>
      <c r="AF41" s="1091"/>
      <c r="AG41" s="1091"/>
      <c r="AH41" s="1091">
        <f t="shared" ref="AF41:AH46" si="21">IF($T41=0,0,1)*AB41</f>
        <v>0</v>
      </c>
      <c r="AI41" s="96"/>
      <c r="AJ41" s="1106">
        <f>AD41/AD7</f>
        <v>0.33333333333333331</v>
      </c>
      <c r="AK41" s="1092"/>
      <c r="AL41" s="1091"/>
      <c r="AM41" s="1091"/>
      <c r="AN41" s="1091"/>
      <c r="AP41" s="1094">
        <f>($T41+AQ41)*AJ41</f>
        <v>1</v>
      </c>
      <c r="AQ41" s="1092">
        <f>SUM(AQ42:AQ73)</f>
        <v>3</v>
      </c>
      <c r="AR41" s="1091"/>
      <c r="AS41" s="1091"/>
      <c r="AT41" s="1091"/>
      <c r="AV41" s="1106">
        <f>AJ41</f>
        <v>0.33333333333333331</v>
      </c>
      <c r="AW41" s="1092">
        <f>SUM(AW42:AW73)</f>
        <v>1</v>
      </c>
      <c r="AX41" s="1091"/>
      <c r="AY41" s="1091"/>
      <c r="AZ41" s="1091"/>
    </row>
    <row r="42" spans="2:52" ht="13.15" customHeight="1">
      <c r="B42" s="1107" t="str">
        <f>採点Q2!B12</f>
        <v>2.1 ガバナンス</v>
      </c>
      <c r="C42" s="1108"/>
      <c r="D42" s="1109"/>
      <c r="E42" s="1109"/>
      <c r="F42" s="1109"/>
      <c r="G42" s="1109"/>
      <c r="H42" s="1109"/>
      <c r="I42" s="1110"/>
      <c r="J42" s="1111"/>
      <c r="K42" s="1111"/>
      <c r="L42" s="1111"/>
      <c r="M42" s="1111"/>
      <c r="N42" s="1111"/>
      <c r="O42" s="1112"/>
      <c r="P42" s="1157"/>
      <c r="Q42" s="1158">
        <f t="shared" si="4"/>
        <v>0.18181818181818182</v>
      </c>
      <c r="R42" s="1115">
        <f>ROUNDDOWN($V42,1)</f>
        <v>3</v>
      </c>
      <c r="S42" s="699"/>
      <c r="T42" s="1091"/>
      <c r="U42" s="1091">
        <f>AR42</f>
        <v>3</v>
      </c>
      <c r="V42" s="1091">
        <f t="shared" si="2"/>
        <v>3</v>
      </c>
      <c r="W42" s="699"/>
      <c r="X42" s="1352"/>
      <c r="Y42" s="1351">
        <v>1</v>
      </c>
      <c r="Z42" s="1091"/>
      <c r="AA42" s="1091"/>
      <c r="AB42" s="1091"/>
      <c r="AC42" s="96"/>
      <c r="AD42" s="1116"/>
      <c r="AE42" s="1106">
        <f>IF(AF42=0,0,Y42)</f>
        <v>1</v>
      </c>
      <c r="AF42" s="1092">
        <f>SUM(AF43:AF49)</f>
        <v>2</v>
      </c>
      <c r="AG42" s="1091"/>
      <c r="AH42" s="1091">
        <f t="shared" si="21"/>
        <v>0</v>
      </c>
      <c r="AI42" s="96"/>
      <c r="AJ42" s="1116"/>
      <c r="AK42" s="1106">
        <f>AE42/AE41</f>
        <v>0.18181818181818182</v>
      </c>
      <c r="AL42" s="1092"/>
      <c r="AM42" s="1091"/>
      <c r="AN42" s="1091"/>
      <c r="AP42" s="1116"/>
      <c r="AQ42" s="1106">
        <f>($T42+AR42)*AK42</f>
        <v>0.54545454545454541</v>
      </c>
      <c r="AR42" s="1092">
        <f>SUM(AR43:AR49)</f>
        <v>3</v>
      </c>
      <c r="AS42" s="1091"/>
      <c r="AT42" s="1091"/>
      <c r="AV42" s="1116"/>
      <c r="AW42" s="1106">
        <f>AK42</f>
        <v>0.18181818181818182</v>
      </c>
      <c r="AX42" s="1092">
        <f>SUM(AX43:AX49)</f>
        <v>1</v>
      </c>
      <c r="AY42" s="1091"/>
      <c r="AZ42" s="1091"/>
    </row>
    <row r="43" spans="2:52" ht="13.15" customHeight="1">
      <c r="B43" s="1118"/>
      <c r="C43" s="1119" t="str">
        <f>採点Q2!C13</f>
        <v>2.1.1 コンプライアンス</v>
      </c>
      <c r="D43" s="473"/>
      <c r="E43" s="786"/>
      <c r="F43" s="786"/>
      <c r="G43" s="786"/>
      <c r="H43" s="1142"/>
      <c r="I43" s="1131">
        <f>採点Q2!E20</f>
        <v>0</v>
      </c>
      <c r="J43" s="1121"/>
      <c r="K43" s="1121"/>
      <c r="L43" s="1121"/>
      <c r="M43" s="1121"/>
      <c r="N43" s="1121"/>
      <c r="O43" s="1122"/>
      <c r="P43" s="1159">
        <f t="shared" ref="P43:P49" si="22">ROUNDDOWN($V43,1)</f>
        <v>3</v>
      </c>
      <c r="Q43" s="1124">
        <f t="shared" si="4"/>
        <v>0.5</v>
      </c>
      <c r="R43" s="1160"/>
      <c r="S43" s="699"/>
      <c r="T43" s="1091">
        <f>採点Q2!D14</f>
        <v>3</v>
      </c>
      <c r="U43" s="1091"/>
      <c r="V43" s="1091">
        <f t="shared" si="2"/>
        <v>3</v>
      </c>
      <c r="W43" s="699"/>
      <c r="X43" s="1352"/>
      <c r="Y43" s="1352"/>
      <c r="Z43" s="1091">
        <v>1</v>
      </c>
      <c r="AA43" s="1091"/>
      <c r="AB43" s="1091"/>
      <c r="AC43" s="96"/>
      <c r="AD43" s="1116"/>
      <c r="AE43" s="1116"/>
      <c r="AF43" s="1091">
        <f t="shared" si="21"/>
        <v>1</v>
      </c>
      <c r="AG43" s="1091">
        <f t="shared" si="21"/>
        <v>0</v>
      </c>
      <c r="AH43" s="1091">
        <f t="shared" si="21"/>
        <v>0</v>
      </c>
      <c r="AI43" s="96"/>
      <c r="AJ43" s="1116"/>
      <c r="AK43" s="1116"/>
      <c r="AL43" s="1091">
        <f>AF43/AF42</f>
        <v>0.5</v>
      </c>
      <c r="AM43" s="1091"/>
      <c r="AN43" s="1091"/>
      <c r="AP43" s="1116"/>
      <c r="AQ43" s="1116"/>
      <c r="AR43" s="1091">
        <f t="shared" ref="AR43:AR44" si="23">($T43+AS43)*AL43</f>
        <v>1.5</v>
      </c>
      <c r="AS43" s="1091"/>
      <c r="AT43" s="1091"/>
      <c r="AV43" s="1116"/>
      <c r="AW43" s="1116"/>
      <c r="AX43" s="1091">
        <f t="shared" ref="AX43:AX44" si="24">AL43</f>
        <v>0.5</v>
      </c>
      <c r="AY43" s="1091"/>
      <c r="AZ43" s="1091"/>
    </row>
    <row r="44" spans="2:52" ht="13.15" customHeight="1">
      <c r="B44" s="1118"/>
      <c r="C44" s="1119" t="str">
        <f>採点Q2!C22</f>
        <v>2.1.2 エリアマネジメント</v>
      </c>
      <c r="D44" s="473"/>
      <c r="E44" s="786"/>
      <c r="F44" s="786"/>
      <c r="G44" s="786"/>
      <c r="H44" s="1142"/>
      <c r="I44" s="1120"/>
      <c r="J44" s="1121"/>
      <c r="K44" s="1121"/>
      <c r="L44" s="1121"/>
      <c r="M44" s="1121"/>
      <c r="N44" s="1121"/>
      <c r="O44" s="1122"/>
      <c r="P44" s="1159">
        <f t="shared" si="22"/>
        <v>3</v>
      </c>
      <c r="Q44" s="1124">
        <f t="shared" si="4"/>
        <v>0.5</v>
      </c>
      <c r="R44" s="1160"/>
      <c r="S44" s="699"/>
      <c r="T44" s="1091"/>
      <c r="U44" s="1091">
        <f>AS44</f>
        <v>3</v>
      </c>
      <c r="V44" s="1091">
        <f t="shared" si="2"/>
        <v>3</v>
      </c>
      <c r="W44" s="699"/>
      <c r="X44" s="1352"/>
      <c r="Y44" s="1352"/>
      <c r="Z44" s="1351">
        <v>1</v>
      </c>
      <c r="AA44" s="1091"/>
      <c r="AB44" s="1091"/>
      <c r="AC44" s="96"/>
      <c r="AD44" s="1116"/>
      <c r="AE44" s="1116"/>
      <c r="AF44" s="1106">
        <f>IF(AG44=0,0,Z44)</f>
        <v>1</v>
      </c>
      <c r="AG44" s="1092">
        <f>SUM(AG45:AG49)</f>
        <v>3</v>
      </c>
      <c r="AH44" s="1091"/>
      <c r="AI44" s="96"/>
      <c r="AJ44" s="1116"/>
      <c r="AK44" s="1116"/>
      <c r="AL44" s="1106">
        <f>AF44/AF42</f>
        <v>0.5</v>
      </c>
      <c r="AM44" s="1092"/>
      <c r="AN44" s="1091"/>
      <c r="AP44" s="1116"/>
      <c r="AQ44" s="1116"/>
      <c r="AR44" s="1106">
        <f t="shared" si="23"/>
        <v>1.5</v>
      </c>
      <c r="AS44" s="1092">
        <f>SUM(AS45:AS49)</f>
        <v>3</v>
      </c>
      <c r="AT44" s="1091"/>
      <c r="AV44" s="1116"/>
      <c r="AW44" s="1116"/>
      <c r="AX44" s="1106">
        <f t="shared" si="24"/>
        <v>0.5</v>
      </c>
      <c r="AY44" s="1092">
        <f>SUM(AY45:AY49)</f>
        <v>1</v>
      </c>
      <c r="AZ44" s="1091"/>
    </row>
    <row r="45" spans="2:52" ht="13.15" customHeight="1">
      <c r="B45" s="1118"/>
      <c r="C45" s="1144"/>
      <c r="D45" s="1129" t="str">
        <f>採点Q2!D23</f>
        <v>2.1.2.1 運営・組織体制</v>
      </c>
      <c r="E45" s="433"/>
      <c r="F45" s="433"/>
      <c r="G45" s="433"/>
      <c r="H45" s="1142"/>
      <c r="I45" s="1131">
        <f>採点Q2!E30</f>
        <v>0</v>
      </c>
      <c r="J45" s="1121"/>
      <c r="K45" s="1121"/>
      <c r="L45" s="1121"/>
      <c r="M45" s="1121"/>
      <c r="N45" s="1121"/>
      <c r="O45" s="1122"/>
      <c r="P45" s="1159">
        <f t="shared" si="22"/>
        <v>3</v>
      </c>
      <c r="Q45" s="1124">
        <f t="shared" si="4"/>
        <v>0.33333333333333331</v>
      </c>
      <c r="R45" s="1160"/>
      <c r="S45" s="699"/>
      <c r="T45" s="1091">
        <f>採点Q2!D24</f>
        <v>3</v>
      </c>
      <c r="U45" s="1091"/>
      <c r="V45" s="1091">
        <f t="shared" si="2"/>
        <v>3</v>
      </c>
      <c r="W45" s="699"/>
      <c r="X45" s="1352"/>
      <c r="Y45" s="1352"/>
      <c r="Z45" s="1352"/>
      <c r="AA45" s="1091">
        <v>1</v>
      </c>
      <c r="AB45" s="1091"/>
      <c r="AC45" s="96"/>
      <c r="AD45" s="1116"/>
      <c r="AE45" s="1116"/>
      <c r="AF45" s="1116"/>
      <c r="AG45" s="1091">
        <f t="shared" si="21"/>
        <v>1</v>
      </c>
      <c r="AH45" s="1091">
        <f t="shared" si="21"/>
        <v>0</v>
      </c>
      <c r="AI45" s="96"/>
      <c r="AJ45" s="1116"/>
      <c r="AK45" s="1116"/>
      <c r="AL45" s="1116"/>
      <c r="AM45" s="1091">
        <f>AG45/AG44</f>
        <v>0.33333333333333331</v>
      </c>
      <c r="AN45" s="1091"/>
      <c r="AP45" s="1116"/>
      <c r="AQ45" s="1116"/>
      <c r="AR45" s="1116"/>
      <c r="AS45" s="1091">
        <f>($T45+AT45)*AM45</f>
        <v>1</v>
      </c>
      <c r="AT45" s="1091"/>
      <c r="AV45" s="1116"/>
      <c r="AW45" s="1116"/>
      <c r="AX45" s="1116"/>
      <c r="AY45" s="1091">
        <f t="shared" ref="AY45:AY47" si="25">AM45</f>
        <v>0.33333333333333331</v>
      </c>
      <c r="AZ45" s="1091"/>
    </row>
    <row r="46" spans="2:52" ht="13.15" customHeight="1">
      <c r="B46" s="1118"/>
      <c r="C46" s="1128"/>
      <c r="D46" s="1129" t="str">
        <f>採点Q2!D32</f>
        <v>2.1.2.2 資金力</v>
      </c>
      <c r="E46" s="433"/>
      <c r="F46" s="433"/>
      <c r="G46" s="433"/>
      <c r="H46" s="1142"/>
      <c r="I46" s="1131" t="str">
        <f>採点Q2!D40</f>
        <v>評価する取組</v>
      </c>
      <c r="J46" s="1121"/>
      <c r="K46" s="1146">
        <f>採点Q2!E39</f>
        <v>0</v>
      </c>
      <c r="L46" s="1121"/>
      <c r="M46" s="1121"/>
      <c r="N46" s="1121"/>
      <c r="O46" s="1122"/>
      <c r="P46" s="1159">
        <f t="shared" si="22"/>
        <v>3</v>
      </c>
      <c r="Q46" s="1124">
        <f t="shared" si="4"/>
        <v>0.33333333333333331</v>
      </c>
      <c r="R46" s="1160"/>
      <c r="S46" s="699"/>
      <c r="T46" s="1091">
        <f>採点Q2!D33</f>
        <v>3</v>
      </c>
      <c r="U46" s="1091"/>
      <c r="V46" s="1091">
        <f t="shared" si="2"/>
        <v>3</v>
      </c>
      <c r="W46" s="699"/>
      <c r="X46" s="1352"/>
      <c r="Y46" s="1352"/>
      <c r="Z46" s="1352"/>
      <c r="AA46" s="1091">
        <v>1</v>
      </c>
      <c r="AB46" s="1091"/>
      <c r="AC46" s="96"/>
      <c r="AD46" s="1116"/>
      <c r="AE46" s="1116"/>
      <c r="AF46" s="1116"/>
      <c r="AG46" s="1091">
        <f t="shared" si="21"/>
        <v>1</v>
      </c>
      <c r="AH46" s="1091">
        <f t="shared" si="21"/>
        <v>0</v>
      </c>
      <c r="AI46" s="96"/>
      <c r="AJ46" s="1116"/>
      <c r="AK46" s="1116"/>
      <c r="AL46" s="1116"/>
      <c r="AM46" s="1091">
        <f>AG46/AG44</f>
        <v>0.33333333333333331</v>
      </c>
      <c r="AN46" s="1091"/>
      <c r="AP46" s="1116"/>
      <c r="AQ46" s="1116"/>
      <c r="AR46" s="1116"/>
      <c r="AS46" s="1091">
        <f t="shared" ref="AS46:AS47" si="26">($T46+AT46)*AM46</f>
        <v>1</v>
      </c>
      <c r="AT46" s="1091"/>
      <c r="AV46" s="1116"/>
      <c r="AW46" s="1116"/>
      <c r="AX46" s="1116"/>
      <c r="AY46" s="1091">
        <f t="shared" si="25"/>
        <v>0.33333333333333331</v>
      </c>
      <c r="AZ46" s="1091"/>
    </row>
    <row r="47" spans="2:52" ht="13.15" customHeight="1">
      <c r="B47" s="1118"/>
      <c r="C47" s="1128"/>
      <c r="D47" s="1129" t="str">
        <f>採点Q2!D48</f>
        <v>2.1.2.3 維持管理</v>
      </c>
      <c r="E47" s="433"/>
      <c r="F47" s="433"/>
      <c r="G47" s="433"/>
      <c r="H47" s="1142"/>
      <c r="I47" s="1120"/>
      <c r="J47" s="1121"/>
      <c r="K47" s="1121"/>
      <c r="L47" s="1121"/>
      <c r="M47" s="1121"/>
      <c r="N47" s="1121"/>
      <c r="O47" s="1122"/>
      <c r="P47" s="1159">
        <f t="shared" si="22"/>
        <v>3</v>
      </c>
      <c r="Q47" s="1124">
        <f t="shared" si="4"/>
        <v>0.33333333333333331</v>
      </c>
      <c r="R47" s="1160"/>
      <c r="S47" s="699"/>
      <c r="T47" s="1091"/>
      <c r="U47" s="1091">
        <f>AT47</f>
        <v>3</v>
      </c>
      <c r="V47" s="1091">
        <f t="shared" si="2"/>
        <v>3</v>
      </c>
      <c r="W47" s="699"/>
      <c r="X47" s="1352"/>
      <c r="Y47" s="1352"/>
      <c r="Z47" s="1352"/>
      <c r="AA47" s="1351">
        <v>1</v>
      </c>
      <c r="AB47" s="1091"/>
      <c r="AC47" s="96"/>
      <c r="AD47" s="1116"/>
      <c r="AE47" s="1116"/>
      <c r="AF47" s="1116"/>
      <c r="AG47" s="1106">
        <f>IF(AH47=0,0,AA47)</f>
        <v>1</v>
      </c>
      <c r="AH47" s="1092">
        <f>SUM(AH48:AH49)</f>
        <v>2</v>
      </c>
      <c r="AI47" s="96"/>
      <c r="AJ47" s="1116"/>
      <c r="AK47" s="1116"/>
      <c r="AL47" s="1116"/>
      <c r="AM47" s="1106">
        <f>AG47/AG44</f>
        <v>0.33333333333333331</v>
      </c>
      <c r="AN47" s="1092"/>
      <c r="AP47" s="1116"/>
      <c r="AQ47" s="1116"/>
      <c r="AR47" s="1116"/>
      <c r="AS47" s="1106">
        <f t="shared" si="26"/>
        <v>1</v>
      </c>
      <c r="AT47" s="1092">
        <f>SUM(AT48:AT49)</f>
        <v>3</v>
      </c>
      <c r="AV47" s="1116"/>
      <c r="AW47" s="1116"/>
      <c r="AX47" s="1116"/>
      <c r="AY47" s="1106">
        <f t="shared" si="25"/>
        <v>0.33333333333333331</v>
      </c>
      <c r="AZ47" s="1092">
        <f>SUM(AZ48:AZ49)</f>
        <v>1</v>
      </c>
    </row>
    <row r="48" spans="2:52" ht="13.15" customHeight="1">
      <c r="B48" s="1118"/>
      <c r="C48" s="1128"/>
      <c r="D48" s="1126"/>
      <c r="E48" s="1135" t="str">
        <f>採点Q2!D49</f>
        <v>１) 街区施設等の維持管理</v>
      </c>
      <c r="F48" s="1130"/>
      <c r="G48" s="1130"/>
      <c r="H48" s="1130"/>
      <c r="I48" s="1131">
        <f>採点Q2!E56</f>
        <v>0</v>
      </c>
      <c r="J48" s="1121"/>
      <c r="K48" s="1121"/>
      <c r="L48" s="1121"/>
      <c r="M48" s="1121"/>
      <c r="N48" s="1121"/>
      <c r="O48" s="1122"/>
      <c r="P48" s="1159">
        <f t="shared" si="22"/>
        <v>3</v>
      </c>
      <c r="Q48" s="1124">
        <f t="shared" si="4"/>
        <v>0.5</v>
      </c>
      <c r="R48" s="1160"/>
      <c r="S48" s="699"/>
      <c r="T48" s="1091">
        <f>採点Q2!D50</f>
        <v>3</v>
      </c>
      <c r="U48" s="1091"/>
      <c r="V48" s="1091">
        <f t="shared" si="2"/>
        <v>3</v>
      </c>
      <c r="W48" s="699"/>
      <c r="X48" s="1352"/>
      <c r="Y48" s="1352"/>
      <c r="Z48" s="1352"/>
      <c r="AA48" s="1352"/>
      <c r="AB48" s="1091">
        <v>1</v>
      </c>
      <c r="AC48" s="96"/>
      <c r="AD48" s="1116"/>
      <c r="AE48" s="1116"/>
      <c r="AF48" s="1116"/>
      <c r="AG48" s="1116"/>
      <c r="AH48" s="1091">
        <f t="shared" si="3"/>
        <v>1</v>
      </c>
      <c r="AI48" s="96"/>
      <c r="AJ48" s="1116"/>
      <c r="AK48" s="1116"/>
      <c r="AL48" s="1116"/>
      <c r="AM48" s="1116"/>
      <c r="AN48" s="1091">
        <f>AH48/AH47</f>
        <v>0.5</v>
      </c>
      <c r="AP48" s="1116"/>
      <c r="AQ48" s="1116"/>
      <c r="AR48" s="1116"/>
      <c r="AS48" s="1116"/>
      <c r="AT48" s="1091">
        <f t="shared" ref="AQ48:AT65" si="27">($T48+AU48)*AN48</f>
        <v>1.5</v>
      </c>
      <c r="AV48" s="1116"/>
      <c r="AW48" s="1116"/>
      <c r="AX48" s="1116"/>
      <c r="AY48" s="1116"/>
      <c r="AZ48" s="1091">
        <f t="shared" ref="AZ48" si="28">AN48</f>
        <v>0.5</v>
      </c>
    </row>
    <row r="49" spans="2:52" ht="13.15" customHeight="1">
      <c r="B49" s="1118"/>
      <c r="C49" s="1128"/>
      <c r="D49" s="1126"/>
      <c r="E49" s="1135" t="str">
        <f>採点Q2!D57</f>
        <v>2) グリーンインフラの維持管理</v>
      </c>
      <c r="F49" s="1130"/>
      <c r="G49" s="1130"/>
      <c r="H49" s="1130"/>
      <c r="I49" s="1131">
        <f>採点Q2!E64</f>
        <v>0</v>
      </c>
      <c r="J49" s="1121"/>
      <c r="K49" s="1121"/>
      <c r="L49" s="1121"/>
      <c r="M49" s="1121"/>
      <c r="N49" s="1121"/>
      <c r="O49" s="1122"/>
      <c r="P49" s="1159">
        <f t="shared" si="22"/>
        <v>3</v>
      </c>
      <c r="Q49" s="1124">
        <f>SUM(AJ49:AN49)</f>
        <v>0.5</v>
      </c>
      <c r="R49" s="1161"/>
      <c r="S49" s="699"/>
      <c r="T49" s="1091">
        <f>採点Q2!D58</f>
        <v>3</v>
      </c>
      <c r="U49" s="1091"/>
      <c r="V49" s="1091">
        <f t="shared" si="2"/>
        <v>3</v>
      </c>
      <c r="W49" s="699"/>
      <c r="X49" s="1352"/>
      <c r="Y49" s="1353"/>
      <c r="Z49" s="1353"/>
      <c r="AA49" s="1353"/>
      <c r="AB49" s="1091">
        <v>1</v>
      </c>
      <c r="AC49" s="96"/>
      <c r="AD49" s="1116"/>
      <c r="AE49" s="1132"/>
      <c r="AF49" s="1132"/>
      <c r="AG49" s="1132"/>
      <c r="AH49" s="1091">
        <f t="shared" si="3"/>
        <v>1</v>
      </c>
      <c r="AI49" s="96"/>
      <c r="AJ49" s="1116"/>
      <c r="AK49" s="1132"/>
      <c r="AL49" s="1132"/>
      <c r="AM49" s="1132"/>
      <c r="AN49" s="1091">
        <f>AH49/AH47</f>
        <v>0.5</v>
      </c>
      <c r="AP49" s="1116"/>
      <c r="AQ49" s="1132"/>
      <c r="AR49" s="1132"/>
      <c r="AS49" s="1132"/>
      <c r="AT49" s="1091">
        <f t="shared" si="27"/>
        <v>1.5</v>
      </c>
      <c r="AV49" s="1116"/>
      <c r="AW49" s="1132"/>
      <c r="AX49" s="1132"/>
      <c r="AY49" s="1132"/>
      <c r="AZ49" s="1091">
        <f>AN49</f>
        <v>0.5</v>
      </c>
    </row>
    <row r="50" spans="2:52" ht="13.15" customHeight="1">
      <c r="B50" s="1138" t="str">
        <f>採点Q2!B66</f>
        <v>2.2 生活利便</v>
      </c>
      <c r="C50" s="1139"/>
      <c r="D50" s="786"/>
      <c r="E50" s="786"/>
      <c r="F50" s="786"/>
      <c r="G50" s="786"/>
      <c r="H50" s="786"/>
      <c r="I50" s="1120"/>
      <c r="J50" s="1121"/>
      <c r="K50" s="1121"/>
      <c r="L50" s="1121"/>
      <c r="M50" s="1121"/>
      <c r="N50" s="1121"/>
      <c r="O50" s="1122"/>
      <c r="P50" s="1159"/>
      <c r="Q50" s="1124">
        <f t="shared" si="4"/>
        <v>0.18181818181818182</v>
      </c>
      <c r="R50" s="1115">
        <f>ROUNDDOWN($V50,1)</f>
        <v>3</v>
      </c>
      <c r="S50" s="699"/>
      <c r="T50" s="1091"/>
      <c r="U50" s="1091">
        <f>AR50</f>
        <v>3</v>
      </c>
      <c r="V50" s="1091">
        <f t="shared" si="2"/>
        <v>3</v>
      </c>
      <c r="W50" s="699"/>
      <c r="X50" s="1352"/>
      <c r="Y50" s="1351">
        <v>1</v>
      </c>
      <c r="Z50" s="1091"/>
      <c r="AA50" s="1091"/>
      <c r="AB50" s="1091"/>
      <c r="AC50" s="96"/>
      <c r="AD50" s="1116"/>
      <c r="AE50" s="1106">
        <f>IF(AF50=0,0,Y50)</f>
        <v>1</v>
      </c>
      <c r="AF50" s="1092">
        <f>SUM(AF51:AF54)</f>
        <v>4</v>
      </c>
      <c r="AG50" s="1091"/>
      <c r="AH50" s="1091">
        <f t="shared" si="3"/>
        <v>0</v>
      </c>
      <c r="AI50" s="96"/>
      <c r="AJ50" s="1116"/>
      <c r="AK50" s="1106">
        <f>AE50/AE41</f>
        <v>0.18181818181818182</v>
      </c>
      <c r="AL50" s="1092"/>
      <c r="AM50" s="1091"/>
      <c r="AN50" s="1091"/>
      <c r="AP50" s="1116"/>
      <c r="AQ50" s="1106">
        <f t="shared" ref="AQ50" si="29">($T50+AR50)*AK50</f>
        <v>0.54545454545454541</v>
      </c>
      <c r="AR50" s="1092">
        <f>SUM(AR51:AR54)</f>
        <v>3</v>
      </c>
      <c r="AS50" s="1091"/>
      <c r="AT50" s="1091"/>
      <c r="AV50" s="1116"/>
      <c r="AW50" s="1106">
        <f>AK50</f>
        <v>0.18181818181818182</v>
      </c>
      <c r="AX50" s="1092">
        <f>SUM(AX51:AX54)</f>
        <v>1</v>
      </c>
      <c r="AY50" s="1091"/>
      <c r="AZ50" s="1091"/>
    </row>
    <row r="51" spans="2:52" ht="13.15" customHeight="1">
      <c r="B51" s="1118"/>
      <c r="C51" s="1129" t="str">
        <f>採点Q2!C67</f>
        <v>2.2.1 商業施設</v>
      </c>
      <c r="D51" s="473"/>
      <c r="E51" s="786"/>
      <c r="F51" s="786"/>
      <c r="G51" s="786"/>
      <c r="H51" s="1142"/>
      <c r="I51" s="1131">
        <f>採点Q2!E74</f>
        <v>0</v>
      </c>
      <c r="J51" s="1121"/>
      <c r="K51" s="1121"/>
      <c r="L51" s="1121"/>
      <c r="M51" s="1121"/>
      <c r="N51" s="1121"/>
      <c r="O51" s="1122"/>
      <c r="P51" s="1159">
        <f t="shared" ref="P51:P54" si="30">ROUNDDOWN($V51,1)</f>
        <v>3</v>
      </c>
      <c r="Q51" s="1124">
        <f t="shared" si="4"/>
        <v>0.25</v>
      </c>
      <c r="R51" s="1160"/>
      <c r="S51" s="699"/>
      <c r="T51" s="1091">
        <f>採点Q2!D68</f>
        <v>3</v>
      </c>
      <c r="U51" s="1091"/>
      <c r="V51" s="1091">
        <f t="shared" si="2"/>
        <v>3</v>
      </c>
      <c r="W51" s="699"/>
      <c r="X51" s="1352"/>
      <c r="Y51" s="1352"/>
      <c r="Z51" s="1091">
        <v>1</v>
      </c>
      <c r="AA51" s="1091"/>
      <c r="AB51" s="1091"/>
      <c r="AC51" s="96"/>
      <c r="AD51" s="1116"/>
      <c r="AE51" s="1116"/>
      <c r="AF51" s="1091">
        <f t="shared" ref="AF51:AF54" si="31">IF($T51=0,0,1)*Z51</f>
        <v>1</v>
      </c>
      <c r="AG51" s="1091">
        <f t="shared" ref="AG51:AG54" si="32">IF($T51=0,0,1)*AA51</f>
        <v>0</v>
      </c>
      <c r="AH51" s="1091">
        <f t="shared" si="3"/>
        <v>0</v>
      </c>
      <c r="AI51" s="96"/>
      <c r="AJ51" s="1116"/>
      <c r="AK51" s="1116"/>
      <c r="AL51" s="1091">
        <f>AF51/AF50</f>
        <v>0.25</v>
      </c>
      <c r="AM51" s="1091"/>
      <c r="AN51" s="1091"/>
      <c r="AP51" s="1116"/>
      <c r="AQ51" s="1116"/>
      <c r="AR51" s="1091">
        <f t="shared" si="27"/>
        <v>0.75</v>
      </c>
      <c r="AS51" s="1091"/>
      <c r="AT51" s="1091"/>
      <c r="AV51" s="1116"/>
      <c r="AW51" s="1116"/>
      <c r="AX51" s="1091">
        <f t="shared" ref="AX51:AX54" si="33">AL51</f>
        <v>0.25</v>
      </c>
      <c r="AY51" s="1091"/>
      <c r="AZ51" s="1091"/>
    </row>
    <row r="52" spans="2:52" ht="13.15" customHeight="1">
      <c r="B52" s="1118"/>
      <c r="C52" s="1129" t="str">
        <f>採点Q2!C76</f>
        <v>2.2.2 公共交通施設</v>
      </c>
      <c r="D52" s="473"/>
      <c r="E52" s="786"/>
      <c r="F52" s="786"/>
      <c r="G52" s="786"/>
      <c r="H52" s="1142"/>
      <c r="I52" s="1131">
        <f>採点Q2!E83</f>
        <v>0</v>
      </c>
      <c r="J52" s="1121"/>
      <c r="K52" s="1121"/>
      <c r="L52" s="1121"/>
      <c r="M52" s="1121"/>
      <c r="N52" s="1121"/>
      <c r="O52" s="1122"/>
      <c r="P52" s="1159">
        <f t="shared" si="30"/>
        <v>3</v>
      </c>
      <c r="Q52" s="1124">
        <f t="shared" si="4"/>
        <v>0.25</v>
      </c>
      <c r="R52" s="1160"/>
      <c r="S52" s="699"/>
      <c r="T52" s="1091">
        <f>採点Q2!D77</f>
        <v>3</v>
      </c>
      <c r="U52" s="1091"/>
      <c r="V52" s="1091">
        <f t="shared" si="2"/>
        <v>3</v>
      </c>
      <c r="W52" s="699"/>
      <c r="X52" s="1352"/>
      <c r="Y52" s="1352"/>
      <c r="Z52" s="1091">
        <v>1</v>
      </c>
      <c r="AA52" s="1091"/>
      <c r="AB52" s="1091"/>
      <c r="AC52" s="96"/>
      <c r="AD52" s="1116"/>
      <c r="AE52" s="1116"/>
      <c r="AF52" s="1091">
        <f t="shared" si="31"/>
        <v>1</v>
      </c>
      <c r="AG52" s="1091">
        <f t="shared" si="32"/>
        <v>0</v>
      </c>
      <c r="AH52" s="1091">
        <f t="shared" si="3"/>
        <v>0</v>
      </c>
      <c r="AI52" s="96"/>
      <c r="AJ52" s="1116"/>
      <c r="AK52" s="1116"/>
      <c r="AL52" s="1091">
        <f>AF52/AF50</f>
        <v>0.25</v>
      </c>
      <c r="AM52" s="1091"/>
      <c r="AN52" s="1091"/>
      <c r="AP52" s="1116"/>
      <c r="AQ52" s="1116"/>
      <c r="AR52" s="1091">
        <f t="shared" si="27"/>
        <v>0.75</v>
      </c>
      <c r="AS52" s="1091"/>
      <c r="AT52" s="1091"/>
      <c r="AV52" s="1116"/>
      <c r="AW52" s="1116"/>
      <c r="AX52" s="1091">
        <f t="shared" si="33"/>
        <v>0.25</v>
      </c>
      <c r="AY52" s="1091"/>
      <c r="AZ52" s="1091"/>
    </row>
    <row r="53" spans="2:52" ht="13.15" customHeight="1">
      <c r="B53" s="1118"/>
      <c r="C53" s="1129" t="str">
        <f>採点Q2!C85</f>
        <v>2.2.3 教育施設</v>
      </c>
      <c r="D53" s="473"/>
      <c r="E53" s="786"/>
      <c r="F53" s="786"/>
      <c r="G53" s="786"/>
      <c r="H53" s="1142"/>
      <c r="I53" s="1131">
        <f>採点Q2!E92</f>
        <v>0</v>
      </c>
      <c r="J53" s="1121"/>
      <c r="K53" s="1121"/>
      <c r="L53" s="1121"/>
      <c r="M53" s="1121"/>
      <c r="N53" s="1121"/>
      <c r="O53" s="1122"/>
      <c r="P53" s="1159">
        <f t="shared" si="30"/>
        <v>3</v>
      </c>
      <c r="Q53" s="1124">
        <f t="shared" si="4"/>
        <v>0.25</v>
      </c>
      <c r="R53" s="1160"/>
      <c r="S53" s="699"/>
      <c r="T53" s="1091">
        <f>採点Q2!D86</f>
        <v>3</v>
      </c>
      <c r="U53" s="1091"/>
      <c r="V53" s="1091">
        <f t="shared" si="2"/>
        <v>3</v>
      </c>
      <c r="W53" s="699"/>
      <c r="X53" s="1352"/>
      <c r="Y53" s="1352"/>
      <c r="Z53" s="1091">
        <v>1</v>
      </c>
      <c r="AA53" s="1091"/>
      <c r="AB53" s="1091"/>
      <c r="AC53" s="96"/>
      <c r="AD53" s="1116"/>
      <c r="AE53" s="1116"/>
      <c r="AF53" s="1091">
        <f t="shared" si="31"/>
        <v>1</v>
      </c>
      <c r="AG53" s="1091">
        <f t="shared" si="32"/>
        <v>0</v>
      </c>
      <c r="AH53" s="1091">
        <f t="shared" si="3"/>
        <v>0</v>
      </c>
      <c r="AI53" s="96"/>
      <c r="AJ53" s="1116"/>
      <c r="AK53" s="1116"/>
      <c r="AL53" s="1106">
        <f>AF53/AF50</f>
        <v>0.25</v>
      </c>
      <c r="AM53" s="1091"/>
      <c r="AN53" s="1091"/>
      <c r="AP53" s="1116"/>
      <c r="AQ53" s="1116"/>
      <c r="AR53" s="1106">
        <f t="shared" si="27"/>
        <v>0.75</v>
      </c>
      <c r="AS53" s="1091"/>
      <c r="AT53" s="1091"/>
      <c r="AV53" s="1116"/>
      <c r="AW53" s="1116"/>
      <c r="AX53" s="1106">
        <f t="shared" si="33"/>
        <v>0.25</v>
      </c>
      <c r="AY53" s="1091"/>
      <c r="AZ53" s="1091"/>
    </row>
    <row r="54" spans="2:52" ht="13.15" customHeight="1">
      <c r="B54" s="1118"/>
      <c r="C54" s="1129" t="str">
        <f>採点Q2!C94</f>
        <v>2.2.4 行政施設</v>
      </c>
      <c r="D54" s="473"/>
      <c r="E54" s="786"/>
      <c r="F54" s="786"/>
      <c r="G54" s="786"/>
      <c r="H54" s="1142"/>
      <c r="I54" s="1131">
        <f>採点Q2!E101</f>
        <v>0</v>
      </c>
      <c r="J54" s="1121"/>
      <c r="K54" s="1121"/>
      <c r="L54" s="1121"/>
      <c r="M54" s="1121"/>
      <c r="N54" s="1121"/>
      <c r="O54" s="1122"/>
      <c r="P54" s="1159">
        <f t="shared" si="30"/>
        <v>3</v>
      </c>
      <c r="Q54" s="1124">
        <f t="shared" si="4"/>
        <v>0.25</v>
      </c>
      <c r="R54" s="1161"/>
      <c r="S54" s="699"/>
      <c r="T54" s="1091">
        <f>採点Q2!D95</f>
        <v>3</v>
      </c>
      <c r="U54" s="1091"/>
      <c r="V54" s="1091">
        <f t="shared" si="2"/>
        <v>3</v>
      </c>
      <c r="W54" s="699"/>
      <c r="X54" s="1352"/>
      <c r="Y54" s="1353"/>
      <c r="Z54" s="1091">
        <v>1</v>
      </c>
      <c r="AA54" s="1091"/>
      <c r="AB54" s="1091"/>
      <c r="AC54" s="96"/>
      <c r="AD54" s="1116"/>
      <c r="AE54" s="1132"/>
      <c r="AF54" s="1091">
        <f t="shared" si="31"/>
        <v>1</v>
      </c>
      <c r="AG54" s="1091">
        <f t="shared" si="32"/>
        <v>0</v>
      </c>
      <c r="AH54" s="1091">
        <f t="shared" si="3"/>
        <v>0</v>
      </c>
      <c r="AI54" s="96"/>
      <c r="AJ54" s="1116"/>
      <c r="AK54" s="1132"/>
      <c r="AL54" s="1106">
        <f>AF54/AF50</f>
        <v>0.25</v>
      </c>
      <c r="AM54" s="1091"/>
      <c r="AN54" s="1091"/>
      <c r="AP54" s="1116"/>
      <c r="AQ54" s="1132"/>
      <c r="AR54" s="1106">
        <f t="shared" si="27"/>
        <v>0.75</v>
      </c>
      <c r="AS54" s="1091"/>
      <c r="AT54" s="1091"/>
      <c r="AV54" s="1116"/>
      <c r="AW54" s="1132"/>
      <c r="AX54" s="1106">
        <f t="shared" si="33"/>
        <v>0.25</v>
      </c>
      <c r="AY54" s="1091"/>
      <c r="AZ54" s="1091"/>
    </row>
    <row r="55" spans="2:52" ht="13.15" customHeight="1">
      <c r="B55" s="1138" t="str">
        <f>採点Q2!B103</f>
        <v>2.3 健康福祉</v>
      </c>
      <c r="C55" s="1139"/>
      <c r="D55" s="786"/>
      <c r="E55" s="786"/>
      <c r="F55" s="786"/>
      <c r="G55" s="786"/>
      <c r="H55" s="786"/>
      <c r="I55" s="1120"/>
      <c r="J55" s="1121"/>
      <c r="K55" s="1121"/>
      <c r="L55" s="1121"/>
      <c r="M55" s="1121"/>
      <c r="N55" s="1121"/>
      <c r="O55" s="1122"/>
      <c r="P55" s="1159"/>
      <c r="Q55" s="1124">
        <f t="shared" si="4"/>
        <v>0.18181818181818182</v>
      </c>
      <c r="R55" s="1115">
        <f>ROUNDDOWN($V55,1)</f>
        <v>3</v>
      </c>
      <c r="S55" s="699"/>
      <c r="T55" s="1091"/>
      <c r="U55" s="1091">
        <f>AR55</f>
        <v>3</v>
      </c>
      <c r="V55" s="1091">
        <f t="shared" si="2"/>
        <v>3</v>
      </c>
      <c r="W55" s="699"/>
      <c r="X55" s="1352"/>
      <c r="Y55" s="1351">
        <v>1</v>
      </c>
      <c r="Z55" s="1091"/>
      <c r="AA55" s="1091"/>
      <c r="AB55" s="1091"/>
      <c r="AC55" s="96"/>
      <c r="AD55" s="1116"/>
      <c r="AE55" s="1106">
        <f>IF(AF55=0,0,Y55)</f>
        <v>1</v>
      </c>
      <c r="AF55" s="1092">
        <f>SUM(AF56:AF59)</f>
        <v>4</v>
      </c>
      <c r="AG55" s="1091"/>
      <c r="AH55" s="1091">
        <f t="shared" ref="AH55:AH59" si="34">IF($T55=0,0,1)*AB55</f>
        <v>0</v>
      </c>
      <c r="AI55" s="96"/>
      <c r="AJ55" s="1116"/>
      <c r="AK55" s="1106">
        <f>AE55/AE41</f>
        <v>0.18181818181818182</v>
      </c>
      <c r="AL55" s="1092"/>
      <c r="AM55" s="1091"/>
      <c r="AN55" s="1091"/>
      <c r="AP55" s="1116"/>
      <c r="AQ55" s="1106">
        <f t="shared" si="27"/>
        <v>0.54545454545454541</v>
      </c>
      <c r="AR55" s="1092">
        <f>SUM(AR56:AR59)</f>
        <v>3</v>
      </c>
      <c r="AS55" s="1091"/>
      <c r="AT55" s="1091"/>
      <c r="AV55" s="1116"/>
      <c r="AW55" s="1106">
        <f>AK55</f>
        <v>0.18181818181818182</v>
      </c>
      <c r="AX55" s="1092">
        <f>SUM(AX56:AX59)</f>
        <v>1</v>
      </c>
      <c r="AY55" s="1091"/>
      <c r="AZ55" s="1091"/>
    </row>
    <row r="56" spans="2:52" ht="13.15" customHeight="1">
      <c r="B56" s="1118"/>
      <c r="C56" s="1129" t="str">
        <f>採点Q2!C104</f>
        <v>2.3.1 健康増進施設</v>
      </c>
      <c r="D56" s="473"/>
      <c r="E56" s="786"/>
      <c r="F56" s="786"/>
      <c r="G56" s="786"/>
      <c r="H56" s="1142"/>
      <c r="I56" s="1131">
        <f>採点Q2!E111</f>
        <v>0</v>
      </c>
      <c r="J56" s="1121"/>
      <c r="K56" s="1121"/>
      <c r="L56" s="1121"/>
      <c r="M56" s="1121"/>
      <c r="N56" s="1121"/>
      <c r="O56" s="1122"/>
      <c r="P56" s="1159">
        <f t="shared" ref="P56:P59" si="35">ROUNDDOWN($V56,1)</f>
        <v>3</v>
      </c>
      <c r="Q56" s="1124">
        <f t="shared" si="4"/>
        <v>0.25</v>
      </c>
      <c r="R56" s="1160"/>
      <c r="S56" s="699"/>
      <c r="T56" s="1091">
        <f>採点Q2!D105</f>
        <v>3</v>
      </c>
      <c r="U56" s="1091"/>
      <c r="V56" s="1091">
        <f t="shared" si="2"/>
        <v>3</v>
      </c>
      <c r="W56" s="699"/>
      <c r="X56" s="1352"/>
      <c r="Y56" s="1352"/>
      <c r="Z56" s="1091">
        <v>1</v>
      </c>
      <c r="AA56" s="1091"/>
      <c r="AB56" s="1091"/>
      <c r="AC56" s="96"/>
      <c r="AD56" s="1116"/>
      <c r="AE56" s="1116"/>
      <c r="AF56" s="1091">
        <f t="shared" ref="AF56:AF59" si="36">IF($T56=0,0,1)*Z56</f>
        <v>1</v>
      </c>
      <c r="AG56" s="1091">
        <f t="shared" ref="AF56:AG67" si="37">IF($T56=0,0,1)*AA56</f>
        <v>0</v>
      </c>
      <c r="AH56" s="1091">
        <f t="shared" si="34"/>
        <v>0</v>
      </c>
      <c r="AI56" s="96"/>
      <c r="AJ56" s="1116"/>
      <c r="AK56" s="1116"/>
      <c r="AL56" s="1091">
        <f>AF56/AF55</f>
        <v>0.25</v>
      </c>
      <c r="AM56" s="1091"/>
      <c r="AN56" s="1091"/>
      <c r="AP56" s="1116"/>
      <c r="AQ56" s="1116"/>
      <c r="AR56" s="1091">
        <f t="shared" si="27"/>
        <v>0.75</v>
      </c>
      <c r="AS56" s="1091"/>
      <c r="AT56" s="1091"/>
      <c r="AV56" s="1116"/>
      <c r="AW56" s="1116"/>
      <c r="AX56" s="1091">
        <f t="shared" ref="AX56:AX59" si="38">AL56</f>
        <v>0.25</v>
      </c>
      <c r="AY56" s="1091"/>
      <c r="AZ56" s="1091"/>
    </row>
    <row r="57" spans="2:52" ht="13.15" customHeight="1">
      <c r="B57" s="1118"/>
      <c r="C57" s="1129" t="str">
        <f>採点Q2!C113</f>
        <v>2.3.2 福祉施設</v>
      </c>
      <c r="D57" s="473"/>
      <c r="E57" s="786"/>
      <c r="F57" s="786"/>
      <c r="G57" s="786"/>
      <c r="H57" s="1142"/>
      <c r="I57" s="1131">
        <f>採点Q2!E120</f>
        <v>0</v>
      </c>
      <c r="J57" s="1121"/>
      <c r="K57" s="1121"/>
      <c r="L57" s="1121"/>
      <c r="M57" s="1121"/>
      <c r="N57" s="1121"/>
      <c r="O57" s="1122"/>
      <c r="P57" s="1159">
        <f t="shared" si="35"/>
        <v>3</v>
      </c>
      <c r="Q57" s="1124">
        <f t="shared" si="4"/>
        <v>0.25</v>
      </c>
      <c r="R57" s="1160"/>
      <c r="S57" s="699"/>
      <c r="T57" s="1091">
        <f>採点Q2!D114</f>
        <v>3</v>
      </c>
      <c r="U57" s="1091"/>
      <c r="V57" s="1091">
        <f t="shared" si="2"/>
        <v>3</v>
      </c>
      <c r="W57" s="699"/>
      <c r="X57" s="1352"/>
      <c r="Y57" s="1352"/>
      <c r="Z57" s="1091">
        <v>1</v>
      </c>
      <c r="AA57" s="1091"/>
      <c r="AB57" s="1091"/>
      <c r="AC57" s="96"/>
      <c r="AD57" s="1116"/>
      <c r="AE57" s="1116"/>
      <c r="AF57" s="1091">
        <f t="shared" si="36"/>
        <v>1</v>
      </c>
      <c r="AG57" s="1091">
        <f t="shared" si="37"/>
        <v>0</v>
      </c>
      <c r="AH57" s="1091">
        <f t="shared" si="34"/>
        <v>0</v>
      </c>
      <c r="AI57" s="96"/>
      <c r="AJ57" s="1116"/>
      <c r="AK57" s="1116"/>
      <c r="AL57" s="1091">
        <f>AF57/AF55</f>
        <v>0.25</v>
      </c>
      <c r="AM57" s="1091"/>
      <c r="AN57" s="1091"/>
      <c r="AP57" s="1116"/>
      <c r="AQ57" s="1116"/>
      <c r="AR57" s="1091">
        <f t="shared" si="27"/>
        <v>0.75</v>
      </c>
      <c r="AS57" s="1091"/>
      <c r="AT57" s="1091"/>
      <c r="AV57" s="1116"/>
      <c r="AW57" s="1116"/>
      <c r="AX57" s="1091">
        <f t="shared" si="38"/>
        <v>0.25</v>
      </c>
      <c r="AY57" s="1091"/>
      <c r="AZ57" s="1091"/>
    </row>
    <row r="58" spans="2:52" ht="13.15" customHeight="1">
      <c r="B58" s="1118"/>
      <c r="C58" s="1129" t="str">
        <f>採点Q2!C122</f>
        <v>2.3.3 医療施設</v>
      </c>
      <c r="D58" s="473"/>
      <c r="E58" s="786"/>
      <c r="F58" s="786"/>
      <c r="G58" s="786"/>
      <c r="H58" s="1142"/>
      <c r="I58" s="1131">
        <f>採点Q2!E129</f>
        <v>0</v>
      </c>
      <c r="J58" s="1121"/>
      <c r="K58" s="1121"/>
      <c r="L58" s="1121"/>
      <c r="M58" s="1121"/>
      <c r="N58" s="1121"/>
      <c r="O58" s="1122"/>
      <c r="P58" s="1159">
        <f t="shared" si="35"/>
        <v>3</v>
      </c>
      <c r="Q58" s="1124">
        <f t="shared" si="4"/>
        <v>0.25</v>
      </c>
      <c r="R58" s="1160"/>
      <c r="S58" s="699"/>
      <c r="T58" s="1091">
        <f>採点Q2!D123</f>
        <v>3</v>
      </c>
      <c r="U58" s="1091"/>
      <c r="V58" s="1091">
        <f t="shared" si="2"/>
        <v>3</v>
      </c>
      <c r="W58" s="699"/>
      <c r="X58" s="1352"/>
      <c r="Y58" s="1352"/>
      <c r="Z58" s="1091">
        <v>1</v>
      </c>
      <c r="AA58" s="1091"/>
      <c r="AB58" s="1091"/>
      <c r="AC58" s="96"/>
      <c r="AD58" s="1116"/>
      <c r="AE58" s="1116"/>
      <c r="AF58" s="1091">
        <f t="shared" si="36"/>
        <v>1</v>
      </c>
      <c r="AG58" s="1091">
        <f t="shared" si="37"/>
        <v>0</v>
      </c>
      <c r="AH58" s="1091">
        <f t="shared" si="34"/>
        <v>0</v>
      </c>
      <c r="AI58" s="96"/>
      <c r="AJ58" s="1116"/>
      <c r="AK58" s="1116"/>
      <c r="AL58" s="1106">
        <f>AF58/AF55</f>
        <v>0.25</v>
      </c>
      <c r="AM58" s="1091"/>
      <c r="AN58" s="1091"/>
      <c r="AP58" s="1116"/>
      <c r="AQ58" s="1116"/>
      <c r="AR58" s="1106">
        <f t="shared" si="27"/>
        <v>0.75</v>
      </c>
      <c r="AS58" s="1091"/>
      <c r="AT58" s="1091"/>
      <c r="AV58" s="1116"/>
      <c r="AW58" s="1116"/>
      <c r="AX58" s="1106">
        <f t="shared" si="38"/>
        <v>0.25</v>
      </c>
      <c r="AY58" s="1091"/>
      <c r="AZ58" s="1091"/>
    </row>
    <row r="59" spans="2:52" ht="13.15" customHeight="1">
      <c r="B59" s="1118"/>
      <c r="C59" s="1129" t="str">
        <f>採点Q2!C131</f>
        <v>2.3.4 コミュニティ施設</v>
      </c>
      <c r="D59" s="473"/>
      <c r="E59" s="786"/>
      <c r="F59" s="786"/>
      <c r="G59" s="786"/>
      <c r="H59" s="1142"/>
      <c r="I59" s="1131">
        <f>採点Q2!E138</f>
        <v>0</v>
      </c>
      <c r="J59" s="1121"/>
      <c r="K59" s="1121"/>
      <c r="L59" s="1121"/>
      <c r="M59" s="1121"/>
      <c r="N59" s="1121"/>
      <c r="O59" s="1122"/>
      <c r="P59" s="1159">
        <f t="shared" si="35"/>
        <v>3</v>
      </c>
      <c r="Q59" s="1124">
        <f t="shared" si="4"/>
        <v>0.25</v>
      </c>
      <c r="R59" s="1161"/>
      <c r="S59" s="699"/>
      <c r="T59" s="1091">
        <f>採点Q2!D132</f>
        <v>3</v>
      </c>
      <c r="U59" s="1091"/>
      <c r="V59" s="1091">
        <f t="shared" si="2"/>
        <v>3</v>
      </c>
      <c r="W59" s="699"/>
      <c r="X59" s="1352"/>
      <c r="Y59" s="1353"/>
      <c r="Z59" s="1091">
        <v>1</v>
      </c>
      <c r="AA59" s="1091"/>
      <c r="AB59" s="1091"/>
      <c r="AC59" s="96"/>
      <c r="AD59" s="1116"/>
      <c r="AE59" s="1132"/>
      <c r="AF59" s="1091">
        <f t="shared" si="36"/>
        <v>1</v>
      </c>
      <c r="AG59" s="1091">
        <f t="shared" si="37"/>
        <v>0</v>
      </c>
      <c r="AH59" s="1091">
        <f t="shared" si="34"/>
        <v>0</v>
      </c>
      <c r="AI59" s="96"/>
      <c r="AJ59" s="1116"/>
      <c r="AK59" s="1132"/>
      <c r="AL59" s="1106">
        <f>AF59/AF55</f>
        <v>0.25</v>
      </c>
      <c r="AM59" s="1091"/>
      <c r="AN59" s="1091"/>
      <c r="AP59" s="1116"/>
      <c r="AQ59" s="1132"/>
      <c r="AR59" s="1106">
        <f t="shared" si="27"/>
        <v>0.75</v>
      </c>
      <c r="AS59" s="1091"/>
      <c r="AT59" s="1091"/>
      <c r="AV59" s="1116"/>
      <c r="AW59" s="1132"/>
      <c r="AX59" s="1106">
        <f t="shared" si="38"/>
        <v>0.25</v>
      </c>
      <c r="AY59" s="1091"/>
      <c r="AZ59" s="1091"/>
    </row>
    <row r="60" spans="2:52" ht="13.15" customHeight="1">
      <c r="B60" s="1138" t="str">
        <f>採点Q2!B140</f>
        <v>2.4 安全安心</v>
      </c>
      <c r="C60" s="1139"/>
      <c r="D60" s="786"/>
      <c r="E60" s="786"/>
      <c r="F60" s="786"/>
      <c r="G60" s="786"/>
      <c r="H60" s="786"/>
      <c r="I60" s="1120"/>
      <c r="J60" s="1121"/>
      <c r="K60" s="1121"/>
      <c r="L60" s="1121"/>
      <c r="M60" s="1121"/>
      <c r="N60" s="1121"/>
      <c r="O60" s="1122"/>
      <c r="P60" s="1159"/>
      <c r="Q60" s="1124">
        <f t="shared" si="4"/>
        <v>0.18181818181818182</v>
      </c>
      <c r="R60" s="1115">
        <f>ROUNDDOWN($V60,1)</f>
        <v>3</v>
      </c>
      <c r="S60" s="699"/>
      <c r="T60" s="1091"/>
      <c r="U60" s="1091">
        <f>AR60</f>
        <v>3</v>
      </c>
      <c r="V60" s="1091">
        <f t="shared" si="2"/>
        <v>3</v>
      </c>
      <c r="W60" s="699"/>
      <c r="X60" s="1352"/>
      <c r="Y60" s="1351">
        <v>1</v>
      </c>
      <c r="Z60" s="1091"/>
      <c r="AA60" s="1091"/>
      <c r="AB60" s="1091"/>
      <c r="AC60" s="96"/>
      <c r="AD60" s="1116"/>
      <c r="AE60" s="1106">
        <f>IF(AF60=0,0,Y60)</f>
        <v>1</v>
      </c>
      <c r="AF60" s="1092">
        <f>SUM(AF61:AF67)</f>
        <v>4</v>
      </c>
      <c r="AG60" s="1091"/>
      <c r="AH60" s="1091">
        <f t="shared" si="3"/>
        <v>0</v>
      </c>
      <c r="AI60" s="96"/>
      <c r="AJ60" s="1116"/>
      <c r="AK60" s="1106">
        <f>AE60/AE41</f>
        <v>0.18181818181818182</v>
      </c>
      <c r="AL60" s="1092"/>
      <c r="AM60" s="1091"/>
      <c r="AN60" s="1091"/>
      <c r="AP60" s="1116"/>
      <c r="AQ60" s="1106">
        <f t="shared" si="27"/>
        <v>0.54545454545454541</v>
      </c>
      <c r="AR60" s="1092">
        <f>SUM(AR61:AR67)</f>
        <v>3</v>
      </c>
      <c r="AS60" s="1091"/>
      <c r="AT60" s="1091"/>
      <c r="AV60" s="1116"/>
      <c r="AW60" s="1106">
        <f>AK60</f>
        <v>0.18181818181818182</v>
      </c>
      <c r="AX60" s="1092">
        <f>SUM(AX61:AX67)</f>
        <v>1</v>
      </c>
      <c r="AY60" s="1091"/>
      <c r="AZ60" s="1091"/>
    </row>
    <row r="61" spans="2:52" ht="13.15" customHeight="1">
      <c r="B61" s="1118"/>
      <c r="C61" s="1119" t="str">
        <f>採点Q2!C141</f>
        <v>2.4.1 防災基本性能</v>
      </c>
      <c r="D61" s="473"/>
      <c r="E61" s="786"/>
      <c r="F61" s="786"/>
      <c r="G61" s="786"/>
      <c r="H61" s="1142"/>
      <c r="I61" s="1120"/>
      <c r="J61" s="1121"/>
      <c r="K61" s="1121"/>
      <c r="L61" s="1121"/>
      <c r="M61" s="1121"/>
      <c r="N61" s="1121"/>
      <c r="O61" s="1122"/>
      <c r="P61" s="1159">
        <f t="shared" ref="P61:P67" si="39">ROUNDDOWN($V61,1)</f>
        <v>3</v>
      </c>
      <c r="Q61" s="1124">
        <f t="shared" si="4"/>
        <v>0.25</v>
      </c>
      <c r="R61" s="1160"/>
      <c r="S61" s="699"/>
      <c r="T61" s="1091"/>
      <c r="U61" s="1091">
        <f>AS61</f>
        <v>3</v>
      </c>
      <c r="V61" s="1091">
        <f t="shared" si="2"/>
        <v>3</v>
      </c>
      <c r="W61" s="699"/>
      <c r="X61" s="1352"/>
      <c r="Y61" s="1352"/>
      <c r="Z61" s="1351">
        <v>1</v>
      </c>
      <c r="AA61" s="1091"/>
      <c r="AB61" s="1091"/>
      <c r="AC61" s="96"/>
      <c r="AD61" s="1116"/>
      <c r="AE61" s="1116"/>
      <c r="AF61" s="1106">
        <f>IF(AG61=0,0,Z61)</f>
        <v>1</v>
      </c>
      <c r="AG61" s="1092">
        <f>SUM(AG62:AG64)</f>
        <v>3</v>
      </c>
      <c r="AH61" s="1091"/>
      <c r="AI61" s="96"/>
      <c r="AJ61" s="1116"/>
      <c r="AK61" s="1116"/>
      <c r="AL61" s="1106">
        <f>AF61/AF60</f>
        <v>0.25</v>
      </c>
      <c r="AM61" s="1092"/>
      <c r="AN61" s="1091"/>
      <c r="AP61" s="1116"/>
      <c r="AQ61" s="1116"/>
      <c r="AR61" s="1106">
        <f t="shared" si="27"/>
        <v>0.75</v>
      </c>
      <c r="AS61" s="1092">
        <f>SUM(AS62:AS64)</f>
        <v>3</v>
      </c>
      <c r="AT61" s="1091"/>
      <c r="AV61" s="1116"/>
      <c r="AW61" s="1116"/>
      <c r="AX61" s="1106">
        <f>AL61</f>
        <v>0.25</v>
      </c>
      <c r="AY61" s="1092">
        <f>SUM(AY62:AY64)</f>
        <v>1</v>
      </c>
      <c r="AZ61" s="1091"/>
    </row>
    <row r="62" spans="2:52" ht="13.15" customHeight="1">
      <c r="B62" s="1118"/>
      <c r="C62" s="1144"/>
      <c r="D62" s="1129" t="str">
        <f>採点Q2!D142</f>
        <v>2.4.1.1 災害への対応</v>
      </c>
      <c r="E62" s="433"/>
      <c r="F62" s="433"/>
      <c r="G62" s="433"/>
      <c r="H62" s="1142"/>
      <c r="I62" s="1131">
        <f>採点Q2!E149</f>
        <v>0</v>
      </c>
      <c r="J62" s="1121"/>
      <c r="K62" s="1121"/>
      <c r="L62" s="1121"/>
      <c r="M62" s="1121"/>
      <c r="N62" s="1121"/>
      <c r="O62" s="1122"/>
      <c r="P62" s="1159">
        <f t="shared" si="39"/>
        <v>3</v>
      </c>
      <c r="Q62" s="1124">
        <f t="shared" si="4"/>
        <v>0.33333333333333331</v>
      </c>
      <c r="R62" s="1160"/>
      <c r="S62" s="699"/>
      <c r="T62" s="1091">
        <f>採点Q2!D143</f>
        <v>3</v>
      </c>
      <c r="U62" s="1091"/>
      <c r="V62" s="1091">
        <f t="shared" si="2"/>
        <v>3</v>
      </c>
      <c r="W62" s="699"/>
      <c r="X62" s="1352"/>
      <c r="Y62" s="1352"/>
      <c r="Z62" s="1352"/>
      <c r="AA62" s="1091">
        <v>1</v>
      </c>
      <c r="AB62" s="1091"/>
      <c r="AC62" s="96"/>
      <c r="AD62" s="1116"/>
      <c r="AE62" s="1116"/>
      <c r="AF62" s="1116"/>
      <c r="AG62" s="1091">
        <f t="shared" si="37"/>
        <v>1</v>
      </c>
      <c r="AH62" s="1091">
        <f t="shared" si="3"/>
        <v>0</v>
      </c>
      <c r="AI62" s="96"/>
      <c r="AJ62" s="1116"/>
      <c r="AK62" s="1116"/>
      <c r="AL62" s="1116"/>
      <c r="AM62" s="1091">
        <f>AG62/AG61</f>
        <v>0.33333333333333331</v>
      </c>
      <c r="AN62" s="1091"/>
      <c r="AP62" s="1116"/>
      <c r="AQ62" s="1116"/>
      <c r="AR62" s="1116"/>
      <c r="AS62" s="1091">
        <f t="shared" si="27"/>
        <v>1</v>
      </c>
      <c r="AT62" s="1091"/>
      <c r="AV62" s="1116"/>
      <c r="AW62" s="1116"/>
      <c r="AX62" s="1116"/>
      <c r="AY62" s="1091">
        <f t="shared" ref="AY62:AY64" si="40">AM62</f>
        <v>0.33333333333333331</v>
      </c>
      <c r="AZ62" s="1091"/>
    </row>
    <row r="63" spans="2:52" ht="13.15" customHeight="1">
      <c r="B63" s="1118"/>
      <c r="C63" s="1128"/>
      <c r="D63" s="1129" t="str">
        <f>採点Q2!D151</f>
        <v>2.4.1.2 各種インフラの防災性能</v>
      </c>
      <c r="E63" s="433"/>
      <c r="F63" s="433"/>
      <c r="G63" s="433"/>
      <c r="H63" s="433"/>
      <c r="I63" s="1131" t="str">
        <f>採点Q2!D159</f>
        <v>評価する取組</v>
      </c>
      <c r="J63" s="1121"/>
      <c r="K63" s="1146">
        <f>採点Q2!E158</f>
        <v>0</v>
      </c>
      <c r="L63" s="1121"/>
      <c r="M63" s="1121"/>
      <c r="N63" s="1121"/>
      <c r="O63" s="1122"/>
      <c r="P63" s="1159">
        <f t="shared" si="39"/>
        <v>3</v>
      </c>
      <c r="Q63" s="1124">
        <f t="shared" si="4"/>
        <v>0.33333333333333331</v>
      </c>
      <c r="R63" s="1160"/>
      <c r="S63" s="699"/>
      <c r="T63" s="1091">
        <f>採点Q2!D152</f>
        <v>3</v>
      </c>
      <c r="U63" s="1091"/>
      <c r="V63" s="1091">
        <f t="shared" si="2"/>
        <v>3</v>
      </c>
      <c r="W63" s="699"/>
      <c r="X63" s="1352"/>
      <c r="Y63" s="1352"/>
      <c r="Z63" s="1352"/>
      <c r="AA63" s="1091">
        <v>1</v>
      </c>
      <c r="AB63" s="1091"/>
      <c r="AC63" s="96"/>
      <c r="AD63" s="1116"/>
      <c r="AE63" s="1116"/>
      <c r="AF63" s="1116"/>
      <c r="AG63" s="1091">
        <f t="shared" si="37"/>
        <v>1</v>
      </c>
      <c r="AH63" s="1091">
        <f t="shared" si="3"/>
        <v>0</v>
      </c>
      <c r="AI63" s="96"/>
      <c r="AJ63" s="1116"/>
      <c r="AK63" s="1116"/>
      <c r="AL63" s="1116"/>
      <c r="AM63" s="1091">
        <f>AG63/AG61</f>
        <v>0.33333333333333331</v>
      </c>
      <c r="AN63" s="1091"/>
      <c r="AP63" s="1116"/>
      <c r="AQ63" s="1116"/>
      <c r="AR63" s="1116"/>
      <c r="AS63" s="1091">
        <f t="shared" si="27"/>
        <v>1</v>
      </c>
      <c r="AT63" s="1091"/>
      <c r="AV63" s="1116"/>
      <c r="AW63" s="1116"/>
      <c r="AX63" s="1116"/>
      <c r="AY63" s="1091">
        <f t="shared" si="40"/>
        <v>0.33333333333333331</v>
      </c>
      <c r="AZ63" s="1091"/>
    </row>
    <row r="64" spans="2:52" ht="13.15" customHeight="1">
      <c r="B64" s="1118"/>
      <c r="C64" s="1128"/>
      <c r="D64" s="1129" t="str">
        <f>採点Q2!D170</f>
        <v>2.4.1.3 防災空地・避難路</v>
      </c>
      <c r="E64" s="433"/>
      <c r="F64" s="433"/>
      <c r="G64" s="433"/>
      <c r="H64" s="433"/>
      <c r="I64" s="1131" t="str">
        <f>採点Q2!D178</f>
        <v>評価する取組</v>
      </c>
      <c r="J64" s="1121"/>
      <c r="K64" s="1146">
        <f>採点Q2!E177</f>
        <v>0</v>
      </c>
      <c r="L64" s="1121"/>
      <c r="M64" s="1121"/>
      <c r="N64" s="1121"/>
      <c r="O64" s="1122"/>
      <c r="P64" s="1159">
        <f t="shared" si="39"/>
        <v>3</v>
      </c>
      <c r="Q64" s="1124">
        <f t="shared" si="4"/>
        <v>0.33333333333333331</v>
      </c>
      <c r="R64" s="1160"/>
      <c r="S64" s="699"/>
      <c r="T64" s="1091">
        <f>採点Q2!D171</f>
        <v>3</v>
      </c>
      <c r="U64" s="1091"/>
      <c r="V64" s="1091">
        <f t="shared" si="2"/>
        <v>3</v>
      </c>
      <c r="W64" s="699"/>
      <c r="X64" s="1352"/>
      <c r="Y64" s="1352"/>
      <c r="Z64" s="1353"/>
      <c r="AA64" s="1091">
        <v>1</v>
      </c>
      <c r="AB64" s="1091"/>
      <c r="AC64" s="96"/>
      <c r="AD64" s="1116"/>
      <c r="AE64" s="1116"/>
      <c r="AF64" s="1132"/>
      <c r="AG64" s="1091">
        <f t="shared" si="37"/>
        <v>1</v>
      </c>
      <c r="AH64" s="1091">
        <f t="shared" si="3"/>
        <v>0</v>
      </c>
      <c r="AI64" s="96"/>
      <c r="AJ64" s="1116"/>
      <c r="AK64" s="1116"/>
      <c r="AL64" s="1132"/>
      <c r="AM64" s="1091">
        <f>AG64/AG61</f>
        <v>0.33333333333333331</v>
      </c>
      <c r="AN64" s="1091"/>
      <c r="AP64" s="1116"/>
      <c r="AQ64" s="1116"/>
      <c r="AR64" s="1132"/>
      <c r="AS64" s="1091">
        <f t="shared" ref="AS64" si="41">($T64+AT64)*AM64</f>
        <v>1</v>
      </c>
      <c r="AT64" s="1091"/>
      <c r="AV64" s="1116"/>
      <c r="AW64" s="1116"/>
      <c r="AX64" s="1132"/>
      <c r="AY64" s="1091">
        <f t="shared" si="40"/>
        <v>0.33333333333333331</v>
      </c>
      <c r="AZ64" s="1091"/>
    </row>
    <row r="65" spans="1:52" ht="13.15" customHeight="1">
      <c r="B65" s="1118"/>
      <c r="C65" s="1129" t="str">
        <f>採点Q2!C186</f>
        <v>2.4.2 発災後の対応性能</v>
      </c>
      <c r="D65" s="473"/>
      <c r="E65" s="786"/>
      <c r="F65" s="786"/>
      <c r="G65" s="786"/>
      <c r="H65" s="1142"/>
      <c r="I65" s="1131">
        <f>採点Q2!E193</f>
        <v>0</v>
      </c>
      <c r="J65" s="1121"/>
      <c r="K65" s="1121"/>
      <c r="L65" s="1121"/>
      <c r="M65" s="1121"/>
      <c r="N65" s="1121"/>
      <c r="O65" s="1122"/>
      <c r="P65" s="1159">
        <f t="shared" si="39"/>
        <v>3</v>
      </c>
      <c r="Q65" s="1124">
        <f t="shared" si="4"/>
        <v>0.25</v>
      </c>
      <c r="R65" s="1160"/>
      <c r="S65" s="699"/>
      <c r="T65" s="1091">
        <f>採点Q2!D187</f>
        <v>3</v>
      </c>
      <c r="U65" s="1091"/>
      <c r="V65" s="1091">
        <f t="shared" si="2"/>
        <v>3</v>
      </c>
      <c r="W65" s="699"/>
      <c r="X65" s="1352"/>
      <c r="Y65" s="1352"/>
      <c r="Z65" s="1091">
        <v>1</v>
      </c>
      <c r="AA65" s="1091"/>
      <c r="AB65" s="1091"/>
      <c r="AC65" s="96"/>
      <c r="AD65" s="1116"/>
      <c r="AE65" s="1116"/>
      <c r="AF65" s="1091">
        <f t="shared" si="37"/>
        <v>1</v>
      </c>
      <c r="AG65" s="1091">
        <f t="shared" si="37"/>
        <v>0</v>
      </c>
      <c r="AH65" s="1091">
        <f t="shared" si="3"/>
        <v>0</v>
      </c>
      <c r="AI65" s="96"/>
      <c r="AJ65" s="1116"/>
      <c r="AK65" s="1116"/>
      <c r="AL65" s="1091">
        <f>AF65/AF60</f>
        <v>0.25</v>
      </c>
      <c r="AM65" s="1091"/>
      <c r="AN65" s="1091"/>
      <c r="AP65" s="1116"/>
      <c r="AQ65" s="1116"/>
      <c r="AR65" s="1091">
        <f t="shared" si="27"/>
        <v>0.75</v>
      </c>
      <c r="AS65" s="1091"/>
      <c r="AT65" s="1091"/>
      <c r="AV65" s="1116"/>
      <c r="AW65" s="1116"/>
      <c r="AX65" s="1091">
        <f t="shared" ref="AX65:AX67" si="42">AL65</f>
        <v>0.25</v>
      </c>
      <c r="AY65" s="1091"/>
      <c r="AZ65" s="1091"/>
    </row>
    <row r="66" spans="1:52" ht="13.15" customHeight="1">
      <c r="B66" s="1118"/>
      <c r="C66" s="1129" t="str">
        <f>採点Q2!C195</f>
        <v>2.4.3 交通安全</v>
      </c>
      <c r="D66" s="473"/>
      <c r="E66" s="786"/>
      <c r="F66" s="786"/>
      <c r="G66" s="786"/>
      <c r="H66" s="1142"/>
      <c r="I66" s="1131">
        <f>採点Q2!E202</f>
        <v>0</v>
      </c>
      <c r="J66" s="1121"/>
      <c r="K66" s="1121"/>
      <c r="L66" s="1121"/>
      <c r="M66" s="1121"/>
      <c r="N66" s="1121"/>
      <c r="O66" s="1122"/>
      <c r="P66" s="1159">
        <f t="shared" si="39"/>
        <v>3</v>
      </c>
      <c r="Q66" s="1124">
        <f t="shared" si="4"/>
        <v>0.25</v>
      </c>
      <c r="R66" s="1160"/>
      <c r="S66" s="699"/>
      <c r="T66" s="1091">
        <f>採点Q2!D196</f>
        <v>3</v>
      </c>
      <c r="U66" s="1091"/>
      <c r="V66" s="1091">
        <f t="shared" si="2"/>
        <v>3</v>
      </c>
      <c r="W66" s="699"/>
      <c r="X66" s="1352"/>
      <c r="Y66" s="1352"/>
      <c r="Z66" s="1091">
        <v>1</v>
      </c>
      <c r="AA66" s="1091"/>
      <c r="AB66" s="1091"/>
      <c r="AC66" s="96"/>
      <c r="AD66" s="1116"/>
      <c r="AE66" s="1116"/>
      <c r="AF66" s="1091">
        <f t="shared" si="37"/>
        <v>1</v>
      </c>
      <c r="AG66" s="1091">
        <f t="shared" si="37"/>
        <v>0</v>
      </c>
      <c r="AH66" s="1091">
        <f t="shared" si="3"/>
        <v>0</v>
      </c>
      <c r="AI66" s="96"/>
      <c r="AJ66" s="1116"/>
      <c r="AK66" s="1116"/>
      <c r="AL66" s="1091">
        <f>AF66/AF60</f>
        <v>0.25</v>
      </c>
      <c r="AM66" s="1091"/>
      <c r="AN66" s="1091"/>
      <c r="AP66" s="1116"/>
      <c r="AQ66" s="1116"/>
      <c r="AR66" s="1091">
        <f t="shared" ref="AR66:AR67" si="43">($T66+AS66)*AL66</f>
        <v>0.75</v>
      </c>
      <c r="AS66" s="1091"/>
      <c r="AT66" s="1091"/>
      <c r="AV66" s="1116"/>
      <c r="AW66" s="1116"/>
      <c r="AX66" s="1091">
        <f t="shared" si="42"/>
        <v>0.25</v>
      </c>
      <c r="AY66" s="1091"/>
      <c r="AZ66" s="1091"/>
    </row>
    <row r="67" spans="1:52" ht="13.15" customHeight="1">
      <c r="B67" s="1118"/>
      <c r="C67" s="1129" t="str">
        <f>採点Q2!C204</f>
        <v>2.4.4 防犯</v>
      </c>
      <c r="D67" s="473"/>
      <c r="E67" s="786"/>
      <c r="F67" s="786"/>
      <c r="G67" s="786"/>
      <c r="H67" s="1142"/>
      <c r="I67" s="1131" t="str">
        <f>採点Q2!D212</f>
        <v>評価する取組</v>
      </c>
      <c r="J67" s="1121"/>
      <c r="K67" s="1146">
        <f>採点Q2!E211</f>
        <v>0</v>
      </c>
      <c r="L67" s="1121"/>
      <c r="M67" s="1121"/>
      <c r="N67" s="1121"/>
      <c r="O67" s="1122"/>
      <c r="P67" s="1159">
        <f t="shared" si="39"/>
        <v>3</v>
      </c>
      <c r="Q67" s="1124">
        <f t="shared" si="4"/>
        <v>0.25</v>
      </c>
      <c r="R67" s="1161"/>
      <c r="S67" s="699"/>
      <c r="T67" s="1091">
        <f>採点Q2!D205</f>
        <v>3</v>
      </c>
      <c r="U67" s="1091"/>
      <c r="V67" s="1091">
        <f t="shared" si="2"/>
        <v>3</v>
      </c>
      <c r="W67" s="699"/>
      <c r="X67" s="1352"/>
      <c r="Y67" s="1353"/>
      <c r="Z67" s="1091">
        <v>1</v>
      </c>
      <c r="AA67" s="1091"/>
      <c r="AB67" s="1091"/>
      <c r="AC67" s="96"/>
      <c r="AD67" s="1116"/>
      <c r="AE67" s="1132"/>
      <c r="AF67" s="1091">
        <f t="shared" si="37"/>
        <v>1</v>
      </c>
      <c r="AG67" s="1091">
        <f t="shared" si="37"/>
        <v>0</v>
      </c>
      <c r="AH67" s="1091">
        <f t="shared" si="3"/>
        <v>0</v>
      </c>
      <c r="AI67" s="96"/>
      <c r="AJ67" s="1116"/>
      <c r="AK67" s="1132"/>
      <c r="AL67" s="1091">
        <f>AF67/AF60</f>
        <v>0.25</v>
      </c>
      <c r="AM67" s="1091"/>
      <c r="AN67" s="1091"/>
      <c r="AP67" s="1116"/>
      <c r="AQ67" s="1132"/>
      <c r="AR67" s="1091">
        <f t="shared" si="43"/>
        <v>0.75</v>
      </c>
      <c r="AS67" s="1091"/>
      <c r="AT67" s="1091"/>
      <c r="AV67" s="1116"/>
      <c r="AW67" s="1132"/>
      <c r="AX67" s="1091">
        <f t="shared" si="42"/>
        <v>0.25</v>
      </c>
      <c r="AY67" s="1091"/>
      <c r="AZ67" s="1091"/>
    </row>
    <row r="68" spans="1:52" ht="13.15" customHeight="1">
      <c r="B68" s="1138" t="str">
        <f>採点Q2!B220</f>
        <v>2.5 包摂性</v>
      </c>
      <c r="C68" s="1139"/>
      <c r="D68" s="786"/>
      <c r="E68" s="786"/>
      <c r="F68" s="786"/>
      <c r="G68" s="786"/>
      <c r="H68" s="786"/>
      <c r="I68" s="1120"/>
      <c r="J68" s="1121"/>
      <c r="K68" s="1121"/>
      <c r="L68" s="1121"/>
      <c r="M68" s="1121"/>
      <c r="N68" s="1121"/>
      <c r="O68" s="1122"/>
      <c r="P68" s="1159"/>
      <c r="Q68" s="1124">
        <f t="shared" si="4"/>
        <v>0.18181818181818182</v>
      </c>
      <c r="R68" s="1115">
        <f>ROUNDDOWN($V68,1)</f>
        <v>3</v>
      </c>
      <c r="S68" s="699"/>
      <c r="T68" s="1091"/>
      <c r="U68" s="1091">
        <f>AR68</f>
        <v>3</v>
      </c>
      <c r="V68" s="1091">
        <f t="shared" si="2"/>
        <v>3</v>
      </c>
      <c r="W68" s="699"/>
      <c r="X68" s="1352"/>
      <c r="Y68" s="1351">
        <v>1</v>
      </c>
      <c r="Z68" s="1091"/>
      <c r="AA68" s="1091"/>
      <c r="AB68" s="1091"/>
      <c r="AC68" s="96"/>
      <c r="AD68" s="1116"/>
      <c r="AE68" s="1106">
        <f>IF(AF68=0,0,Y68)</f>
        <v>1</v>
      </c>
      <c r="AF68" s="1092">
        <f>SUM(AF69:AF71)</f>
        <v>3</v>
      </c>
      <c r="AG68" s="1091"/>
      <c r="AH68" s="1091">
        <f t="shared" ref="AH68:AH72" si="44">IF($T68=0,0,1)*AB68</f>
        <v>0</v>
      </c>
      <c r="AI68" s="96"/>
      <c r="AJ68" s="1116"/>
      <c r="AK68" s="1106">
        <f>AE68/AE41</f>
        <v>0.18181818181818182</v>
      </c>
      <c r="AL68" s="1092"/>
      <c r="AM68" s="1091"/>
      <c r="AN68" s="1091"/>
      <c r="AP68" s="1116"/>
      <c r="AQ68" s="1106">
        <f t="shared" ref="AQ68" si="45">($T68+AR68)*AK68</f>
        <v>0.54545454545454541</v>
      </c>
      <c r="AR68" s="1092">
        <f>SUM(AR69:AR71)</f>
        <v>3</v>
      </c>
      <c r="AS68" s="1091"/>
      <c r="AT68" s="1091"/>
      <c r="AV68" s="1116"/>
      <c r="AW68" s="1106">
        <f>AK68</f>
        <v>0.18181818181818182</v>
      </c>
      <c r="AX68" s="1092">
        <f>SUM(AX69:AX71)</f>
        <v>1</v>
      </c>
      <c r="AY68" s="1091"/>
      <c r="AZ68" s="1091"/>
    </row>
    <row r="69" spans="1:52" ht="13.15" customHeight="1">
      <c r="B69" s="1118"/>
      <c r="C69" s="1129" t="str">
        <f>採点Q2!C221</f>
        <v>2.5.1 地域の歴史・文化との融和</v>
      </c>
      <c r="D69" s="473"/>
      <c r="E69" s="786"/>
      <c r="F69" s="786"/>
      <c r="G69" s="786"/>
      <c r="H69" s="1142"/>
      <c r="I69" s="1131" t="str">
        <f>採点Q2!D229</f>
        <v>評価する取組</v>
      </c>
      <c r="J69" s="1121"/>
      <c r="K69" s="1146">
        <f>採点Q2!E228</f>
        <v>0</v>
      </c>
      <c r="L69" s="1121"/>
      <c r="M69" s="1121"/>
      <c r="N69" s="1121"/>
      <c r="O69" s="1122"/>
      <c r="P69" s="1159">
        <f t="shared" ref="P69:P71" si="46">ROUNDDOWN($V69,1)</f>
        <v>3</v>
      </c>
      <c r="Q69" s="1124">
        <f t="shared" si="4"/>
        <v>0.33333333333333331</v>
      </c>
      <c r="R69" s="1160"/>
      <c r="S69" s="699"/>
      <c r="T69" s="1091">
        <f>採点Q2!D222</f>
        <v>3</v>
      </c>
      <c r="U69" s="1091"/>
      <c r="V69" s="1091">
        <f t="shared" si="2"/>
        <v>3</v>
      </c>
      <c r="W69" s="699"/>
      <c r="X69" s="1352"/>
      <c r="Y69" s="1352"/>
      <c r="Z69" s="1091">
        <v>1</v>
      </c>
      <c r="AA69" s="1091"/>
      <c r="AB69" s="1091"/>
      <c r="AC69" s="96"/>
      <c r="AD69" s="1116"/>
      <c r="AE69" s="1116"/>
      <c r="AF69" s="1091">
        <f t="shared" ref="AF69:AF72" si="47">IF($T69=0,0,1)*Z69</f>
        <v>1</v>
      </c>
      <c r="AG69" s="1091">
        <f t="shared" ref="AG69:AG72" si="48">IF($T69=0,0,1)*AA69</f>
        <v>0</v>
      </c>
      <c r="AH69" s="1091">
        <f t="shared" si="44"/>
        <v>0</v>
      </c>
      <c r="AI69" s="96"/>
      <c r="AJ69" s="1116"/>
      <c r="AK69" s="1116"/>
      <c r="AL69" s="1091">
        <f>AF69/AF68</f>
        <v>0.33333333333333331</v>
      </c>
      <c r="AM69" s="1091"/>
      <c r="AN69" s="1091"/>
      <c r="AP69" s="1116"/>
      <c r="AQ69" s="1116"/>
      <c r="AR69" s="1091">
        <f t="shared" ref="AR69:AR71" si="49">($T69+AS69)*AL69</f>
        <v>1</v>
      </c>
      <c r="AS69" s="1091"/>
      <c r="AT69" s="1091"/>
      <c r="AV69" s="1116"/>
      <c r="AW69" s="1116"/>
      <c r="AX69" s="1091">
        <f t="shared" ref="AX69:AX71" si="50">AL69</f>
        <v>0.33333333333333331</v>
      </c>
      <c r="AY69" s="1091"/>
      <c r="AZ69" s="1091"/>
    </row>
    <row r="70" spans="1:52" ht="13.15" customHeight="1">
      <c r="B70" s="1118"/>
      <c r="C70" s="1129" t="str">
        <f>採点Q2!C235</f>
        <v>2.5.2 多様な住宅の供給</v>
      </c>
      <c r="D70" s="473"/>
      <c r="E70" s="786"/>
      <c r="F70" s="786"/>
      <c r="G70" s="786"/>
      <c r="H70" s="1142"/>
      <c r="I70" s="1131">
        <f>採点Q2!E242</f>
        <v>0</v>
      </c>
      <c r="J70" s="1121"/>
      <c r="K70" s="1121"/>
      <c r="L70" s="1121"/>
      <c r="M70" s="1121"/>
      <c r="N70" s="1121"/>
      <c r="O70" s="1122"/>
      <c r="P70" s="1159">
        <f t="shared" si="46"/>
        <v>3</v>
      </c>
      <c r="Q70" s="1124">
        <f t="shared" si="4"/>
        <v>0.33333333333333331</v>
      </c>
      <c r="R70" s="1160"/>
      <c r="S70" s="699"/>
      <c r="T70" s="1091">
        <f>採点Q2!D236</f>
        <v>3</v>
      </c>
      <c r="U70" s="1091"/>
      <c r="V70" s="1091">
        <f t="shared" si="2"/>
        <v>3</v>
      </c>
      <c r="W70" s="699"/>
      <c r="X70" s="1352"/>
      <c r="Y70" s="1352"/>
      <c r="Z70" s="1091">
        <v>1</v>
      </c>
      <c r="AA70" s="1091"/>
      <c r="AB70" s="1091"/>
      <c r="AC70" s="96"/>
      <c r="AD70" s="1116"/>
      <c r="AE70" s="1116"/>
      <c r="AF70" s="1091">
        <f t="shared" si="47"/>
        <v>1</v>
      </c>
      <c r="AG70" s="1091">
        <f t="shared" si="48"/>
        <v>0</v>
      </c>
      <c r="AH70" s="1091">
        <f t="shared" si="44"/>
        <v>0</v>
      </c>
      <c r="AI70" s="96"/>
      <c r="AJ70" s="1116"/>
      <c r="AK70" s="1116"/>
      <c r="AL70" s="1091">
        <f>AF70/AF68</f>
        <v>0.33333333333333331</v>
      </c>
      <c r="AM70" s="1091"/>
      <c r="AN70" s="1091"/>
      <c r="AP70" s="1116"/>
      <c r="AQ70" s="1116"/>
      <c r="AR70" s="1091">
        <f t="shared" si="49"/>
        <v>1</v>
      </c>
      <c r="AS70" s="1091"/>
      <c r="AT70" s="1091"/>
      <c r="AV70" s="1116"/>
      <c r="AW70" s="1116"/>
      <c r="AX70" s="1091">
        <f t="shared" si="50"/>
        <v>0.33333333333333331</v>
      </c>
      <c r="AY70" s="1091"/>
      <c r="AZ70" s="1091"/>
    </row>
    <row r="71" spans="1:52" ht="13.15" customHeight="1">
      <c r="B71" s="1118"/>
      <c r="C71" s="1129" t="str">
        <f>採点Q2!C244</f>
        <v>2.5.3 ユニバーサルデザイン</v>
      </c>
      <c r="D71" s="473"/>
      <c r="E71" s="786"/>
      <c r="F71" s="786"/>
      <c r="G71" s="786"/>
      <c r="H71" s="1142"/>
      <c r="I71" s="1131">
        <f>採点Q2!E251</f>
        <v>0</v>
      </c>
      <c r="J71" s="1121"/>
      <c r="K71" s="1121"/>
      <c r="L71" s="1121"/>
      <c r="M71" s="1121"/>
      <c r="N71" s="1121"/>
      <c r="O71" s="1122"/>
      <c r="P71" s="1159">
        <f t="shared" si="46"/>
        <v>3</v>
      </c>
      <c r="Q71" s="1124">
        <f t="shared" si="4"/>
        <v>0.33333333333333331</v>
      </c>
      <c r="R71" s="1161"/>
      <c r="S71" s="699"/>
      <c r="T71" s="1091">
        <f>採点Q2!D245</f>
        <v>3</v>
      </c>
      <c r="U71" s="1091"/>
      <c r="V71" s="1091">
        <f t="shared" si="2"/>
        <v>3</v>
      </c>
      <c r="W71" s="699"/>
      <c r="X71" s="1352"/>
      <c r="Y71" s="1353"/>
      <c r="Z71" s="1091">
        <v>1</v>
      </c>
      <c r="AA71" s="1091"/>
      <c r="AB71" s="1091"/>
      <c r="AC71" s="96"/>
      <c r="AD71" s="1116"/>
      <c r="AE71" s="1116"/>
      <c r="AF71" s="1091">
        <f t="shared" si="47"/>
        <v>1</v>
      </c>
      <c r="AG71" s="1091">
        <f t="shared" si="48"/>
        <v>0</v>
      </c>
      <c r="AH71" s="1091">
        <f t="shared" si="44"/>
        <v>0</v>
      </c>
      <c r="AI71" s="96"/>
      <c r="AJ71" s="1116"/>
      <c r="AK71" s="1132"/>
      <c r="AL71" s="1091">
        <f>AF71/AF68</f>
        <v>0.33333333333333331</v>
      </c>
      <c r="AM71" s="1091"/>
      <c r="AN71" s="1091"/>
      <c r="AP71" s="1116"/>
      <c r="AQ71" s="1132"/>
      <c r="AR71" s="1091">
        <f t="shared" si="49"/>
        <v>1</v>
      </c>
      <c r="AS71" s="1091"/>
      <c r="AT71" s="1091"/>
      <c r="AV71" s="1116"/>
      <c r="AW71" s="1132"/>
      <c r="AX71" s="1091">
        <f t="shared" si="50"/>
        <v>0.33333333333333331</v>
      </c>
      <c r="AY71" s="1091"/>
      <c r="AZ71" s="1091"/>
    </row>
    <row r="72" spans="1:52" ht="13.15" customHeight="1" thickBot="1">
      <c r="B72" s="1162" t="str">
        <f>採点Q2!B253</f>
        <v>2.6 社会性能に関するスマート化</v>
      </c>
      <c r="C72" s="1139"/>
      <c r="D72" s="786"/>
      <c r="E72" s="786"/>
      <c r="F72" s="786"/>
      <c r="G72" s="786"/>
      <c r="H72" s="786"/>
      <c r="I72" s="1120" t="str">
        <f>採点Q2!D262</f>
        <v>評価する取組</v>
      </c>
      <c r="J72" s="1121"/>
      <c r="K72" s="1146">
        <f>採点Q2!E261</f>
        <v>0</v>
      </c>
      <c r="L72" s="1121"/>
      <c r="M72" s="1121"/>
      <c r="N72" s="1121"/>
      <c r="O72" s="1122"/>
      <c r="P72" s="1159"/>
      <c r="Q72" s="1124">
        <f t="shared" si="4"/>
        <v>9.0909090909090912E-2</v>
      </c>
      <c r="R72" s="1115">
        <f>ROUNDDOWN($V72,1)</f>
        <v>3</v>
      </c>
      <c r="S72" s="699"/>
      <c r="T72" s="1091">
        <f>採点Q2!D255</f>
        <v>3</v>
      </c>
      <c r="U72" s="1091"/>
      <c r="V72" s="1091">
        <f>T72+U72</f>
        <v>3</v>
      </c>
      <c r="W72" s="699"/>
      <c r="X72" s="1352"/>
      <c r="Y72" s="1091">
        <v>0.5</v>
      </c>
      <c r="Z72" s="1091"/>
      <c r="AA72" s="1091"/>
      <c r="AB72" s="1091"/>
      <c r="AC72" s="96"/>
      <c r="AD72" s="1116"/>
      <c r="AE72" s="1091">
        <f>IF($T72=0,0,1)*Y72</f>
        <v>0.5</v>
      </c>
      <c r="AF72" s="1091">
        <f t="shared" si="47"/>
        <v>0</v>
      </c>
      <c r="AG72" s="1091">
        <f t="shared" si="48"/>
        <v>0</v>
      </c>
      <c r="AH72" s="1091">
        <f t="shared" si="44"/>
        <v>0</v>
      </c>
      <c r="AI72" s="96"/>
      <c r="AJ72" s="1116"/>
      <c r="AK72" s="1106">
        <f>AE72/AE41</f>
        <v>9.0909090909090912E-2</v>
      </c>
      <c r="AL72" s="1091"/>
      <c r="AM72" s="1091"/>
      <c r="AN72" s="1091"/>
      <c r="AP72" s="1117"/>
      <c r="AQ72" s="1094">
        <f>($T72+AR72)*AK72</f>
        <v>0.27272727272727271</v>
      </c>
      <c r="AR72" s="1094">
        <f>($T72+AS72)*AL72</f>
        <v>0</v>
      </c>
      <c r="AS72" s="1094">
        <f t="shared" ref="AS72" si="51">($T72+AT72)*AM72</f>
        <v>0</v>
      </c>
      <c r="AT72" s="1095">
        <f>T72*AN72</f>
        <v>0</v>
      </c>
      <c r="AV72" s="1116"/>
      <c r="AW72" s="1106">
        <f t="shared" ref="AW72" si="52">AK72</f>
        <v>9.0909090909090912E-2</v>
      </c>
      <c r="AX72" s="1091"/>
      <c r="AY72" s="1091"/>
      <c r="AZ72" s="1091"/>
    </row>
    <row r="73" spans="1:52" ht="13.15" hidden="1" customHeight="1" thickBot="1">
      <c r="B73" s="1118"/>
      <c r="C73" s="1129"/>
      <c r="D73" s="1127"/>
      <c r="E73" s="1151"/>
      <c r="F73" s="1151"/>
      <c r="G73" s="1151"/>
      <c r="H73" s="1163"/>
      <c r="I73" s="1131"/>
      <c r="J73" s="1152"/>
      <c r="K73" s="1146"/>
      <c r="L73" s="1152"/>
      <c r="M73" s="1152"/>
      <c r="N73" s="1152"/>
      <c r="O73" s="1153"/>
      <c r="P73" s="1164"/>
      <c r="Q73" s="1165"/>
      <c r="R73" s="1160"/>
      <c r="S73" s="699"/>
      <c r="T73" s="1091"/>
      <c r="U73" s="1091"/>
      <c r="V73" s="1091"/>
      <c r="W73" s="699"/>
      <c r="X73" s="1353"/>
      <c r="Y73" s="1132"/>
      <c r="Z73" s="1091"/>
      <c r="AA73" s="1091"/>
      <c r="AB73" s="1091"/>
      <c r="AC73" s="96"/>
      <c r="AD73" s="1132"/>
      <c r="AE73" s="1116"/>
      <c r="AF73" s="1091"/>
      <c r="AG73" s="1091"/>
      <c r="AH73" s="1091"/>
      <c r="AI73" s="96"/>
      <c r="AJ73" s="1132"/>
      <c r="AK73" s="1132"/>
      <c r="AL73" s="1091"/>
      <c r="AM73" s="1091"/>
      <c r="AN73" s="1091"/>
      <c r="AP73" s="1132"/>
      <c r="AQ73" s="1132"/>
      <c r="AR73" s="1091"/>
      <c r="AS73" s="1091"/>
      <c r="AT73" s="1091"/>
      <c r="AV73" s="1132"/>
      <c r="AW73" s="1132"/>
      <c r="AX73" s="1091"/>
      <c r="AY73" s="1091"/>
      <c r="AZ73" s="1091"/>
    </row>
    <row r="74" spans="1:52" ht="13.15" customHeight="1" thickBot="1">
      <c r="A74" s="51"/>
      <c r="B74" s="1096" t="str">
        <f>採点Q3!B9</f>
        <v>Q-3 経済</v>
      </c>
      <c r="C74" s="1097"/>
      <c r="D74" s="1097"/>
      <c r="E74" s="1097"/>
      <c r="F74" s="1097"/>
      <c r="G74" s="1097"/>
      <c r="H74" s="1098"/>
      <c r="I74" s="1156"/>
      <c r="J74" s="1100"/>
      <c r="K74" s="1100"/>
      <c r="L74" s="1100"/>
      <c r="M74" s="1100"/>
      <c r="N74" s="1100"/>
      <c r="O74" s="1101"/>
      <c r="P74" s="1102"/>
      <c r="Q74" s="1103">
        <f t="shared" ref="Q74:Q98" si="53">SUM(AJ74:AN74)</f>
        <v>0.33333333333333331</v>
      </c>
      <c r="R74" s="1104">
        <f>ROUNDDOWN($T74+$U74,1)</f>
        <v>3.1</v>
      </c>
      <c r="S74" s="699"/>
      <c r="T74" s="1091"/>
      <c r="U74" s="1091">
        <f>AQ74</f>
        <v>3.1428571428571428</v>
      </c>
      <c r="V74" s="1091">
        <f t="shared" ref="V74:V135" si="54">T74+U74</f>
        <v>3.1428571428571428</v>
      </c>
      <c r="W74" s="699"/>
      <c r="X74" s="1351">
        <v>1</v>
      </c>
      <c r="Y74" s="1091"/>
      <c r="Z74" s="1091"/>
      <c r="AA74" s="1091"/>
      <c r="AB74" s="1091"/>
      <c r="AC74" s="96"/>
      <c r="AD74" s="1106">
        <f>IF(AE74=0,0,X74)</f>
        <v>1</v>
      </c>
      <c r="AE74" s="1092">
        <f>SUM(AE75:AE98)</f>
        <v>3.5</v>
      </c>
      <c r="AF74" s="1091"/>
      <c r="AG74" s="1091"/>
      <c r="AH74" s="1091">
        <f>IF($T74=0,0,1)*AB74</f>
        <v>0</v>
      </c>
      <c r="AI74" s="96"/>
      <c r="AJ74" s="1106">
        <f>AD74/AD7</f>
        <v>0.33333333333333331</v>
      </c>
      <c r="AK74" s="1092"/>
      <c r="AL74" s="1091"/>
      <c r="AM74" s="1091"/>
      <c r="AN74" s="1091"/>
      <c r="AP74" s="1094">
        <f>($T74+AQ74)*AJ74</f>
        <v>1.0476190476190474</v>
      </c>
      <c r="AQ74" s="1092">
        <f>SUM(AQ75:AQ98)</f>
        <v>3.1428571428571428</v>
      </c>
      <c r="AR74" s="1091"/>
      <c r="AS74" s="1091"/>
      <c r="AT74" s="1091"/>
      <c r="AV74" s="1106">
        <f>AJ74</f>
        <v>0.33333333333333331</v>
      </c>
      <c r="AW74" s="1092">
        <f>SUM(AW75:AW98)</f>
        <v>1</v>
      </c>
      <c r="AX74" s="1091"/>
      <c r="AY74" s="1091"/>
      <c r="AZ74" s="1091"/>
    </row>
    <row r="75" spans="1:52" ht="13.15" customHeight="1">
      <c r="A75" s="51"/>
      <c r="B75" s="1107" t="str">
        <f>採点Q3!B12</f>
        <v>3.1 経済基盤</v>
      </c>
      <c r="C75" s="1108"/>
      <c r="D75" s="1109"/>
      <c r="E75" s="1109"/>
      <c r="F75" s="1109"/>
      <c r="G75" s="1109"/>
      <c r="H75" s="1109"/>
      <c r="I75" s="1110"/>
      <c r="J75" s="1111"/>
      <c r="K75" s="1111"/>
      <c r="L75" s="1111"/>
      <c r="M75" s="1111"/>
      <c r="N75" s="1111"/>
      <c r="O75" s="1112"/>
      <c r="P75" s="1157"/>
      <c r="Q75" s="1158">
        <f t="shared" si="53"/>
        <v>0.2857142857142857</v>
      </c>
      <c r="R75" s="1115">
        <f>ROUNDDOWN($V75,1)</f>
        <v>3</v>
      </c>
      <c r="S75" s="699"/>
      <c r="T75" s="1091"/>
      <c r="U75" s="1091">
        <f>AR75</f>
        <v>3</v>
      </c>
      <c r="V75" s="1091">
        <f t="shared" si="54"/>
        <v>3</v>
      </c>
      <c r="W75" s="699"/>
      <c r="X75" s="1352"/>
      <c r="Y75" s="1351">
        <v>1</v>
      </c>
      <c r="Z75" s="1091"/>
      <c r="AA75" s="1091"/>
      <c r="AB75" s="1091"/>
      <c r="AC75" s="96"/>
      <c r="AD75" s="1116"/>
      <c r="AE75" s="1106">
        <f>IF(AF75=0,0,Y75)</f>
        <v>1</v>
      </c>
      <c r="AF75" s="1092">
        <f>SUM(AF76:AF82)</f>
        <v>2</v>
      </c>
      <c r="AG75" s="1091"/>
      <c r="AH75" s="1091">
        <f>IF($T75=0,0,1)*AB75</f>
        <v>0</v>
      </c>
      <c r="AI75" s="96"/>
      <c r="AJ75" s="1116"/>
      <c r="AK75" s="1106">
        <f>AE75/AE74</f>
        <v>0.2857142857142857</v>
      </c>
      <c r="AL75" s="1092"/>
      <c r="AM75" s="1091"/>
      <c r="AN75" s="1091"/>
      <c r="AP75" s="1116"/>
      <c r="AQ75" s="1106">
        <f t="shared" ref="AQ75" si="55">($T75+AR75)*AK75</f>
        <v>0.8571428571428571</v>
      </c>
      <c r="AR75" s="1092">
        <f>SUM(AR76:AR82)</f>
        <v>3</v>
      </c>
      <c r="AS75" s="1091"/>
      <c r="AT75" s="1091"/>
      <c r="AV75" s="1116"/>
      <c r="AW75" s="1106">
        <f>AK75</f>
        <v>0.2857142857142857</v>
      </c>
      <c r="AX75" s="1092">
        <f>SUM(AX76:AX82)</f>
        <v>1</v>
      </c>
      <c r="AY75" s="1091"/>
      <c r="AZ75" s="1091"/>
    </row>
    <row r="76" spans="1:52" ht="13.15" customHeight="1">
      <c r="A76" s="51"/>
      <c r="B76" s="1118"/>
      <c r="C76" s="1119" t="str">
        <f>採点Q3!C13</f>
        <v>3.1.1 都市構造</v>
      </c>
      <c r="D76" s="473"/>
      <c r="E76" s="786"/>
      <c r="F76" s="786"/>
      <c r="G76" s="786"/>
      <c r="H76" s="1142"/>
      <c r="I76" s="1120"/>
      <c r="J76" s="1121"/>
      <c r="K76" s="1121"/>
      <c r="L76" s="1121"/>
      <c r="M76" s="1121"/>
      <c r="N76" s="1121"/>
      <c r="O76" s="1122"/>
      <c r="P76" s="1159">
        <f t="shared" ref="P76:P84" si="56">ROUNDDOWN($V76,1)</f>
        <v>3</v>
      </c>
      <c r="Q76" s="1124">
        <f t="shared" si="53"/>
        <v>0.5</v>
      </c>
      <c r="R76" s="1160"/>
      <c r="S76" s="699"/>
      <c r="T76" s="1091"/>
      <c r="U76" s="1091">
        <f>AS76</f>
        <v>3</v>
      </c>
      <c r="V76" s="1091">
        <f t="shared" si="54"/>
        <v>3</v>
      </c>
      <c r="W76" s="699"/>
      <c r="X76" s="1352"/>
      <c r="Y76" s="1352"/>
      <c r="Z76" s="1351">
        <v>1</v>
      </c>
      <c r="AA76" s="1091"/>
      <c r="AB76" s="1091"/>
      <c r="AC76" s="96"/>
      <c r="AD76" s="1116"/>
      <c r="AE76" s="1116"/>
      <c r="AF76" s="1106">
        <f>IF(AG76=0,0,Z76)</f>
        <v>1</v>
      </c>
      <c r="AG76" s="1092">
        <f>SUM(AG77:AG79)</f>
        <v>3</v>
      </c>
      <c r="AH76" s="1091"/>
      <c r="AI76" s="96"/>
      <c r="AJ76" s="1116"/>
      <c r="AK76" s="1116"/>
      <c r="AL76" s="1106">
        <f>AF76/AF75</f>
        <v>0.5</v>
      </c>
      <c r="AM76" s="1092"/>
      <c r="AN76" s="1091"/>
      <c r="AP76" s="1116"/>
      <c r="AQ76" s="1116"/>
      <c r="AR76" s="1106">
        <f t="shared" ref="AR76" si="57">($T76+AS76)*AL76</f>
        <v>1.5</v>
      </c>
      <c r="AS76" s="1092">
        <f>SUM(AS77:AS79)</f>
        <v>3</v>
      </c>
      <c r="AT76" s="1091"/>
      <c r="AV76" s="1116"/>
      <c r="AW76" s="1116"/>
      <c r="AX76" s="1106">
        <f>AL76</f>
        <v>0.5</v>
      </c>
      <c r="AY76" s="1092">
        <f>SUM(AY77:AY79)</f>
        <v>1</v>
      </c>
      <c r="AZ76" s="1091"/>
    </row>
    <row r="77" spans="1:52" ht="13.15" customHeight="1">
      <c r="A77" s="51"/>
      <c r="B77" s="1118"/>
      <c r="C77" s="1144"/>
      <c r="D77" s="1129" t="str">
        <f>採点Q3!D14</f>
        <v>3.1.1.1 周辺地域への貢献</v>
      </c>
      <c r="E77" s="433"/>
      <c r="F77" s="433"/>
      <c r="G77" s="433"/>
      <c r="H77" s="1142"/>
      <c r="I77" s="1131">
        <f>採点Q3!E21</f>
        <v>0</v>
      </c>
      <c r="J77" s="1121"/>
      <c r="K77" s="1121"/>
      <c r="L77" s="1121"/>
      <c r="M77" s="1121"/>
      <c r="N77" s="1121"/>
      <c r="O77" s="1122"/>
      <c r="P77" s="1159">
        <f t="shared" si="56"/>
        <v>3</v>
      </c>
      <c r="Q77" s="1124">
        <f t="shared" si="53"/>
        <v>0.33333333333333331</v>
      </c>
      <c r="R77" s="1160"/>
      <c r="S77" s="699"/>
      <c r="T77" s="1091">
        <f>採点Q3!D15</f>
        <v>3</v>
      </c>
      <c r="U77" s="1091"/>
      <c r="V77" s="1091">
        <f t="shared" si="54"/>
        <v>3</v>
      </c>
      <c r="W77" s="699"/>
      <c r="X77" s="1352"/>
      <c r="Y77" s="1352"/>
      <c r="Z77" s="1352"/>
      <c r="AA77" s="1091">
        <v>1</v>
      </c>
      <c r="AB77" s="1091"/>
      <c r="AC77" s="96"/>
      <c r="AD77" s="1116"/>
      <c r="AE77" s="1116"/>
      <c r="AF77" s="1116"/>
      <c r="AG77" s="1091">
        <f t="shared" ref="AG77:AG79" si="58">IF($T77=0,0,1)*AA77</f>
        <v>1</v>
      </c>
      <c r="AH77" s="1091">
        <f t="shared" ref="AH77:AH79" si="59">IF($T77=0,0,1)*AB77</f>
        <v>0</v>
      </c>
      <c r="AI77" s="96"/>
      <c r="AJ77" s="1116"/>
      <c r="AK77" s="1116"/>
      <c r="AL77" s="1116"/>
      <c r="AM77" s="1091">
        <f>AG77/AG76</f>
        <v>0.33333333333333331</v>
      </c>
      <c r="AN77" s="1091"/>
      <c r="AP77" s="1116"/>
      <c r="AQ77" s="1116"/>
      <c r="AR77" s="1116"/>
      <c r="AS77" s="1091">
        <f t="shared" ref="AS77:AS79" si="60">($T77+AT77)*AM77</f>
        <v>1</v>
      </c>
      <c r="AT77" s="1091"/>
      <c r="AV77" s="1116"/>
      <c r="AW77" s="1116"/>
      <c r="AX77" s="1116"/>
      <c r="AY77" s="1091">
        <f t="shared" ref="AY77:AY79" si="61">AM77</f>
        <v>0.33333333333333331</v>
      </c>
      <c r="AZ77" s="1091"/>
    </row>
    <row r="78" spans="1:52" ht="13.15" customHeight="1">
      <c r="B78" s="1118"/>
      <c r="C78" s="1128"/>
      <c r="D78" s="1129" t="str">
        <f>採点Q3!D23</f>
        <v>3.1.1.2 スマートロケーション</v>
      </c>
      <c r="E78" s="433"/>
      <c r="F78" s="433"/>
      <c r="G78" s="433"/>
      <c r="H78" s="433"/>
      <c r="I78" s="1131">
        <f>採点Q3!E30</f>
        <v>0</v>
      </c>
      <c r="J78" s="1121"/>
      <c r="K78" s="1121"/>
      <c r="L78" s="1121"/>
      <c r="M78" s="1121"/>
      <c r="N78" s="1121"/>
      <c r="O78" s="1122"/>
      <c r="P78" s="1159">
        <f t="shared" si="56"/>
        <v>3</v>
      </c>
      <c r="Q78" s="1124">
        <f t="shared" si="53"/>
        <v>0.33333333333333331</v>
      </c>
      <c r="R78" s="1160"/>
      <c r="S78" s="699"/>
      <c r="T78" s="1091">
        <f>採点Q3!D24</f>
        <v>3</v>
      </c>
      <c r="U78" s="1091"/>
      <c r="V78" s="1091">
        <f t="shared" si="54"/>
        <v>3</v>
      </c>
      <c r="W78" s="699"/>
      <c r="X78" s="1352"/>
      <c r="Y78" s="1352"/>
      <c r="Z78" s="1352"/>
      <c r="AA78" s="1091">
        <v>1</v>
      </c>
      <c r="AB78" s="1091"/>
      <c r="AC78" s="96"/>
      <c r="AD78" s="1116"/>
      <c r="AE78" s="1116"/>
      <c r="AF78" s="1116"/>
      <c r="AG78" s="1091">
        <f t="shared" si="58"/>
        <v>1</v>
      </c>
      <c r="AH78" s="1091">
        <f t="shared" si="59"/>
        <v>0</v>
      </c>
      <c r="AI78" s="96"/>
      <c r="AJ78" s="1116"/>
      <c r="AK78" s="1116"/>
      <c r="AL78" s="1116"/>
      <c r="AM78" s="1091">
        <f>AG78/AG76</f>
        <v>0.33333333333333331</v>
      </c>
      <c r="AN78" s="1091"/>
      <c r="AP78" s="1116"/>
      <c r="AQ78" s="1116"/>
      <c r="AR78" s="1116"/>
      <c r="AS78" s="1091">
        <f t="shared" si="60"/>
        <v>1</v>
      </c>
      <c r="AT78" s="1091"/>
      <c r="AV78" s="1116"/>
      <c r="AW78" s="1116"/>
      <c r="AX78" s="1116"/>
      <c r="AY78" s="1091">
        <f t="shared" si="61"/>
        <v>0.33333333333333331</v>
      </c>
      <c r="AZ78" s="1091"/>
    </row>
    <row r="79" spans="1:52" ht="13.15" customHeight="1">
      <c r="B79" s="1118"/>
      <c r="C79" s="1128"/>
      <c r="D79" s="1129" t="str">
        <f>採点Q3!D32</f>
        <v>3.1.1.3 適正な開発規模</v>
      </c>
      <c r="E79" s="433"/>
      <c r="F79" s="433"/>
      <c r="G79" s="433"/>
      <c r="H79" s="433"/>
      <c r="I79" s="1131">
        <f>採点Q3!E39</f>
        <v>0</v>
      </c>
      <c r="J79" s="1121"/>
      <c r="K79" s="1121"/>
      <c r="L79" s="1121"/>
      <c r="M79" s="1121"/>
      <c r="N79" s="1121"/>
      <c r="O79" s="1122"/>
      <c r="P79" s="1159">
        <f t="shared" si="56"/>
        <v>3</v>
      </c>
      <c r="Q79" s="1124">
        <f t="shared" si="53"/>
        <v>0.33333333333333331</v>
      </c>
      <c r="R79" s="1160"/>
      <c r="S79" s="699"/>
      <c r="T79" s="1091">
        <f>採点Q3!D33</f>
        <v>3</v>
      </c>
      <c r="U79" s="1091"/>
      <c r="V79" s="1091">
        <f t="shared" si="54"/>
        <v>3</v>
      </c>
      <c r="W79" s="699"/>
      <c r="X79" s="1352"/>
      <c r="Y79" s="1352"/>
      <c r="Z79" s="1353"/>
      <c r="AA79" s="1091">
        <v>1</v>
      </c>
      <c r="AB79" s="1091"/>
      <c r="AC79" s="96"/>
      <c r="AD79" s="1116"/>
      <c r="AE79" s="1116"/>
      <c r="AF79" s="1132"/>
      <c r="AG79" s="1091">
        <f t="shared" si="58"/>
        <v>1</v>
      </c>
      <c r="AH79" s="1091">
        <f t="shared" si="59"/>
        <v>0</v>
      </c>
      <c r="AI79" s="96"/>
      <c r="AJ79" s="1116"/>
      <c r="AK79" s="1116"/>
      <c r="AL79" s="1132"/>
      <c r="AM79" s="1091">
        <f>AG79/AG76</f>
        <v>0.33333333333333331</v>
      </c>
      <c r="AN79" s="1091"/>
      <c r="AP79" s="1116"/>
      <c r="AQ79" s="1116"/>
      <c r="AR79" s="1132"/>
      <c r="AS79" s="1091">
        <f t="shared" si="60"/>
        <v>1</v>
      </c>
      <c r="AT79" s="1091"/>
      <c r="AV79" s="1116"/>
      <c r="AW79" s="1116"/>
      <c r="AX79" s="1132"/>
      <c r="AY79" s="1091">
        <f t="shared" si="61"/>
        <v>0.33333333333333331</v>
      </c>
      <c r="AZ79" s="1091"/>
    </row>
    <row r="80" spans="1:52" ht="13.15" customHeight="1">
      <c r="A80" s="51"/>
      <c r="B80" s="1118"/>
      <c r="C80" s="1119" t="str">
        <f>採点Q3!C41</f>
        <v>3.1.2 交通インフラ</v>
      </c>
      <c r="D80" s="473"/>
      <c r="E80" s="786"/>
      <c r="F80" s="786"/>
      <c r="G80" s="786"/>
      <c r="H80" s="1142"/>
      <c r="I80" s="1120"/>
      <c r="J80" s="1121"/>
      <c r="K80" s="1121"/>
      <c r="L80" s="1121"/>
      <c r="M80" s="1121"/>
      <c r="N80" s="1121"/>
      <c r="O80" s="1122"/>
      <c r="P80" s="1159">
        <f t="shared" si="56"/>
        <v>3</v>
      </c>
      <c r="Q80" s="1124">
        <f t="shared" si="53"/>
        <v>0.5</v>
      </c>
      <c r="R80" s="1160"/>
      <c r="S80" s="699"/>
      <c r="T80" s="1091"/>
      <c r="U80" s="1091">
        <f>AS80</f>
        <v>3</v>
      </c>
      <c r="V80" s="1091">
        <f t="shared" si="54"/>
        <v>3</v>
      </c>
      <c r="W80" s="699"/>
      <c r="X80" s="1352"/>
      <c r="Y80" s="1352"/>
      <c r="Z80" s="1351">
        <v>1</v>
      </c>
      <c r="AA80" s="1091"/>
      <c r="AB80" s="1091"/>
      <c r="AC80" s="96"/>
      <c r="AD80" s="1116"/>
      <c r="AE80" s="1116"/>
      <c r="AF80" s="1106">
        <f>IF(AG80=0,0,Z80)</f>
        <v>1</v>
      </c>
      <c r="AG80" s="1092">
        <f>SUM(AG81:AG84)</f>
        <v>4</v>
      </c>
      <c r="AH80" s="1091"/>
      <c r="AI80" s="96"/>
      <c r="AJ80" s="1116"/>
      <c r="AK80" s="1116"/>
      <c r="AL80" s="1106">
        <f>AF80/AF75</f>
        <v>0.5</v>
      </c>
      <c r="AM80" s="1092"/>
      <c r="AN80" s="1091"/>
      <c r="AP80" s="1116"/>
      <c r="AQ80" s="1116"/>
      <c r="AR80" s="1106">
        <f t="shared" ref="AR80" si="62">($T80+AS80)*AL80</f>
        <v>1.5</v>
      </c>
      <c r="AS80" s="1092">
        <f>SUM(AS81:AS84)</f>
        <v>3</v>
      </c>
      <c r="AT80" s="1091"/>
      <c r="AV80" s="1116"/>
      <c r="AW80" s="1116"/>
      <c r="AX80" s="1106">
        <f>AL80</f>
        <v>0.5</v>
      </c>
      <c r="AY80" s="1092">
        <f>SUM(AY81:AY84)</f>
        <v>1</v>
      </c>
      <c r="AZ80" s="1091"/>
    </row>
    <row r="81" spans="1:52" ht="13.15" customHeight="1">
      <c r="A81" s="51"/>
      <c r="B81" s="1118"/>
      <c r="C81" s="1144"/>
      <c r="D81" s="1129" t="str">
        <f>採点Q3!D42</f>
        <v>3.1.2.1 交通施設整備</v>
      </c>
      <c r="E81" s="433"/>
      <c r="F81" s="433"/>
      <c r="G81" s="433"/>
      <c r="H81" s="1142"/>
      <c r="I81" s="1131">
        <f>採点Q3!E49</f>
        <v>0</v>
      </c>
      <c r="J81" s="1121"/>
      <c r="K81" s="1121"/>
      <c r="L81" s="1121"/>
      <c r="M81" s="1121"/>
      <c r="N81" s="1121"/>
      <c r="O81" s="1122"/>
      <c r="P81" s="1159">
        <f t="shared" si="56"/>
        <v>3</v>
      </c>
      <c r="Q81" s="1124">
        <f t="shared" si="53"/>
        <v>0.25</v>
      </c>
      <c r="R81" s="1160"/>
      <c r="S81" s="699"/>
      <c r="T81" s="1091">
        <f>採点Q3!D43</f>
        <v>3</v>
      </c>
      <c r="U81" s="1091"/>
      <c r="V81" s="1091">
        <f t="shared" si="54"/>
        <v>3</v>
      </c>
      <c r="W81" s="699"/>
      <c r="X81" s="1352"/>
      <c r="Y81" s="1352"/>
      <c r="Z81" s="1352"/>
      <c r="AA81" s="1091">
        <v>1</v>
      </c>
      <c r="AB81" s="1091"/>
      <c r="AC81" s="96"/>
      <c r="AD81" s="1116"/>
      <c r="AE81" s="1116"/>
      <c r="AF81" s="1116"/>
      <c r="AG81" s="1091">
        <f t="shared" ref="AG81:AH84" si="63">IF($T81=0,0,1)*AA81</f>
        <v>1</v>
      </c>
      <c r="AH81" s="1091">
        <f t="shared" si="63"/>
        <v>0</v>
      </c>
      <c r="AI81" s="96"/>
      <c r="AJ81" s="1116"/>
      <c r="AK81" s="1116"/>
      <c r="AL81" s="1116"/>
      <c r="AM81" s="1091">
        <f>AG81/AG80</f>
        <v>0.25</v>
      </c>
      <c r="AN81" s="1091"/>
      <c r="AP81" s="1116"/>
      <c r="AQ81" s="1116"/>
      <c r="AR81" s="1116"/>
      <c r="AS81" s="1091">
        <f t="shared" ref="AS81:AS84" si="64">($T81+AT81)*AM81</f>
        <v>0.75</v>
      </c>
      <c r="AT81" s="1091"/>
      <c r="AV81" s="1116"/>
      <c r="AW81" s="1116"/>
      <c r="AX81" s="1116"/>
      <c r="AY81" s="1091">
        <f t="shared" ref="AY81:AY84" si="65">AM81</f>
        <v>0.25</v>
      </c>
      <c r="AZ81" s="1091"/>
    </row>
    <row r="82" spans="1:52" ht="13.15" customHeight="1">
      <c r="A82" s="51"/>
      <c r="B82" s="1118"/>
      <c r="C82" s="1128"/>
      <c r="D82" s="1129" t="str">
        <f>採点Q3!D51</f>
        <v>3.1.2.2 公共交通指向型開発</v>
      </c>
      <c r="E82" s="433"/>
      <c r="F82" s="433"/>
      <c r="G82" s="433"/>
      <c r="H82" s="433"/>
      <c r="I82" s="1131" t="str">
        <f>採点Q3!D59</f>
        <v>評価する取組</v>
      </c>
      <c r="J82" s="1121"/>
      <c r="K82" s="1146">
        <f>採点Q3!E58</f>
        <v>0</v>
      </c>
      <c r="L82" s="1121"/>
      <c r="M82" s="1121"/>
      <c r="N82" s="1121"/>
      <c r="O82" s="1122"/>
      <c r="P82" s="1159">
        <f t="shared" si="56"/>
        <v>3</v>
      </c>
      <c r="Q82" s="1124">
        <f t="shared" si="53"/>
        <v>0.25</v>
      </c>
      <c r="R82" s="1160"/>
      <c r="S82" s="699"/>
      <c r="T82" s="1091">
        <f>採点Q3!D52</f>
        <v>3</v>
      </c>
      <c r="U82" s="1091"/>
      <c r="V82" s="1091">
        <f t="shared" si="54"/>
        <v>3</v>
      </c>
      <c r="W82" s="699"/>
      <c r="X82" s="1352"/>
      <c r="Y82" s="1352"/>
      <c r="Z82" s="1352"/>
      <c r="AA82" s="1091">
        <v>1</v>
      </c>
      <c r="AB82" s="1091"/>
      <c r="AC82" s="96"/>
      <c r="AD82" s="1116"/>
      <c r="AE82" s="1116"/>
      <c r="AF82" s="1116"/>
      <c r="AG82" s="1091">
        <f t="shared" si="63"/>
        <v>1</v>
      </c>
      <c r="AH82" s="1091">
        <f t="shared" si="63"/>
        <v>0</v>
      </c>
      <c r="AI82" s="96"/>
      <c r="AJ82" s="1116"/>
      <c r="AK82" s="1116"/>
      <c r="AL82" s="1116"/>
      <c r="AM82" s="1091">
        <f>AG82/AG80</f>
        <v>0.25</v>
      </c>
      <c r="AN82" s="1091"/>
      <c r="AP82" s="1116"/>
      <c r="AQ82" s="1116"/>
      <c r="AR82" s="1116"/>
      <c r="AS82" s="1091">
        <f t="shared" si="64"/>
        <v>0.75</v>
      </c>
      <c r="AT82" s="1091"/>
      <c r="AV82" s="1116"/>
      <c r="AW82" s="1116"/>
      <c r="AX82" s="1116"/>
      <c r="AY82" s="1091">
        <f t="shared" si="65"/>
        <v>0.25</v>
      </c>
      <c r="AZ82" s="1091"/>
    </row>
    <row r="83" spans="1:52" ht="13.15" customHeight="1">
      <c r="B83" s="1118"/>
      <c r="C83" s="1128"/>
      <c r="D83" s="1129" t="str">
        <f>採点Q3!D67</f>
        <v>3.1.2.3 モビリティサービス</v>
      </c>
      <c r="E83" s="433"/>
      <c r="F83" s="433"/>
      <c r="G83" s="433"/>
      <c r="H83" s="433"/>
      <c r="I83" s="1131">
        <f>採点Q3!E74</f>
        <v>0</v>
      </c>
      <c r="J83" s="1121"/>
      <c r="K83" s="1121"/>
      <c r="L83" s="1121"/>
      <c r="M83" s="1121"/>
      <c r="N83" s="1121"/>
      <c r="O83" s="1122"/>
      <c r="P83" s="1159">
        <f t="shared" si="56"/>
        <v>3</v>
      </c>
      <c r="Q83" s="1124">
        <f t="shared" si="53"/>
        <v>0.25</v>
      </c>
      <c r="R83" s="1160"/>
      <c r="S83" s="699"/>
      <c r="T83" s="1091">
        <f>採点Q3!D68</f>
        <v>3</v>
      </c>
      <c r="U83" s="1091"/>
      <c r="V83" s="1091">
        <f t="shared" si="54"/>
        <v>3</v>
      </c>
      <c r="W83" s="699"/>
      <c r="X83" s="1352"/>
      <c r="Y83" s="1352"/>
      <c r="Z83" s="1352"/>
      <c r="AA83" s="1091">
        <v>1</v>
      </c>
      <c r="AB83" s="1091"/>
      <c r="AC83" s="96"/>
      <c r="AD83" s="1116"/>
      <c r="AE83" s="1116"/>
      <c r="AF83" s="1116"/>
      <c r="AG83" s="1091">
        <f t="shared" si="63"/>
        <v>1</v>
      </c>
      <c r="AH83" s="1091">
        <f t="shared" si="63"/>
        <v>0</v>
      </c>
      <c r="AI83" s="96"/>
      <c r="AJ83" s="1116"/>
      <c r="AK83" s="1116"/>
      <c r="AL83" s="1116"/>
      <c r="AM83" s="1106">
        <f>AG83/AG80</f>
        <v>0.25</v>
      </c>
      <c r="AN83" s="1091"/>
      <c r="AP83" s="1116"/>
      <c r="AQ83" s="1116"/>
      <c r="AR83" s="1116"/>
      <c r="AS83" s="1106">
        <f t="shared" si="64"/>
        <v>0.75</v>
      </c>
      <c r="AT83" s="1091"/>
      <c r="AV83" s="1116"/>
      <c r="AW83" s="1116"/>
      <c r="AX83" s="1116"/>
      <c r="AY83" s="1106">
        <f t="shared" si="65"/>
        <v>0.25</v>
      </c>
      <c r="AZ83" s="1091"/>
    </row>
    <row r="84" spans="1:52" ht="13.15" customHeight="1">
      <c r="B84" s="1118"/>
      <c r="C84" s="1128"/>
      <c r="D84" s="1129" t="str">
        <f>採点Q3!D76</f>
        <v>3.1.2.4 物流システム</v>
      </c>
      <c r="E84" s="433"/>
      <c r="F84" s="433"/>
      <c r="G84" s="433"/>
      <c r="H84" s="433"/>
      <c r="I84" s="1131">
        <f>採点Q3!E83</f>
        <v>0</v>
      </c>
      <c r="J84" s="1121"/>
      <c r="K84" s="1121"/>
      <c r="L84" s="1121"/>
      <c r="M84" s="1121"/>
      <c r="N84" s="1121"/>
      <c r="O84" s="1122"/>
      <c r="P84" s="1159">
        <f t="shared" si="56"/>
        <v>3</v>
      </c>
      <c r="Q84" s="1124">
        <f t="shared" si="53"/>
        <v>0.25</v>
      </c>
      <c r="R84" s="1161"/>
      <c r="S84" s="699"/>
      <c r="T84" s="1091">
        <f>採点Q3!D77</f>
        <v>3</v>
      </c>
      <c r="U84" s="1091"/>
      <c r="V84" s="1091">
        <f t="shared" si="54"/>
        <v>3</v>
      </c>
      <c r="W84" s="699"/>
      <c r="X84" s="1352"/>
      <c r="Y84" s="1353"/>
      <c r="Z84" s="1353"/>
      <c r="AA84" s="1091">
        <v>1</v>
      </c>
      <c r="AB84" s="1091"/>
      <c r="AC84" s="96"/>
      <c r="AD84" s="1116"/>
      <c r="AE84" s="1132"/>
      <c r="AF84" s="1132"/>
      <c r="AG84" s="1091">
        <f t="shared" si="63"/>
        <v>1</v>
      </c>
      <c r="AH84" s="1091">
        <f t="shared" si="63"/>
        <v>0</v>
      </c>
      <c r="AI84" s="96"/>
      <c r="AJ84" s="1116"/>
      <c r="AK84" s="1132"/>
      <c r="AL84" s="1132"/>
      <c r="AM84" s="1106">
        <f>AG84/AG80</f>
        <v>0.25</v>
      </c>
      <c r="AN84" s="1091"/>
      <c r="AP84" s="1116"/>
      <c r="AQ84" s="1132"/>
      <c r="AR84" s="1132"/>
      <c r="AS84" s="1106">
        <f t="shared" si="64"/>
        <v>0.75</v>
      </c>
      <c r="AT84" s="1091"/>
      <c r="AV84" s="1116"/>
      <c r="AW84" s="1132"/>
      <c r="AX84" s="1132"/>
      <c r="AY84" s="1106">
        <f t="shared" si="65"/>
        <v>0.25</v>
      </c>
      <c r="AZ84" s="1091"/>
    </row>
    <row r="85" spans="1:52" ht="13.15" customHeight="1">
      <c r="A85" s="51"/>
      <c r="B85" s="1138" t="str">
        <f>採点Q3!B85</f>
        <v>3.2 ヒューマンキャピタル</v>
      </c>
      <c r="C85" s="1139"/>
      <c r="D85" s="786"/>
      <c r="E85" s="786"/>
      <c r="F85" s="786"/>
      <c r="G85" s="786"/>
      <c r="H85" s="786"/>
      <c r="I85" s="1120"/>
      <c r="J85" s="1121"/>
      <c r="K85" s="1121"/>
      <c r="L85" s="1121"/>
      <c r="M85" s="1121"/>
      <c r="N85" s="1121"/>
      <c r="O85" s="1122"/>
      <c r="P85" s="1159"/>
      <c r="Q85" s="1124">
        <f t="shared" si="53"/>
        <v>0.2857142857142857</v>
      </c>
      <c r="R85" s="1141">
        <f>ROUNDDOWN($V85,1)</f>
        <v>3.5</v>
      </c>
      <c r="S85" s="699"/>
      <c r="T85" s="1091"/>
      <c r="U85" s="1091">
        <f>AR85</f>
        <v>3.5</v>
      </c>
      <c r="V85" s="1091">
        <f t="shared" si="54"/>
        <v>3.5</v>
      </c>
      <c r="W85" s="699"/>
      <c r="X85" s="1352"/>
      <c r="Y85" s="1351">
        <v>1</v>
      </c>
      <c r="Z85" s="1091"/>
      <c r="AA85" s="1091"/>
      <c r="AB85" s="1091"/>
      <c r="AC85" s="96"/>
      <c r="AD85" s="1116"/>
      <c r="AE85" s="1106">
        <f>IF(AF85=0,0,Y85)</f>
        <v>1</v>
      </c>
      <c r="AF85" s="1092">
        <f>SUM(AF86:AF89)</f>
        <v>2</v>
      </c>
      <c r="AG85" s="1091"/>
      <c r="AH85" s="1091">
        <f>IF($T85=0,0,1)*AB85</f>
        <v>0</v>
      </c>
      <c r="AI85" s="96"/>
      <c r="AJ85" s="1116"/>
      <c r="AK85" s="1106">
        <f>AE85/AE74</f>
        <v>0.2857142857142857</v>
      </c>
      <c r="AL85" s="1092"/>
      <c r="AM85" s="1091"/>
      <c r="AN85" s="1091"/>
      <c r="AP85" s="1116"/>
      <c r="AQ85" s="1106">
        <f t="shared" ref="AQ85" si="66">($T85+AR85)*AK85</f>
        <v>1</v>
      </c>
      <c r="AR85" s="1092">
        <f>SUM(AR86:AR89)</f>
        <v>3.5</v>
      </c>
      <c r="AS85" s="1091"/>
      <c r="AT85" s="1091"/>
      <c r="AV85" s="1116"/>
      <c r="AW85" s="1106">
        <f>AK85</f>
        <v>0.2857142857142857</v>
      </c>
      <c r="AX85" s="1092">
        <f>SUM(AX86:AX89)</f>
        <v>1</v>
      </c>
      <c r="AY85" s="1091"/>
      <c r="AZ85" s="1091"/>
    </row>
    <row r="86" spans="1:52" ht="13.15" customHeight="1">
      <c r="A86" s="51"/>
      <c r="B86" s="1118"/>
      <c r="C86" s="1119" t="str">
        <f>採点Q3!C86</f>
        <v>3.2.1 人口</v>
      </c>
      <c r="D86" s="473"/>
      <c r="E86" s="786"/>
      <c r="F86" s="786"/>
      <c r="G86" s="786"/>
      <c r="H86" s="1142"/>
      <c r="I86" s="1120"/>
      <c r="J86" s="1121"/>
      <c r="K86" s="1121"/>
      <c r="L86" s="1121"/>
      <c r="M86" s="1121"/>
      <c r="N86" s="1121"/>
      <c r="O86" s="1122"/>
      <c r="P86" s="1159">
        <f t="shared" ref="P86:P89" si="67">ROUNDDOWN($V86,1)</f>
        <v>3</v>
      </c>
      <c r="Q86" s="1124">
        <f t="shared" si="53"/>
        <v>0.5</v>
      </c>
      <c r="R86" s="1160"/>
      <c r="S86" s="699"/>
      <c r="T86" s="1091"/>
      <c r="U86" s="1091">
        <f>AS86</f>
        <v>3</v>
      </c>
      <c r="V86" s="1091">
        <f t="shared" si="54"/>
        <v>3</v>
      </c>
      <c r="W86" s="699"/>
      <c r="X86" s="1352"/>
      <c r="Y86" s="1352"/>
      <c r="Z86" s="1351">
        <v>1</v>
      </c>
      <c r="AA86" s="1091"/>
      <c r="AB86" s="1091"/>
      <c r="AC86" s="96"/>
      <c r="AD86" s="1116"/>
      <c r="AE86" s="1116"/>
      <c r="AF86" s="1106">
        <f>IF(AG86=0,0,Z86)</f>
        <v>1</v>
      </c>
      <c r="AG86" s="1092">
        <f>SUM(AG87:AG88)</f>
        <v>2</v>
      </c>
      <c r="AH86" s="1091"/>
      <c r="AI86" s="96"/>
      <c r="AJ86" s="1116"/>
      <c r="AK86" s="1116"/>
      <c r="AL86" s="1106">
        <f>AF86/AF85</f>
        <v>0.5</v>
      </c>
      <c r="AM86" s="1092"/>
      <c r="AN86" s="1091"/>
      <c r="AP86" s="1116"/>
      <c r="AQ86" s="1116"/>
      <c r="AR86" s="1106">
        <f t="shared" ref="AR86" si="68">($T86+AS86)*AL86</f>
        <v>1.5</v>
      </c>
      <c r="AS86" s="1092">
        <f>SUM(AS87:AS88)</f>
        <v>3</v>
      </c>
      <c r="AT86" s="1091"/>
      <c r="AV86" s="1116"/>
      <c r="AW86" s="1116"/>
      <c r="AX86" s="1106">
        <f>AL86</f>
        <v>0.5</v>
      </c>
      <c r="AY86" s="1092">
        <f>SUM(AY87:AY88)</f>
        <v>1</v>
      </c>
      <c r="AZ86" s="1091"/>
    </row>
    <row r="87" spans="1:52" ht="13.15" customHeight="1">
      <c r="A87" s="51"/>
      <c r="B87" s="1118"/>
      <c r="C87" s="1144"/>
      <c r="D87" s="1129" t="str">
        <f>採点Q3!D87</f>
        <v>3.2.1.1 常住人口（夜間人口）</v>
      </c>
      <c r="E87" s="433"/>
      <c r="F87" s="433"/>
      <c r="G87" s="433"/>
      <c r="H87" s="1142"/>
      <c r="I87" s="1131">
        <f>採点Q3!E94</f>
        <v>0</v>
      </c>
      <c r="J87" s="1121"/>
      <c r="K87" s="1121"/>
      <c r="L87" s="1121"/>
      <c r="M87" s="1121"/>
      <c r="N87" s="1121"/>
      <c r="O87" s="1122"/>
      <c r="P87" s="1159">
        <f t="shared" si="67"/>
        <v>3</v>
      </c>
      <c r="Q87" s="1124">
        <f t="shared" si="53"/>
        <v>0.5</v>
      </c>
      <c r="R87" s="1160"/>
      <c r="S87" s="699"/>
      <c r="T87" s="1091">
        <f>採点Q3!D88</f>
        <v>3</v>
      </c>
      <c r="U87" s="1091"/>
      <c r="V87" s="1091">
        <f t="shared" si="54"/>
        <v>3</v>
      </c>
      <c r="W87" s="699"/>
      <c r="X87" s="1352"/>
      <c r="Y87" s="1352"/>
      <c r="Z87" s="1352"/>
      <c r="AA87" s="1091">
        <v>1</v>
      </c>
      <c r="AB87" s="1091"/>
      <c r="AC87" s="96"/>
      <c r="AD87" s="1116"/>
      <c r="AE87" s="1116"/>
      <c r="AF87" s="1116"/>
      <c r="AG87" s="1091">
        <f t="shared" ref="AG87:AH89" si="69">IF($T87=0,0,1)*AA87</f>
        <v>1</v>
      </c>
      <c r="AH87" s="1091">
        <f t="shared" si="69"/>
        <v>0</v>
      </c>
      <c r="AI87" s="96"/>
      <c r="AJ87" s="1116"/>
      <c r="AK87" s="1116"/>
      <c r="AL87" s="1116"/>
      <c r="AM87" s="1091">
        <f>AG87/AG86</f>
        <v>0.5</v>
      </c>
      <c r="AN87" s="1091"/>
      <c r="AP87" s="1116"/>
      <c r="AQ87" s="1116"/>
      <c r="AR87" s="1116"/>
      <c r="AS87" s="1091">
        <f t="shared" ref="AS87:AS88" si="70">($T87+AT87)*AM87</f>
        <v>1.5</v>
      </c>
      <c r="AT87" s="1091"/>
      <c r="AV87" s="1116"/>
      <c r="AW87" s="1116"/>
      <c r="AX87" s="1116"/>
      <c r="AY87" s="1091">
        <f t="shared" ref="AY87:AY88" si="71">AM87</f>
        <v>0.5</v>
      </c>
      <c r="AZ87" s="1091"/>
    </row>
    <row r="88" spans="1:52" ht="13.15" customHeight="1">
      <c r="A88" s="51"/>
      <c r="B88" s="1118"/>
      <c r="C88" s="1128"/>
      <c r="D88" s="1129" t="str">
        <f>採点Q3!D96</f>
        <v>3.2.1.2 滞在人口（昼間人口）</v>
      </c>
      <c r="E88" s="433"/>
      <c r="F88" s="433"/>
      <c r="G88" s="433"/>
      <c r="H88" s="433"/>
      <c r="I88" s="1131">
        <f>採点Q3!E103</f>
        <v>0</v>
      </c>
      <c r="J88" s="1121"/>
      <c r="K88" s="1121"/>
      <c r="L88" s="1121"/>
      <c r="M88" s="1121"/>
      <c r="N88" s="1121"/>
      <c r="O88" s="1122"/>
      <c r="P88" s="1159">
        <f t="shared" si="67"/>
        <v>3</v>
      </c>
      <c r="Q88" s="1124">
        <f t="shared" si="53"/>
        <v>0.5</v>
      </c>
      <c r="R88" s="1160"/>
      <c r="S88" s="699"/>
      <c r="T88" s="1091">
        <f>採点Q3!D97</f>
        <v>3</v>
      </c>
      <c r="U88" s="1091"/>
      <c r="V88" s="1091">
        <f t="shared" si="54"/>
        <v>3</v>
      </c>
      <c r="W88" s="699"/>
      <c r="X88" s="1352"/>
      <c r="Y88" s="1352"/>
      <c r="Z88" s="1353"/>
      <c r="AA88" s="1091">
        <v>1</v>
      </c>
      <c r="AB88" s="1091"/>
      <c r="AC88" s="96"/>
      <c r="AD88" s="1116"/>
      <c r="AE88" s="1116"/>
      <c r="AF88" s="1132"/>
      <c r="AG88" s="1091">
        <f t="shared" si="69"/>
        <v>1</v>
      </c>
      <c r="AH88" s="1091">
        <f t="shared" si="69"/>
        <v>0</v>
      </c>
      <c r="AI88" s="96"/>
      <c r="AJ88" s="1116"/>
      <c r="AK88" s="1116"/>
      <c r="AL88" s="1132"/>
      <c r="AM88" s="1091">
        <f>AG88/AG86</f>
        <v>0.5</v>
      </c>
      <c r="AN88" s="1091"/>
      <c r="AP88" s="1116"/>
      <c r="AQ88" s="1116"/>
      <c r="AR88" s="1132"/>
      <c r="AS88" s="1091">
        <f t="shared" si="70"/>
        <v>1.5</v>
      </c>
      <c r="AT88" s="1091"/>
      <c r="AV88" s="1116"/>
      <c r="AW88" s="1116"/>
      <c r="AX88" s="1132"/>
      <c r="AY88" s="1091">
        <f t="shared" si="71"/>
        <v>0.5</v>
      </c>
      <c r="AZ88" s="1091"/>
    </row>
    <row r="89" spans="1:52" ht="13.15" customHeight="1">
      <c r="A89" s="51"/>
      <c r="B89" s="1118"/>
      <c r="C89" s="1119" t="str">
        <f>採点Q3!C105</f>
        <v>3.2.2 学習機会</v>
      </c>
      <c r="D89" s="473"/>
      <c r="E89" s="786"/>
      <c r="F89" s="786"/>
      <c r="G89" s="786"/>
      <c r="H89" s="1142"/>
      <c r="I89" s="1131" t="str">
        <f>採点Q3!D113</f>
        <v>評価する取組</v>
      </c>
      <c r="J89" s="1121"/>
      <c r="K89" s="1146">
        <f>採点Q3!E112</f>
        <v>0</v>
      </c>
      <c r="L89" s="1121"/>
      <c r="M89" s="1121"/>
      <c r="N89" s="1121"/>
      <c r="O89" s="1122"/>
      <c r="P89" s="1159">
        <f t="shared" si="67"/>
        <v>4</v>
      </c>
      <c r="Q89" s="1124">
        <f t="shared" si="53"/>
        <v>0.5</v>
      </c>
      <c r="R89" s="1161"/>
      <c r="S89" s="699"/>
      <c r="T89" s="1091">
        <f>採点Q3!D106</f>
        <v>4</v>
      </c>
      <c r="U89" s="1091"/>
      <c r="V89" s="1091">
        <f t="shared" si="54"/>
        <v>4</v>
      </c>
      <c r="W89" s="699"/>
      <c r="X89" s="1352"/>
      <c r="Y89" s="1353"/>
      <c r="Z89" s="1091">
        <v>1</v>
      </c>
      <c r="AA89" s="1091"/>
      <c r="AB89" s="1091"/>
      <c r="AC89" s="96"/>
      <c r="AD89" s="1116"/>
      <c r="AE89" s="1132"/>
      <c r="AF89" s="1091">
        <f>IF($T89=0,0,1)*Z89</f>
        <v>1</v>
      </c>
      <c r="AG89" s="1091">
        <f t="shared" si="69"/>
        <v>0</v>
      </c>
      <c r="AH89" s="1091">
        <f t="shared" si="69"/>
        <v>0</v>
      </c>
      <c r="AI89" s="96"/>
      <c r="AJ89" s="1116"/>
      <c r="AK89" s="1132"/>
      <c r="AL89" s="1106">
        <f>AF89/AF85</f>
        <v>0.5</v>
      </c>
      <c r="AM89" s="1091"/>
      <c r="AN89" s="1091"/>
      <c r="AP89" s="1116"/>
      <c r="AQ89" s="1132"/>
      <c r="AR89" s="1106">
        <f t="shared" ref="AR89" si="72">($T89+AS89)*AL89</f>
        <v>2</v>
      </c>
      <c r="AS89" s="1091"/>
      <c r="AT89" s="1091"/>
      <c r="AV89" s="1116"/>
      <c r="AW89" s="1132"/>
      <c r="AX89" s="1106">
        <f>AL89</f>
        <v>0.5</v>
      </c>
      <c r="AY89" s="1091"/>
      <c r="AZ89" s="1091"/>
    </row>
    <row r="90" spans="1:52" ht="13.15" customHeight="1">
      <c r="A90" s="51"/>
      <c r="B90" s="1138" t="str">
        <f>採点Q3!B120</f>
        <v>3.3 活性化方策</v>
      </c>
      <c r="C90" s="1139"/>
      <c r="D90" s="786"/>
      <c r="E90" s="786"/>
      <c r="F90" s="786"/>
      <c r="G90" s="786"/>
      <c r="H90" s="786"/>
      <c r="I90" s="1120"/>
      <c r="J90" s="1121"/>
      <c r="K90" s="1121"/>
      <c r="L90" s="1121"/>
      <c r="M90" s="1121"/>
      <c r="N90" s="1121"/>
      <c r="O90" s="1122"/>
      <c r="P90" s="1159"/>
      <c r="Q90" s="1124">
        <f t="shared" si="53"/>
        <v>0.2857142857142857</v>
      </c>
      <c r="R90" s="1141">
        <f>ROUNDDOWN($V90,1)</f>
        <v>3</v>
      </c>
      <c r="S90" s="699"/>
      <c r="T90" s="1091"/>
      <c r="U90" s="1091">
        <f>AR90</f>
        <v>3</v>
      </c>
      <c r="V90" s="1091">
        <f t="shared" si="54"/>
        <v>3</v>
      </c>
      <c r="W90" s="699"/>
      <c r="X90" s="1352"/>
      <c r="Y90" s="1351">
        <v>1</v>
      </c>
      <c r="Z90" s="1091"/>
      <c r="AA90" s="1091"/>
      <c r="AB90" s="1091"/>
      <c r="AC90" s="96"/>
      <c r="AD90" s="1116"/>
      <c r="AE90" s="1106">
        <f>IF(AF90=0,0,Y90)</f>
        <v>1</v>
      </c>
      <c r="AF90" s="1092">
        <f>SUM(AF91:AF97)</f>
        <v>3</v>
      </c>
      <c r="AG90" s="1091"/>
      <c r="AH90" s="1091">
        <f t="shared" ref="AH90" si="73">IF($T90=0,0,1)*AB90</f>
        <v>0</v>
      </c>
      <c r="AI90" s="96"/>
      <c r="AJ90" s="1116"/>
      <c r="AK90" s="1106">
        <f>AE90/AE74</f>
        <v>0.2857142857142857</v>
      </c>
      <c r="AL90" s="1092"/>
      <c r="AM90" s="1091"/>
      <c r="AN90" s="1091"/>
      <c r="AP90" s="1116"/>
      <c r="AQ90" s="1106">
        <f t="shared" ref="AQ90" si="74">($T90+AR90)*AK90</f>
        <v>0.8571428571428571</v>
      </c>
      <c r="AR90" s="1092">
        <f>SUM(AR91:AR97)</f>
        <v>3</v>
      </c>
      <c r="AS90" s="1091"/>
      <c r="AT90" s="1091"/>
      <c r="AV90" s="1116"/>
      <c r="AW90" s="1106">
        <f>AK90</f>
        <v>0.2857142857142857</v>
      </c>
      <c r="AX90" s="1092">
        <f>SUM(AX91:AX97)</f>
        <v>1</v>
      </c>
      <c r="AY90" s="1091"/>
      <c r="AZ90" s="1091"/>
    </row>
    <row r="91" spans="1:52" ht="13.15" customHeight="1">
      <c r="A91" s="51"/>
      <c r="B91" s="1118"/>
      <c r="C91" s="1129" t="str">
        <f>採点Q3!C121</f>
        <v>3.3.1 雇用・働く場の創出</v>
      </c>
      <c r="D91" s="473"/>
      <c r="E91" s="786"/>
      <c r="F91" s="786"/>
      <c r="G91" s="786"/>
      <c r="H91" s="1142"/>
      <c r="I91" s="1120"/>
      <c r="J91" s="1121"/>
      <c r="K91" s="1121"/>
      <c r="L91" s="1121"/>
      <c r="M91" s="1121"/>
      <c r="N91" s="1121"/>
      <c r="O91" s="1122"/>
      <c r="P91" s="1159">
        <f t="shared" ref="P91:P97" si="75">ROUNDDOWN($V91,1)</f>
        <v>3</v>
      </c>
      <c r="Q91" s="1124">
        <f t="shared" si="53"/>
        <v>0.33333333333333331</v>
      </c>
      <c r="R91" s="1160"/>
      <c r="S91" s="699"/>
      <c r="T91" s="1091"/>
      <c r="U91" s="1091">
        <f>AS91</f>
        <v>3</v>
      </c>
      <c r="V91" s="1091">
        <f t="shared" si="54"/>
        <v>3</v>
      </c>
      <c r="W91" s="699"/>
      <c r="X91" s="1352"/>
      <c r="Y91" s="1352"/>
      <c r="Z91" s="1351">
        <v>1</v>
      </c>
      <c r="AA91" s="1091"/>
      <c r="AB91" s="1091"/>
      <c r="AC91" s="96"/>
      <c r="AD91" s="1116"/>
      <c r="AE91" s="1116"/>
      <c r="AF91" s="1106">
        <f>IF(AG91=0,0,Z91)</f>
        <v>1</v>
      </c>
      <c r="AG91" s="1092">
        <f>SUM(AG92:AG93)</f>
        <v>2</v>
      </c>
      <c r="AH91" s="1091"/>
      <c r="AI91" s="96"/>
      <c r="AJ91" s="1116"/>
      <c r="AK91" s="1116"/>
      <c r="AL91" s="1106">
        <f>AF91/AF90</f>
        <v>0.33333333333333331</v>
      </c>
      <c r="AM91" s="1092"/>
      <c r="AN91" s="1091"/>
      <c r="AP91" s="1116"/>
      <c r="AQ91" s="1116"/>
      <c r="AR91" s="1106">
        <f t="shared" ref="AR91" si="76">($T91+AS91)*AL91</f>
        <v>1</v>
      </c>
      <c r="AS91" s="1092">
        <f>SUM(AS92:AS93)</f>
        <v>3</v>
      </c>
      <c r="AT91" s="1091"/>
      <c r="AV91" s="1116"/>
      <c r="AW91" s="1116"/>
      <c r="AX91" s="1106">
        <f>AL91</f>
        <v>0.33333333333333331</v>
      </c>
      <c r="AY91" s="1092">
        <f>SUM(AY92:AY93)</f>
        <v>1</v>
      </c>
      <c r="AZ91" s="1091"/>
    </row>
    <row r="92" spans="1:52" ht="13.15" customHeight="1">
      <c r="A92" s="51"/>
      <c r="B92" s="1118"/>
      <c r="C92" s="1144"/>
      <c r="D92" s="1129" t="str">
        <f>採点Q3!D122</f>
        <v>3.3.1.1 雇用創出</v>
      </c>
      <c r="E92" s="433"/>
      <c r="F92" s="433"/>
      <c r="G92" s="433"/>
      <c r="H92" s="1142"/>
      <c r="I92" s="1131" t="str">
        <f>採点Q3!D130</f>
        <v>評価する取組</v>
      </c>
      <c r="J92" s="1121"/>
      <c r="K92" s="1146">
        <f>採点Q3!E129</f>
        <v>0</v>
      </c>
      <c r="L92" s="1121"/>
      <c r="M92" s="1121"/>
      <c r="N92" s="1121"/>
      <c r="O92" s="1122"/>
      <c r="P92" s="1159">
        <f t="shared" si="75"/>
        <v>3</v>
      </c>
      <c r="Q92" s="1124">
        <f t="shared" si="53"/>
        <v>0.5</v>
      </c>
      <c r="R92" s="1160"/>
      <c r="S92" s="699"/>
      <c r="T92" s="1091">
        <f>採点Q3!D123</f>
        <v>3</v>
      </c>
      <c r="U92" s="1091"/>
      <c r="V92" s="1091">
        <f t="shared" si="54"/>
        <v>3</v>
      </c>
      <c r="W92" s="699"/>
      <c r="X92" s="1352"/>
      <c r="Y92" s="1352"/>
      <c r="Z92" s="1352"/>
      <c r="AA92" s="1091">
        <v>1</v>
      </c>
      <c r="AB92" s="1091"/>
      <c r="AC92" s="96"/>
      <c r="AD92" s="1116"/>
      <c r="AE92" s="1116"/>
      <c r="AF92" s="1116"/>
      <c r="AG92" s="1091">
        <f t="shared" ref="AG92" si="77">IF($T92=0,0,1)*AA92</f>
        <v>1</v>
      </c>
      <c r="AH92" s="1091">
        <f t="shared" ref="AH92" si="78">IF($T92=0,0,1)*AB92</f>
        <v>0</v>
      </c>
      <c r="AI92" s="96"/>
      <c r="AJ92" s="1116"/>
      <c r="AK92" s="1116"/>
      <c r="AL92" s="1116"/>
      <c r="AM92" s="1091">
        <f>AG92/AG91</f>
        <v>0.5</v>
      </c>
      <c r="AN92" s="1091"/>
      <c r="AP92" s="1116"/>
      <c r="AQ92" s="1116"/>
      <c r="AR92" s="1116"/>
      <c r="AS92" s="1091">
        <f t="shared" ref="AS92:AS93" si="79">($T92+AT92)*AM92</f>
        <v>1.5</v>
      </c>
      <c r="AT92" s="1091"/>
      <c r="AV92" s="1116"/>
      <c r="AW92" s="1116"/>
      <c r="AX92" s="1116"/>
      <c r="AY92" s="1091">
        <f t="shared" ref="AY92:AY93" si="80">AM92</f>
        <v>0.5</v>
      </c>
      <c r="AZ92" s="1091"/>
    </row>
    <row r="93" spans="1:52" ht="13.15" customHeight="1">
      <c r="A93" s="51"/>
      <c r="B93" s="1118"/>
      <c r="C93" s="1128"/>
      <c r="D93" s="1129" t="str">
        <f>採点Q3!D139</f>
        <v>3.3.1.2 働き方の多様性</v>
      </c>
      <c r="E93" s="433"/>
      <c r="F93" s="433"/>
      <c r="G93" s="433"/>
      <c r="H93" s="433"/>
      <c r="I93" s="1131">
        <f>採点Q3!E146</f>
        <v>0</v>
      </c>
      <c r="J93" s="1121"/>
      <c r="K93" s="1121"/>
      <c r="L93" s="1121"/>
      <c r="M93" s="1121"/>
      <c r="N93" s="1121"/>
      <c r="O93" s="1122"/>
      <c r="P93" s="1159">
        <f t="shared" si="75"/>
        <v>3</v>
      </c>
      <c r="Q93" s="1124">
        <f t="shared" si="53"/>
        <v>0.5</v>
      </c>
      <c r="R93" s="1160"/>
      <c r="S93" s="699"/>
      <c r="T93" s="1091">
        <f>採点Q3!D140</f>
        <v>3</v>
      </c>
      <c r="U93" s="1091"/>
      <c r="V93" s="1091">
        <f t="shared" si="54"/>
        <v>3</v>
      </c>
      <c r="W93" s="699"/>
      <c r="X93" s="1352"/>
      <c r="Y93" s="1352"/>
      <c r="Z93" s="1353"/>
      <c r="AA93" s="1091">
        <v>1</v>
      </c>
      <c r="AB93" s="1091"/>
      <c r="AC93" s="96"/>
      <c r="AD93" s="1116"/>
      <c r="AE93" s="1116"/>
      <c r="AF93" s="1132"/>
      <c r="AG93" s="1091">
        <f t="shared" ref="AG93:AG96" si="81">IF($T93=0,0,1)*AA93</f>
        <v>1</v>
      </c>
      <c r="AH93" s="1091">
        <f t="shared" ref="AH93" si="82">IF($T93=0,0,1)*AB93</f>
        <v>0</v>
      </c>
      <c r="AI93" s="96"/>
      <c r="AJ93" s="1116"/>
      <c r="AK93" s="1116"/>
      <c r="AL93" s="1132"/>
      <c r="AM93" s="1091">
        <f>AG93/AG91</f>
        <v>0.5</v>
      </c>
      <c r="AN93" s="1091"/>
      <c r="AP93" s="1116"/>
      <c r="AQ93" s="1116"/>
      <c r="AR93" s="1132"/>
      <c r="AS93" s="1091">
        <f t="shared" si="79"/>
        <v>1.5</v>
      </c>
      <c r="AT93" s="1091"/>
      <c r="AV93" s="1116"/>
      <c r="AW93" s="1116"/>
      <c r="AX93" s="1132"/>
      <c r="AY93" s="1091">
        <f t="shared" si="80"/>
        <v>0.5</v>
      </c>
      <c r="AZ93" s="1091"/>
    </row>
    <row r="94" spans="1:52" ht="13.15" customHeight="1">
      <c r="A94" s="51"/>
      <c r="B94" s="1118"/>
      <c r="C94" s="1129" t="str">
        <f>採点Q3!C148</f>
        <v>3.3.2 地域産業力の強化</v>
      </c>
      <c r="D94" s="473"/>
      <c r="E94" s="786"/>
      <c r="F94" s="786"/>
      <c r="G94" s="786"/>
      <c r="H94" s="1142"/>
      <c r="I94" s="1120"/>
      <c r="J94" s="1121"/>
      <c r="K94" s="1121"/>
      <c r="L94" s="1121"/>
      <c r="M94" s="1121"/>
      <c r="N94" s="1121"/>
      <c r="O94" s="1122"/>
      <c r="P94" s="1159">
        <f t="shared" si="75"/>
        <v>3</v>
      </c>
      <c r="Q94" s="1124">
        <f t="shared" si="53"/>
        <v>0.33333333333333331</v>
      </c>
      <c r="R94" s="1160"/>
      <c r="S94" s="699"/>
      <c r="T94" s="1091"/>
      <c r="U94" s="1091">
        <f>AS94</f>
        <v>3</v>
      </c>
      <c r="V94" s="1091">
        <f t="shared" si="54"/>
        <v>3</v>
      </c>
      <c r="W94" s="699"/>
      <c r="X94" s="1352"/>
      <c r="Y94" s="1352"/>
      <c r="Z94" s="1351">
        <v>1</v>
      </c>
      <c r="AA94" s="1091"/>
      <c r="AB94" s="1091"/>
      <c r="AC94" s="96"/>
      <c r="AD94" s="1116"/>
      <c r="AE94" s="1116"/>
      <c r="AF94" s="1106">
        <f>IF(AG94=0,0,Z94)</f>
        <v>1</v>
      </c>
      <c r="AG94" s="1092">
        <f>SUM(AG95:AG96)</f>
        <v>2</v>
      </c>
      <c r="AH94" s="1091"/>
      <c r="AI94" s="96"/>
      <c r="AJ94" s="1116"/>
      <c r="AK94" s="1116"/>
      <c r="AL94" s="1106">
        <f>AF94/AF90</f>
        <v>0.33333333333333331</v>
      </c>
      <c r="AM94" s="1092"/>
      <c r="AN94" s="1091"/>
      <c r="AP94" s="1116"/>
      <c r="AQ94" s="1116"/>
      <c r="AR94" s="1106">
        <f t="shared" ref="AR94" si="83">($T94+AS94)*AL94</f>
        <v>1</v>
      </c>
      <c r="AS94" s="1092">
        <f>SUM(AS95:AS96)</f>
        <v>3</v>
      </c>
      <c r="AT94" s="1091"/>
      <c r="AV94" s="1116"/>
      <c r="AW94" s="1116"/>
      <c r="AX94" s="1106">
        <f>AL94</f>
        <v>0.33333333333333331</v>
      </c>
      <c r="AY94" s="1092">
        <f>SUM(AY95:AY96)</f>
        <v>1</v>
      </c>
      <c r="AZ94" s="1091"/>
    </row>
    <row r="95" spans="1:52" ht="13.15" customHeight="1">
      <c r="A95" s="51"/>
      <c r="B95" s="1118"/>
      <c r="C95" s="1144"/>
      <c r="D95" s="1129" t="str">
        <f>採点Q3!D149</f>
        <v>3.3.2.1 地域産業の振興</v>
      </c>
      <c r="E95" s="433"/>
      <c r="F95" s="433"/>
      <c r="G95" s="433"/>
      <c r="H95" s="1142"/>
      <c r="I95" s="1131" t="str">
        <f>採点Q3!D158</f>
        <v>評価する取組</v>
      </c>
      <c r="J95" s="1121"/>
      <c r="K95" s="1146">
        <f>採点Q3!E157</f>
        <v>0</v>
      </c>
      <c r="L95" s="1121"/>
      <c r="M95" s="1121"/>
      <c r="N95" s="1121"/>
      <c r="O95" s="1122"/>
      <c r="P95" s="1159">
        <f t="shared" si="75"/>
        <v>3</v>
      </c>
      <c r="Q95" s="1124">
        <f t="shared" si="53"/>
        <v>0.5</v>
      </c>
      <c r="R95" s="1160"/>
      <c r="S95" s="699"/>
      <c r="T95" s="1091">
        <f>採点Q3!D151</f>
        <v>3</v>
      </c>
      <c r="U95" s="1091"/>
      <c r="V95" s="1091">
        <f t="shared" si="54"/>
        <v>3</v>
      </c>
      <c r="W95" s="699"/>
      <c r="X95" s="1352"/>
      <c r="Y95" s="1352"/>
      <c r="Z95" s="1352"/>
      <c r="AA95" s="1091">
        <v>1</v>
      </c>
      <c r="AB95" s="1091"/>
      <c r="AC95" s="96"/>
      <c r="AD95" s="1116"/>
      <c r="AE95" s="1116"/>
      <c r="AF95" s="1116"/>
      <c r="AG95" s="1091">
        <f t="shared" si="81"/>
        <v>1</v>
      </c>
      <c r="AH95" s="1091">
        <f t="shared" ref="AH95:AH115" si="84">IF($T95=0,0,1)*AB95</f>
        <v>0</v>
      </c>
      <c r="AI95" s="96"/>
      <c r="AJ95" s="1116"/>
      <c r="AK95" s="1116"/>
      <c r="AL95" s="1116"/>
      <c r="AM95" s="1091">
        <f>AG95/AG94</f>
        <v>0.5</v>
      </c>
      <c r="AN95" s="1091"/>
      <c r="AP95" s="1116"/>
      <c r="AQ95" s="1116"/>
      <c r="AR95" s="1116"/>
      <c r="AS95" s="1091">
        <f t="shared" ref="AS95:AS96" si="85">($T95+AT95)*AM95</f>
        <v>1.5</v>
      </c>
      <c r="AT95" s="1091"/>
      <c r="AV95" s="1116"/>
      <c r="AW95" s="1116"/>
      <c r="AX95" s="1116"/>
      <c r="AY95" s="1091">
        <f t="shared" ref="AY95:AY96" si="86">AM95</f>
        <v>0.5</v>
      </c>
      <c r="AZ95" s="1091"/>
    </row>
    <row r="96" spans="1:52" ht="13.15" customHeight="1">
      <c r="A96" s="51"/>
      <c r="B96" s="1118"/>
      <c r="C96" s="1128"/>
      <c r="D96" s="1129" t="str">
        <f>採点Q3!D167</f>
        <v>3.3.2.2 魅力的なまちなかの形成</v>
      </c>
      <c r="E96" s="433"/>
      <c r="F96" s="433"/>
      <c r="G96" s="433"/>
      <c r="H96" s="433"/>
      <c r="I96" s="1131" t="str">
        <f>採点Q3!D175</f>
        <v>評価する取組</v>
      </c>
      <c r="J96" s="1121"/>
      <c r="K96" s="1146">
        <f>採点Q3!E174</f>
        <v>0</v>
      </c>
      <c r="L96" s="1121"/>
      <c r="M96" s="1121"/>
      <c r="N96" s="1121"/>
      <c r="O96" s="1122"/>
      <c r="P96" s="1159">
        <f t="shared" si="75"/>
        <v>3</v>
      </c>
      <c r="Q96" s="1124">
        <f t="shared" si="53"/>
        <v>0.5</v>
      </c>
      <c r="R96" s="1160"/>
      <c r="S96" s="699"/>
      <c r="T96" s="1091">
        <f>採点Q3!D168</f>
        <v>3</v>
      </c>
      <c r="U96" s="1091"/>
      <c r="V96" s="1091">
        <f t="shared" si="54"/>
        <v>3</v>
      </c>
      <c r="W96" s="699"/>
      <c r="X96" s="1352"/>
      <c r="Y96" s="1352"/>
      <c r="Z96" s="1353"/>
      <c r="AA96" s="1091">
        <v>1</v>
      </c>
      <c r="AB96" s="1091"/>
      <c r="AC96" s="96"/>
      <c r="AD96" s="1116"/>
      <c r="AE96" s="1116"/>
      <c r="AF96" s="1132"/>
      <c r="AG96" s="1091">
        <f t="shared" si="81"/>
        <v>1</v>
      </c>
      <c r="AH96" s="1091">
        <f t="shared" si="84"/>
        <v>0</v>
      </c>
      <c r="AI96" s="96"/>
      <c r="AJ96" s="1116"/>
      <c r="AK96" s="1116"/>
      <c r="AL96" s="1132"/>
      <c r="AM96" s="1091">
        <f>AG96/AG94</f>
        <v>0.5</v>
      </c>
      <c r="AN96" s="1091"/>
      <c r="AP96" s="1116"/>
      <c r="AQ96" s="1116"/>
      <c r="AR96" s="1132"/>
      <c r="AS96" s="1091">
        <f t="shared" si="85"/>
        <v>1.5</v>
      </c>
      <c r="AT96" s="1091"/>
      <c r="AV96" s="1116"/>
      <c r="AW96" s="1116"/>
      <c r="AX96" s="1132"/>
      <c r="AY96" s="1091">
        <f t="shared" si="86"/>
        <v>0.5</v>
      </c>
      <c r="AZ96" s="1091"/>
    </row>
    <row r="97" spans="1:52" ht="13.15" customHeight="1">
      <c r="A97" s="51"/>
      <c r="B97" s="1118"/>
      <c r="C97" s="1129" t="str">
        <f>採点Q3!C188</f>
        <v>3.3.3 多様な主体の連携</v>
      </c>
      <c r="D97" s="473"/>
      <c r="E97" s="786"/>
      <c r="F97" s="786"/>
      <c r="G97" s="786"/>
      <c r="H97" s="1142"/>
      <c r="I97" s="1131">
        <f>採点Q3!E195</f>
        <v>0</v>
      </c>
      <c r="J97" s="1121"/>
      <c r="K97" s="1121"/>
      <c r="L97" s="1121"/>
      <c r="M97" s="1121"/>
      <c r="N97" s="1121"/>
      <c r="O97" s="1122"/>
      <c r="P97" s="1159">
        <f t="shared" si="75"/>
        <v>3</v>
      </c>
      <c r="Q97" s="1124">
        <f t="shared" si="53"/>
        <v>0.33333333333333331</v>
      </c>
      <c r="R97" s="1161"/>
      <c r="S97" s="699"/>
      <c r="T97" s="1091">
        <f>採点Q3!D189</f>
        <v>3</v>
      </c>
      <c r="U97" s="1091"/>
      <c r="V97" s="1091">
        <f t="shared" si="54"/>
        <v>3</v>
      </c>
      <c r="W97" s="699"/>
      <c r="X97" s="1352"/>
      <c r="Y97" s="1353"/>
      <c r="Z97" s="1091">
        <v>1</v>
      </c>
      <c r="AA97" s="1091"/>
      <c r="AB97" s="1091"/>
      <c r="AC97" s="96"/>
      <c r="AD97" s="1116"/>
      <c r="AE97" s="1132"/>
      <c r="AF97" s="1091">
        <f t="shared" ref="AF97:AG98" si="87">IF($T97=0,0,1)*Z97</f>
        <v>1</v>
      </c>
      <c r="AG97" s="1091">
        <f t="shared" si="87"/>
        <v>0</v>
      </c>
      <c r="AH97" s="1091">
        <f t="shared" si="84"/>
        <v>0</v>
      </c>
      <c r="AI97" s="96"/>
      <c r="AJ97" s="1116"/>
      <c r="AK97" s="1132"/>
      <c r="AL97" s="1106">
        <f>AF97/AF90</f>
        <v>0.33333333333333331</v>
      </c>
      <c r="AM97" s="1091"/>
      <c r="AN97" s="1091"/>
      <c r="AP97" s="1116"/>
      <c r="AQ97" s="1132"/>
      <c r="AR97" s="1106">
        <f t="shared" ref="AR97" si="88">($T97+AS97)*AL97</f>
        <v>1</v>
      </c>
      <c r="AS97" s="1091"/>
      <c r="AT97" s="1091"/>
      <c r="AV97" s="1116"/>
      <c r="AW97" s="1132"/>
      <c r="AX97" s="1106">
        <f>AL97</f>
        <v>0.33333333333333331</v>
      </c>
      <c r="AY97" s="1091"/>
      <c r="AZ97" s="1091"/>
    </row>
    <row r="98" spans="1:52" ht="13.15" customHeight="1" thickBot="1">
      <c r="A98" s="51"/>
      <c r="B98" s="1138" t="str">
        <f>採点Q3!B197</f>
        <v>3.4 経済性能に関するスマート化</v>
      </c>
      <c r="C98" s="1150"/>
      <c r="D98" s="1151"/>
      <c r="E98" s="1151"/>
      <c r="F98" s="1151"/>
      <c r="G98" s="1151"/>
      <c r="H98" s="1151"/>
      <c r="I98" s="1131" t="str">
        <f>採点Q3!D206</f>
        <v>評価する取組</v>
      </c>
      <c r="J98" s="1152"/>
      <c r="K98" s="1146">
        <f>採点Q3!E205</f>
        <v>0</v>
      </c>
      <c r="L98" s="1152"/>
      <c r="M98" s="1152"/>
      <c r="N98" s="1152"/>
      <c r="O98" s="1153"/>
      <c r="P98" s="1164"/>
      <c r="Q98" s="1165">
        <f t="shared" si="53"/>
        <v>0.14285714285714285</v>
      </c>
      <c r="R98" s="1115">
        <f>ROUNDDOWN($V98,1)</f>
        <v>3</v>
      </c>
      <c r="S98" s="699"/>
      <c r="T98" s="1091">
        <f>採点Q3!D199</f>
        <v>3</v>
      </c>
      <c r="U98" s="1091"/>
      <c r="V98" s="1091">
        <f t="shared" si="54"/>
        <v>3</v>
      </c>
      <c r="W98" s="699"/>
      <c r="X98" s="1353"/>
      <c r="Y98" s="1091">
        <v>0.5</v>
      </c>
      <c r="Z98" s="1091"/>
      <c r="AA98" s="1091"/>
      <c r="AB98" s="1091"/>
      <c r="AC98" s="96"/>
      <c r="AD98" s="1132"/>
      <c r="AE98" s="1091">
        <f t="shared" ref="AE98" si="89">IF($T98=0,0,1)*Y98</f>
        <v>0.5</v>
      </c>
      <c r="AF98" s="1091">
        <f t="shared" ref="AF98" si="90">IF($T98=0,0,1)*Z98</f>
        <v>0</v>
      </c>
      <c r="AG98" s="1091">
        <f t="shared" si="87"/>
        <v>0</v>
      </c>
      <c r="AH98" s="1091">
        <f t="shared" si="84"/>
        <v>0</v>
      </c>
      <c r="AI98" s="96"/>
      <c r="AJ98" s="1132"/>
      <c r="AK98" s="1106">
        <f>AE98/AE74</f>
        <v>0.14285714285714285</v>
      </c>
      <c r="AL98" s="1091"/>
      <c r="AM98" s="1091"/>
      <c r="AN98" s="1091"/>
      <c r="AP98" s="1132"/>
      <c r="AQ98" s="1106">
        <f t="shared" ref="AQ98" si="91">($T98+AR98)*AK98</f>
        <v>0.42857142857142855</v>
      </c>
      <c r="AR98" s="1091"/>
      <c r="AS98" s="1091"/>
      <c r="AT98" s="1091"/>
      <c r="AV98" s="1132"/>
      <c r="AW98" s="1106">
        <f>AK98</f>
        <v>0.14285714285714285</v>
      </c>
      <c r="AX98" s="1091"/>
      <c r="AY98" s="1091"/>
      <c r="AZ98" s="1091"/>
    </row>
    <row r="99" spans="1:52" ht="18" customHeight="1" thickBot="1">
      <c r="A99" s="51"/>
      <c r="B99" s="1081" t="s">
        <v>1088</v>
      </c>
      <c r="C99" s="1082"/>
      <c r="D99" s="1083"/>
      <c r="E99" s="1084"/>
      <c r="F99" s="1084"/>
      <c r="G99" s="1084"/>
      <c r="H99" s="1084"/>
      <c r="I99" s="1166"/>
      <c r="J99" s="1086"/>
      <c r="K99" s="1086"/>
      <c r="L99" s="1086"/>
      <c r="M99" s="1086"/>
      <c r="N99" s="1086"/>
      <c r="O99" s="1087"/>
      <c r="P99" s="1088"/>
      <c r="Q99" s="1089"/>
      <c r="R99" s="1090">
        <f>ROUNDDOWN($T99+$U99,1)</f>
        <v>2.9</v>
      </c>
      <c r="S99" s="96"/>
      <c r="T99" s="444"/>
      <c r="U99" s="1091">
        <f>AP99</f>
        <v>2.9012345679012341</v>
      </c>
      <c r="V99" s="1091">
        <f t="shared" si="54"/>
        <v>2.9012345679012341</v>
      </c>
      <c r="W99" s="96"/>
      <c r="X99" s="444"/>
      <c r="Y99" s="444"/>
      <c r="Z99" s="444"/>
      <c r="AA99" s="444"/>
      <c r="AB99" s="444"/>
      <c r="AC99" s="96"/>
      <c r="AD99" s="1092">
        <f>SUM(AD100:AD150)</f>
        <v>3</v>
      </c>
      <c r="AE99" s="444"/>
      <c r="AF99" s="444"/>
      <c r="AG99" s="444"/>
      <c r="AH99" s="1091">
        <f t="shared" si="84"/>
        <v>0</v>
      </c>
      <c r="AI99" s="96"/>
      <c r="AJ99" s="1092"/>
      <c r="AK99" s="444"/>
      <c r="AL99" s="444"/>
      <c r="AM99" s="444"/>
      <c r="AN99" s="444"/>
      <c r="AP99" s="1092">
        <f>SUM(AP100:AP150)</f>
        <v>2.9012345679012341</v>
      </c>
      <c r="AQ99" s="444"/>
      <c r="AR99" s="444"/>
      <c r="AS99" s="444"/>
      <c r="AT99" s="444"/>
      <c r="AU99" s="96"/>
      <c r="AV99" s="1092">
        <f>SUM(AV100:AV150)</f>
        <v>1</v>
      </c>
      <c r="AW99" s="444"/>
      <c r="AX99" s="444"/>
      <c r="AY99" s="444"/>
      <c r="AZ99" s="444"/>
    </row>
    <row r="100" spans="1:52" ht="13.15" customHeight="1" thickBot="1">
      <c r="B100" s="1096" t="str">
        <f>採点LR1!B9</f>
        <v>LR-1 エネルギー</v>
      </c>
      <c r="C100" s="1097"/>
      <c r="D100" s="1097"/>
      <c r="E100" s="1097"/>
      <c r="F100" s="1097"/>
      <c r="G100" s="1097"/>
      <c r="H100" s="1098"/>
      <c r="I100" s="1156"/>
      <c r="J100" s="1100"/>
      <c r="K100" s="1100"/>
      <c r="L100" s="1100"/>
      <c r="M100" s="1100"/>
      <c r="N100" s="1100"/>
      <c r="O100" s="1101"/>
      <c r="P100" s="1102"/>
      <c r="Q100" s="1103">
        <f t="shared" ref="Q100:Q134" si="92">SUM(AJ100:AN100)</f>
        <v>0.33333333333333331</v>
      </c>
      <c r="R100" s="1104">
        <f>ROUNDDOWN($T100+$U100,1)</f>
        <v>3</v>
      </c>
      <c r="S100" s="699"/>
      <c r="T100" s="1091"/>
      <c r="U100" s="1091">
        <f>AQ100</f>
        <v>3</v>
      </c>
      <c r="V100" s="1091">
        <f t="shared" si="54"/>
        <v>3</v>
      </c>
      <c r="W100" s="699"/>
      <c r="X100" s="1351">
        <v>1</v>
      </c>
      <c r="Y100" s="1091"/>
      <c r="Z100" s="1091"/>
      <c r="AA100" s="1091"/>
      <c r="AB100" s="1091"/>
      <c r="AC100" s="96"/>
      <c r="AD100" s="1106">
        <f>IF(AE100=0,0,X100)</f>
        <v>1</v>
      </c>
      <c r="AE100" s="1092">
        <f>SUM(AE101:AE106)</f>
        <v>3</v>
      </c>
      <c r="AF100" s="1091"/>
      <c r="AG100" s="1091"/>
      <c r="AH100" s="1091">
        <f t="shared" si="84"/>
        <v>0</v>
      </c>
      <c r="AI100" s="96"/>
      <c r="AJ100" s="1106">
        <f>AD100/AD99</f>
        <v>0.33333333333333331</v>
      </c>
      <c r="AK100" s="1092"/>
      <c r="AL100" s="1091"/>
      <c r="AM100" s="1091"/>
      <c r="AN100" s="1091"/>
      <c r="AP100" s="1106">
        <f t="shared" ref="AP100" si="93">($T100+AQ100)*AJ100</f>
        <v>1</v>
      </c>
      <c r="AQ100" s="1092">
        <f>SUM(AQ101:AQ106)</f>
        <v>3</v>
      </c>
      <c r="AR100" s="1091"/>
      <c r="AS100" s="1091"/>
      <c r="AT100" s="1091"/>
      <c r="AV100" s="1106">
        <f t="shared" ref="AV100" si="94">AJ100</f>
        <v>0.33333333333333331</v>
      </c>
      <c r="AW100" s="1092">
        <f>SUM(AW101:AW106)</f>
        <v>1</v>
      </c>
      <c r="AX100" s="1091"/>
      <c r="AY100" s="1091"/>
      <c r="AZ100" s="1091"/>
    </row>
    <row r="101" spans="1:52" ht="13.15" customHeight="1">
      <c r="A101" s="51"/>
      <c r="B101" s="1107" t="str">
        <f>採点LR1!B12</f>
        <v>1.1 都市・街区エネルギーの効率化</v>
      </c>
      <c r="C101" s="1108"/>
      <c r="D101" s="1109"/>
      <c r="E101" s="1109"/>
      <c r="F101" s="1109"/>
      <c r="G101" s="1109"/>
      <c r="H101" s="1109"/>
      <c r="I101" s="1131">
        <f>採点LR1!E19</f>
        <v>0</v>
      </c>
      <c r="J101" s="1111"/>
      <c r="K101" s="1111"/>
      <c r="L101" s="1111"/>
      <c r="M101" s="1111"/>
      <c r="N101" s="1111"/>
      <c r="O101" s="1112"/>
      <c r="P101" s="1157"/>
      <c r="Q101" s="1158">
        <f t="shared" si="92"/>
        <v>0.33333333333333331</v>
      </c>
      <c r="R101" s="1167">
        <f>ROUNDDOWN($V101,1)</f>
        <v>3</v>
      </c>
      <c r="S101" s="699"/>
      <c r="T101" s="1091">
        <f>採点LR1!D13</f>
        <v>3</v>
      </c>
      <c r="U101" s="1091"/>
      <c r="V101" s="1091">
        <f t="shared" si="54"/>
        <v>3</v>
      </c>
      <c r="W101" s="699"/>
      <c r="X101" s="1352"/>
      <c r="Y101" s="1091">
        <v>1</v>
      </c>
      <c r="Z101" s="1091"/>
      <c r="AA101" s="1091"/>
      <c r="AB101" s="1091"/>
      <c r="AC101" s="96"/>
      <c r="AD101" s="1116"/>
      <c r="AE101" s="1091">
        <f t="shared" ref="AE101:AF106" si="95">IF($T101=0,0,1)*Y101</f>
        <v>1</v>
      </c>
      <c r="AF101" s="1091">
        <f t="shared" si="95"/>
        <v>0</v>
      </c>
      <c r="AG101" s="1091">
        <f t="shared" ref="AG101:AG106" si="96">IF($T101=0,0,1)*AA101</f>
        <v>0</v>
      </c>
      <c r="AH101" s="1091">
        <f t="shared" si="84"/>
        <v>0</v>
      </c>
      <c r="AI101" s="96"/>
      <c r="AJ101" s="1116"/>
      <c r="AK101" s="1091">
        <f>AE101/AE100</f>
        <v>0.33333333333333331</v>
      </c>
      <c r="AL101" s="1091"/>
      <c r="AM101" s="1091"/>
      <c r="AN101" s="1091"/>
      <c r="AP101" s="1116"/>
      <c r="AQ101" s="1091">
        <f t="shared" ref="AQ101:AQ104" si="97">($T101+AR101)*AK101</f>
        <v>1</v>
      </c>
      <c r="AR101" s="1091"/>
      <c r="AS101" s="1091"/>
      <c r="AT101" s="1091"/>
      <c r="AV101" s="1116"/>
      <c r="AW101" s="1091">
        <f t="shared" ref="AW101:AW104" si="98">AK101</f>
        <v>0.33333333333333331</v>
      </c>
      <c r="AX101" s="1091"/>
      <c r="AY101" s="1091"/>
      <c r="AZ101" s="1091"/>
    </row>
    <row r="102" spans="1:52" ht="13.15" customHeight="1">
      <c r="A102" s="51"/>
      <c r="B102" s="1138" t="str">
        <f>採点LR1!B21</f>
        <v>1.2 再生可能エネルギーの利用</v>
      </c>
      <c r="C102" s="1139"/>
      <c r="D102" s="786"/>
      <c r="E102" s="786"/>
      <c r="F102" s="786"/>
      <c r="G102" s="786"/>
      <c r="H102" s="786"/>
      <c r="I102" s="1131">
        <f>採点LR1!E28</f>
        <v>0</v>
      </c>
      <c r="J102" s="1121"/>
      <c r="K102" s="1121"/>
      <c r="L102" s="1121"/>
      <c r="M102" s="1121"/>
      <c r="N102" s="1121"/>
      <c r="O102" s="1122"/>
      <c r="P102" s="1159"/>
      <c r="Q102" s="1124">
        <f t="shared" si="92"/>
        <v>0.16666666666666666</v>
      </c>
      <c r="R102" s="1149">
        <f>ROUNDDOWN($V102,1)</f>
        <v>3</v>
      </c>
      <c r="S102" s="699"/>
      <c r="T102" s="1091">
        <f>採点LR1!D22</f>
        <v>3</v>
      </c>
      <c r="U102" s="1091"/>
      <c r="V102" s="1091">
        <f t="shared" si="54"/>
        <v>3</v>
      </c>
      <c r="W102" s="699"/>
      <c r="X102" s="1352"/>
      <c r="Y102" s="1091">
        <v>0.5</v>
      </c>
      <c r="Z102" s="1091"/>
      <c r="AA102" s="1091"/>
      <c r="AB102" s="1091"/>
      <c r="AC102" s="96"/>
      <c r="AD102" s="1116"/>
      <c r="AE102" s="1091">
        <f t="shared" si="95"/>
        <v>0.5</v>
      </c>
      <c r="AF102" s="1091">
        <f t="shared" si="95"/>
        <v>0</v>
      </c>
      <c r="AG102" s="1091">
        <f t="shared" si="96"/>
        <v>0</v>
      </c>
      <c r="AH102" s="1091">
        <f t="shared" si="84"/>
        <v>0</v>
      </c>
      <c r="AI102" s="96"/>
      <c r="AJ102" s="1116"/>
      <c r="AK102" s="1091">
        <f>AE102/AE100</f>
        <v>0.16666666666666666</v>
      </c>
      <c r="AL102" s="1091"/>
      <c r="AM102" s="1091"/>
      <c r="AN102" s="1091"/>
      <c r="AP102" s="1116"/>
      <c r="AQ102" s="1091">
        <f t="shared" si="97"/>
        <v>0.5</v>
      </c>
      <c r="AR102" s="1091"/>
      <c r="AS102" s="1091"/>
      <c r="AT102" s="1091"/>
      <c r="AV102" s="1116"/>
      <c r="AW102" s="1091">
        <f t="shared" si="98"/>
        <v>0.16666666666666666</v>
      </c>
      <c r="AX102" s="1091"/>
      <c r="AY102" s="1091"/>
      <c r="AZ102" s="1091"/>
    </row>
    <row r="103" spans="1:52" ht="13.15" customHeight="1">
      <c r="A103" s="51"/>
      <c r="B103" s="1138" t="str">
        <f>採点LR1!B32</f>
        <v>1.3 未利用エネルギーの利用</v>
      </c>
      <c r="C103" s="1139"/>
      <c r="D103" s="786"/>
      <c r="E103" s="786"/>
      <c r="F103" s="786"/>
      <c r="G103" s="786"/>
      <c r="H103" s="786"/>
      <c r="I103" s="1131">
        <f>採点LR1!E39</f>
        <v>0</v>
      </c>
      <c r="J103" s="1121"/>
      <c r="K103" s="1121"/>
      <c r="L103" s="1121"/>
      <c r="M103" s="1121"/>
      <c r="N103" s="1121"/>
      <c r="O103" s="1122"/>
      <c r="P103" s="1159"/>
      <c r="Q103" s="1124">
        <f t="shared" si="92"/>
        <v>0.16666666666666666</v>
      </c>
      <c r="R103" s="1149">
        <f>ROUNDDOWN($V103,1)</f>
        <v>3</v>
      </c>
      <c r="S103" s="699"/>
      <c r="T103" s="1091">
        <f>採点LR1!D33</f>
        <v>3</v>
      </c>
      <c r="U103" s="1091"/>
      <c r="V103" s="1091">
        <f t="shared" si="54"/>
        <v>3</v>
      </c>
      <c r="W103" s="699"/>
      <c r="X103" s="1352"/>
      <c r="Y103" s="1091">
        <v>0.5</v>
      </c>
      <c r="Z103" s="1091"/>
      <c r="AA103" s="1091"/>
      <c r="AB103" s="1091"/>
      <c r="AC103" s="96"/>
      <c r="AD103" s="1116"/>
      <c r="AE103" s="1091">
        <f t="shared" si="95"/>
        <v>0.5</v>
      </c>
      <c r="AF103" s="1091">
        <f t="shared" si="95"/>
        <v>0</v>
      </c>
      <c r="AG103" s="1091">
        <f t="shared" si="96"/>
        <v>0</v>
      </c>
      <c r="AH103" s="1091">
        <f t="shared" si="84"/>
        <v>0</v>
      </c>
      <c r="AI103" s="96"/>
      <c r="AJ103" s="1116"/>
      <c r="AK103" s="1091">
        <f>AE103/AE100</f>
        <v>0.16666666666666666</v>
      </c>
      <c r="AL103" s="1091"/>
      <c r="AM103" s="1091"/>
      <c r="AN103" s="1091"/>
      <c r="AP103" s="1116"/>
      <c r="AQ103" s="1091">
        <f t="shared" si="97"/>
        <v>0.5</v>
      </c>
      <c r="AR103" s="1091"/>
      <c r="AS103" s="1091"/>
      <c r="AT103" s="1091"/>
      <c r="AV103" s="1116"/>
      <c r="AW103" s="1091">
        <f t="shared" si="98"/>
        <v>0.16666666666666666</v>
      </c>
      <c r="AX103" s="1091"/>
      <c r="AY103" s="1091"/>
      <c r="AZ103" s="1091"/>
    </row>
    <row r="104" spans="1:52" ht="13.15" customHeight="1">
      <c r="A104" s="51"/>
      <c r="B104" s="1138" t="str">
        <f>採点LR1!B44</f>
        <v>1.4 エネルギーマネジメント</v>
      </c>
      <c r="C104" s="1139"/>
      <c r="D104" s="786"/>
      <c r="E104" s="786"/>
      <c r="F104" s="786"/>
      <c r="G104" s="786"/>
      <c r="H104" s="786"/>
      <c r="I104" s="1120"/>
      <c r="J104" s="1121"/>
      <c r="K104" s="1121"/>
      <c r="L104" s="1121"/>
      <c r="M104" s="1121"/>
      <c r="N104" s="1121"/>
      <c r="O104" s="1122"/>
      <c r="P104" s="1159"/>
      <c r="Q104" s="1124">
        <f t="shared" si="92"/>
        <v>0.33333333333333331</v>
      </c>
      <c r="R104" s="1115">
        <f>ROUNDDOWN($V104,1)</f>
        <v>3</v>
      </c>
      <c r="S104" s="699"/>
      <c r="T104" s="1091"/>
      <c r="U104" s="1091">
        <f>AR104</f>
        <v>3</v>
      </c>
      <c r="V104" s="1091">
        <f t="shared" si="54"/>
        <v>3</v>
      </c>
      <c r="W104" s="699"/>
      <c r="X104" s="1352"/>
      <c r="Y104" s="1351">
        <v>1</v>
      </c>
      <c r="Z104" s="1091"/>
      <c r="AA104" s="1091"/>
      <c r="AB104" s="1091"/>
      <c r="AC104" s="96"/>
      <c r="AD104" s="1116"/>
      <c r="AE104" s="1106">
        <f>IF(AF104=0,0,Y104)</f>
        <v>1</v>
      </c>
      <c r="AF104" s="1092">
        <f>SUM(AF105:AF106)</f>
        <v>2</v>
      </c>
      <c r="AG104" s="1091"/>
      <c r="AH104" s="1091">
        <f t="shared" si="84"/>
        <v>0</v>
      </c>
      <c r="AI104" s="96"/>
      <c r="AJ104" s="1116"/>
      <c r="AK104" s="1106">
        <f>AE104/AE100</f>
        <v>0.33333333333333331</v>
      </c>
      <c r="AL104" s="1092"/>
      <c r="AM104" s="1091"/>
      <c r="AN104" s="1091"/>
      <c r="AP104" s="1116"/>
      <c r="AQ104" s="1106">
        <f t="shared" si="97"/>
        <v>1</v>
      </c>
      <c r="AR104" s="1092">
        <f>SUM(AR105:AR106)</f>
        <v>3</v>
      </c>
      <c r="AS104" s="1091"/>
      <c r="AT104" s="1091"/>
      <c r="AV104" s="1116"/>
      <c r="AW104" s="1106">
        <f t="shared" si="98"/>
        <v>0.33333333333333331</v>
      </c>
      <c r="AX104" s="1092">
        <f>SUM(AX105:AX106)</f>
        <v>1</v>
      </c>
      <c r="AY104" s="1091"/>
      <c r="AZ104" s="1091"/>
    </row>
    <row r="105" spans="1:52" ht="13.15" customHeight="1">
      <c r="A105" s="51"/>
      <c r="B105" s="1118"/>
      <c r="C105" s="1129" t="str">
        <f>採点LR1!C45</f>
        <v>1.4.1 需給システムのスマート化</v>
      </c>
      <c r="D105" s="473"/>
      <c r="E105" s="786"/>
      <c r="F105" s="786"/>
      <c r="G105" s="786"/>
      <c r="H105" s="1142"/>
      <c r="I105" s="1131" t="str">
        <f>採点LR1!D53</f>
        <v>評価する取組</v>
      </c>
      <c r="J105" s="1121"/>
      <c r="K105" s="1146">
        <f>採点LR1!E52</f>
        <v>0</v>
      </c>
      <c r="L105" s="1121"/>
      <c r="M105" s="1121"/>
      <c r="N105" s="1121"/>
      <c r="O105" s="1122"/>
      <c r="P105" s="1159">
        <f t="shared" ref="P105:P106" si="99">ROUNDDOWN($V105,1)</f>
        <v>3</v>
      </c>
      <c r="Q105" s="1124">
        <f t="shared" si="92"/>
        <v>0.5</v>
      </c>
      <c r="R105" s="1160"/>
      <c r="S105" s="699"/>
      <c r="T105" s="1091">
        <f>採点LR1!D46</f>
        <v>3</v>
      </c>
      <c r="U105" s="1091"/>
      <c r="V105" s="1091">
        <f t="shared" si="54"/>
        <v>3</v>
      </c>
      <c r="W105" s="699"/>
      <c r="X105" s="1352"/>
      <c r="Y105" s="1352"/>
      <c r="Z105" s="1091">
        <v>1</v>
      </c>
      <c r="AA105" s="1091"/>
      <c r="AB105" s="1091"/>
      <c r="AC105" s="96"/>
      <c r="AD105" s="1116"/>
      <c r="AE105" s="1116"/>
      <c r="AF105" s="1091">
        <f t="shared" si="95"/>
        <v>1</v>
      </c>
      <c r="AG105" s="1091">
        <f t="shared" si="96"/>
        <v>0</v>
      </c>
      <c r="AH105" s="1091">
        <f t="shared" si="84"/>
        <v>0</v>
      </c>
      <c r="AI105" s="96"/>
      <c r="AJ105" s="1116"/>
      <c r="AK105" s="1116"/>
      <c r="AL105" s="1091">
        <f>AF105/AF104</f>
        <v>0.5</v>
      </c>
      <c r="AM105" s="1091"/>
      <c r="AN105" s="1091"/>
      <c r="AP105" s="1116"/>
      <c r="AQ105" s="1116"/>
      <c r="AR105" s="1091">
        <f t="shared" ref="AR105:AR106" si="100">($T105+AS105)*AL105</f>
        <v>1.5</v>
      </c>
      <c r="AS105" s="1091"/>
      <c r="AT105" s="1091"/>
      <c r="AV105" s="1116"/>
      <c r="AW105" s="1116"/>
      <c r="AX105" s="1091">
        <f t="shared" ref="AX105:AX106" si="101">AL105</f>
        <v>0.5</v>
      </c>
      <c r="AY105" s="1091"/>
      <c r="AZ105" s="1091"/>
    </row>
    <row r="106" spans="1:52" ht="13.15" customHeight="1" thickBot="1">
      <c r="A106" s="51"/>
      <c r="B106" s="1118"/>
      <c r="C106" s="1129" t="str">
        <f>採点LR1!C62</f>
        <v>1.4.2 更新性・拡張性</v>
      </c>
      <c r="D106" s="1127"/>
      <c r="E106" s="1151"/>
      <c r="F106" s="1151"/>
      <c r="G106" s="1151"/>
      <c r="H106" s="1163"/>
      <c r="I106" s="1131" t="str">
        <f>採点LR1!D70</f>
        <v>評価する取組</v>
      </c>
      <c r="J106" s="1152"/>
      <c r="K106" s="1146">
        <f>採点LR1!E69</f>
        <v>0</v>
      </c>
      <c r="L106" s="1152"/>
      <c r="M106" s="1152"/>
      <c r="N106" s="1152"/>
      <c r="O106" s="1153"/>
      <c r="P106" s="1164">
        <f t="shared" si="99"/>
        <v>3</v>
      </c>
      <c r="Q106" s="1165">
        <f t="shared" si="92"/>
        <v>0.5</v>
      </c>
      <c r="R106" s="1160"/>
      <c r="S106" s="699"/>
      <c r="T106" s="1091">
        <f>採点LR1!D63</f>
        <v>3</v>
      </c>
      <c r="U106" s="1091"/>
      <c r="V106" s="1091">
        <f t="shared" si="54"/>
        <v>3</v>
      </c>
      <c r="W106" s="699"/>
      <c r="X106" s="1353"/>
      <c r="Y106" s="1353"/>
      <c r="Z106" s="1091">
        <v>1</v>
      </c>
      <c r="AA106" s="1091"/>
      <c r="AB106" s="1091"/>
      <c r="AC106" s="96"/>
      <c r="AD106" s="1132"/>
      <c r="AE106" s="1132"/>
      <c r="AF106" s="1091">
        <f t="shared" si="95"/>
        <v>1</v>
      </c>
      <c r="AG106" s="1091">
        <f t="shared" si="96"/>
        <v>0</v>
      </c>
      <c r="AH106" s="1091">
        <f t="shared" si="84"/>
        <v>0</v>
      </c>
      <c r="AI106" s="96"/>
      <c r="AJ106" s="1132"/>
      <c r="AK106" s="1132"/>
      <c r="AL106" s="1091">
        <f>AF106/AF104</f>
        <v>0.5</v>
      </c>
      <c r="AM106" s="1091"/>
      <c r="AN106" s="1091"/>
      <c r="AP106" s="1132"/>
      <c r="AQ106" s="1132"/>
      <c r="AR106" s="1091">
        <f t="shared" si="100"/>
        <v>1.5</v>
      </c>
      <c r="AS106" s="1091"/>
      <c r="AT106" s="1091"/>
      <c r="AV106" s="1132"/>
      <c r="AW106" s="1132"/>
      <c r="AX106" s="1091">
        <f t="shared" si="101"/>
        <v>0.5</v>
      </c>
      <c r="AY106" s="1091"/>
      <c r="AZ106" s="1091"/>
    </row>
    <row r="107" spans="1:52" ht="13.15" customHeight="1" thickBot="1">
      <c r="B107" s="1096" t="str">
        <f>採点LR2!B9</f>
        <v>LR-2 資源</v>
      </c>
      <c r="C107" s="1097"/>
      <c r="D107" s="1097"/>
      <c r="E107" s="1097"/>
      <c r="F107" s="1097"/>
      <c r="G107" s="1097"/>
      <c r="H107" s="1098"/>
      <c r="I107" s="1156"/>
      <c r="J107" s="1100"/>
      <c r="K107" s="1100"/>
      <c r="L107" s="1100"/>
      <c r="M107" s="1100"/>
      <c r="N107" s="1100"/>
      <c r="O107" s="1101"/>
      <c r="P107" s="1102"/>
      <c r="Q107" s="1103">
        <f t="shared" si="92"/>
        <v>0.33333333333333331</v>
      </c>
      <c r="R107" s="1104">
        <f>ROUNDDOWN($T107+$U107,1)</f>
        <v>3</v>
      </c>
      <c r="S107" s="699"/>
      <c r="T107" s="1091"/>
      <c r="U107" s="1091">
        <f>AQ107</f>
        <v>3.0555555555555554</v>
      </c>
      <c r="V107" s="1091">
        <f t="shared" si="54"/>
        <v>3.0555555555555554</v>
      </c>
      <c r="W107" s="699"/>
      <c r="X107" s="1351">
        <v>1</v>
      </c>
      <c r="Y107" s="1091"/>
      <c r="Z107" s="1091"/>
      <c r="AA107" s="1091"/>
      <c r="AB107" s="1091"/>
      <c r="AC107" s="96"/>
      <c r="AD107" s="1106">
        <f>IF(AE107=0,0,X107)</f>
        <v>1</v>
      </c>
      <c r="AE107" s="1092">
        <f>SUM(AE108:AE126)</f>
        <v>3</v>
      </c>
      <c r="AF107" s="1091"/>
      <c r="AG107" s="1091"/>
      <c r="AH107" s="1091">
        <f t="shared" si="84"/>
        <v>0</v>
      </c>
      <c r="AI107" s="96"/>
      <c r="AJ107" s="1106">
        <f>AD107/AD99</f>
        <v>0.33333333333333331</v>
      </c>
      <c r="AK107" s="1092"/>
      <c r="AL107" s="1091"/>
      <c r="AM107" s="1091"/>
      <c r="AN107" s="1091"/>
      <c r="AP107" s="1106">
        <f t="shared" ref="AP107" si="102">($T107+AQ107)*AJ107</f>
        <v>1.0185185185185184</v>
      </c>
      <c r="AQ107" s="1092">
        <f>SUM(AQ108:AQ126)</f>
        <v>3.0555555555555554</v>
      </c>
      <c r="AR107" s="1091"/>
      <c r="AS107" s="1091"/>
      <c r="AT107" s="1091"/>
      <c r="AV107" s="1106">
        <f>AJ107</f>
        <v>0.33333333333333331</v>
      </c>
      <c r="AW107" s="1092">
        <f>SUM(AW108:AW126)</f>
        <v>1</v>
      </c>
      <c r="AX107" s="1091"/>
      <c r="AY107" s="1091"/>
      <c r="AZ107" s="1091"/>
    </row>
    <row r="108" spans="1:52" ht="13.15" customHeight="1">
      <c r="B108" s="1107" t="str">
        <f>採点LR2!B12</f>
        <v>2.1 土地資源</v>
      </c>
      <c r="C108" s="1108"/>
      <c r="D108" s="1109"/>
      <c r="E108" s="1109"/>
      <c r="F108" s="1109"/>
      <c r="G108" s="1109"/>
      <c r="H108" s="1109"/>
      <c r="I108" s="1110"/>
      <c r="J108" s="1111"/>
      <c r="K108" s="1111"/>
      <c r="L108" s="1111"/>
      <c r="M108" s="1111"/>
      <c r="N108" s="1111"/>
      <c r="O108" s="1112"/>
      <c r="P108" s="1157"/>
      <c r="Q108" s="1158">
        <f t="shared" si="92"/>
        <v>0.33333333333333331</v>
      </c>
      <c r="R108" s="1115">
        <f>ROUNDDOWN($V108,1)</f>
        <v>3</v>
      </c>
      <c r="S108" s="699"/>
      <c r="T108" s="1091"/>
      <c r="U108" s="1091">
        <f>AR108</f>
        <v>3</v>
      </c>
      <c r="V108" s="1091">
        <f t="shared" si="54"/>
        <v>3</v>
      </c>
      <c r="W108" s="699"/>
      <c r="X108" s="1352"/>
      <c r="Y108" s="1351">
        <v>1</v>
      </c>
      <c r="Z108" s="1091"/>
      <c r="AA108" s="1091"/>
      <c r="AB108" s="1091"/>
      <c r="AC108" s="96"/>
      <c r="AD108" s="1116"/>
      <c r="AE108" s="1106">
        <f>IF(AF108=0,0,Y108)</f>
        <v>1</v>
      </c>
      <c r="AF108" s="1092">
        <f>SUM(AF109:AF110)</f>
        <v>2</v>
      </c>
      <c r="AG108" s="1091"/>
      <c r="AH108" s="1091">
        <f t="shared" si="84"/>
        <v>0</v>
      </c>
      <c r="AI108" s="96"/>
      <c r="AJ108" s="1116"/>
      <c r="AK108" s="1106">
        <f>AE108/AE107</f>
        <v>0.33333333333333331</v>
      </c>
      <c r="AL108" s="1092"/>
      <c r="AM108" s="1091"/>
      <c r="AN108" s="1091"/>
      <c r="AP108" s="1116"/>
      <c r="AQ108" s="1106">
        <f t="shared" ref="AQ108" si="103">($T108+AR108)*AK108</f>
        <v>1</v>
      </c>
      <c r="AR108" s="1092">
        <f>SUM(AR109:AR110)</f>
        <v>3</v>
      </c>
      <c r="AS108" s="1091"/>
      <c r="AT108" s="1091"/>
      <c r="AV108" s="1116"/>
      <c r="AW108" s="1106">
        <f>AK108</f>
        <v>0.33333333333333331</v>
      </c>
      <c r="AX108" s="1092">
        <f>SUM(AX109:AX110)</f>
        <v>1</v>
      </c>
      <c r="AY108" s="1091"/>
      <c r="AZ108" s="1091"/>
    </row>
    <row r="109" spans="1:52" ht="13.15" customHeight="1">
      <c r="B109" s="1118"/>
      <c r="C109" s="1129" t="str">
        <f>採点LR2!C13</f>
        <v>2.1.1 土壌汚染への対応</v>
      </c>
      <c r="D109" s="473"/>
      <c r="E109" s="786"/>
      <c r="F109" s="786"/>
      <c r="G109" s="786"/>
      <c r="H109" s="1142"/>
      <c r="I109" s="1131">
        <f>採点LR2!E20</f>
        <v>0</v>
      </c>
      <c r="J109" s="1121"/>
      <c r="K109" s="1121"/>
      <c r="L109" s="1121"/>
      <c r="M109" s="1121"/>
      <c r="N109" s="1121"/>
      <c r="O109" s="1122"/>
      <c r="P109" s="1159">
        <f t="shared" ref="P109:P110" si="104">ROUNDDOWN($V109,1)</f>
        <v>3</v>
      </c>
      <c r="Q109" s="1124">
        <f t="shared" si="92"/>
        <v>0.5</v>
      </c>
      <c r="R109" s="1160"/>
      <c r="S109" s="699"/>
      <c r="T109" s="1091">
        <f>採点LR2!D14</f>
        <v>3</v>
      </c>
      <c r="U109" s="1091"/>
      <c r="V109" s="1091">
        <f t="shared" si="54"/>
        <v>3</v>
      </c>
      <c r="W109" s="699"/>
      <c r="X109" s="1352"/>
      <c r="Y109" s="1352"/>
      <c r="Z109" s="1091">
        <v>1</v>
      </c>
      <c r="AA109" s="1091"/>
      <c r="AB109" s="1091"/>
      <c r="AC109" s="96"/>
      <c r="AD109" s="1116"/>
      <c r="AE109" s="1116"/>
      <c r="AF109" s="1091">
        <f>IF($T109=0,0,1)*Z109</f>
        <v>1</v>
      </c>
      <c r="AG109" s="1091">
        <f>IF($T109=0,0,1)*AA109</f>
        <v>0</v>
      </c>
      <c r="AH109" s="1091">
        <f t="shared" si="84"/>
        <v>0</v>
      </c>
      <c r="AI109" s="96"/>
      <c r="AJ109" s="1116"/>
      <c r="AK109" s="1116"/>
      <c r="AL109" s="1091">
        <f>AF109/AF108</f>
        <v>0.5</v>
      </c>
      <c r="AM109" s="1091"/>
      <c r="AN109" s="1091"/>
      <c r="AP109" s="1116"/>
      <c r="AQ109" s="1116"/>
      <c r="AR109" s="1091">
        <f t="shared" ref="AR109:AR110" si="105">($T109+AS109)*AL109</f>
        <v>1.5</v>
      </c>
      <c r="AS109" s="1091"/>
      <c r="AT109" s="1091"/>
      <c r="AV109" s="1116"/>
      <c r="AW109" s="1116"/>
      <c r="AX109" s="1091">
        <f t="shared" ref="AX109:AX110" si="106">AL109</f>
        <v>0.5</v>
      </c>
      <c r="AY109" s="1091"/>
      <c r="AZ109" s="1091"/>
    </row>
    <row r="110" spans="1:52" ht="13.15" customHeight="1">
      <c r="B110" s="1118"/>
      <c r="C110" s="1129" t="str">
        <f>採点LR2!C22</f>
        <v>2.1.2 地盤沈下の抑制</v>
      </c>
      <c r="D110" s="473"/>
      <c r="E110" s="786"/>
      <c r="F110" s="786"/>
      <c r="G110" s="786"/>
      <c r="H110" s="1142"/>
      <c r="I110" s="1131">
        <f>採点LR2!E29</f>
        <v>0</v>
      </c>
      <c r="J110" s="1121"/>
      <c r="K110" s="1121"/>
      <c r="L110" s="1121"/>
      <c r="M110" s="1121"/>
      <c r="N110" s="1121"/>
      <c r="O110" s="1122"/>
      <c r="P110" s="1159">
        <f t="shared" si="104"/>
        <v>3</v>
      </c>
      <c r="Q110" s="1124">
        <f t="shared" si="92"/>
        <v>0.5</v>
      </c>
      <c r="R110" s="1161"/>
      <c r="S110" s="699"/>
      <c r="T110" s="1091">
        <f>採点LR2!D23</f>
        <v>3</v>
      </c>
      <c r="U110" s="1091"/>
      <c r="V110" s="1091">
        <f t="shared" si="54"/>
        <v>3</v>
      </c>
      <c r="W110" s="699"/>
      <c r="X110" s="1352"/>
      <c r="Y110" s="1353"/>
      <c r="Z110" s="1091">
        <v>1</v>
      </c>
      <c r="AA110" s="1091"/>
      <c r="AB110" s="1091"/>
      <c r="AC110" s="96"/>
      <c r="AD110" s="1116"/>
      <c r="AE110" s="1132"/>
      <c r="AF110" s="1091">
        <f>IF($T110=0,0,1)*Z110</f>
        <v>1</v>
      </c>
      <c r="AG110" s="1091">
        <f>IF($T110=0,0,1)*AA110</f>
        <v>0</v>
      </c>
      <c r="AH110" s="1091">
        <f t="shared" si="84"/>
        <v>0</v>
      </c>
      <c r="AI110" s="96"/>
      <c r="AJ110" s="1116"/>
      <c r="AK110" s="1132"/>
      <c r="AL110" s="1091">
        <f>AF110/AF108</f>
        <v>0.5</v>
      </c>
      <c r="AM110" s="1091"/>
      <c r="AN110" s="1091"/>
      <c r="AP110" s="1116"/>
      <c r="AQ110" s="1132"/>
      <c r="AR110" s="1091">
        <f t="shared" si="105"/>
        <v>1.5</v>
      </c>
      <c r="AS110" s="1091"/>
      <c r="AT110" s="1091"/>
      <c r="AV110" s="1116"/>
      <c r="AW110" s="1132"/>
      <c r="AX110" s="1091">
        <f t="shared" si="106"/>
        <v>0.5</v>
      </c>
      <c r="AY110" s="1091"/>
      <c r="AZ110" s="1091"/>
    </row>
    <row r="111" spans="1:52" ht="13.15" customHeight="1">
      <c r="B111" s="1138" t="str">
        <f>採点LR2!B31</f>
        <v>2.2 水資源</v>
      </c>
      <c r="C111" s="1139"/>
      <c r="D111" s="786"/>
      <c r="E111" s="786"/>
      <c r="F111" s="786"/>
      <c r="G111" s="786"/>
      <c r="H111" s="786"/>
      <c r="I111" s="1120"/>
      <c r="J111" s="1121"/>
      <c r="K111" s="1121"/>
      <c r="L111" s="1121"/>
      <c r="M111" s="1121"/>
      <c r="N111" s="1121"/>
      <c r="O111" s="1122"/>
      <c r="P111" s="1159"/>
      <c r="Q111" s="1124">
        <f t="shared" si="92"/>
        <v>0.33333333333333331</v>
      </c>
      <c r="R111" s="1115">
        <f>ROUNDDOWN($V111,1)</f>
        <v>3.1</v>
      </c>
      <c r="S111" s="699"/>
      <c r="T111" s="1091"/>
      <c r="U111" s="1091">
        <f>AR111</f>
        <v>3.1666666666666665</v>
      </c>
      <c r="V111" s="1091">
        <f t="shared" si="54"/>
        <v>3.1666666666666665</v>
      </c>
      <c r="W111" s="699"/>
      <c r="X111" s="1352"/>
      <c r="Y111" s="1351">
        <v>1</v>
      </c>
      <c r="Z111" s="1091"/>
      <c r="AA111" s="1091"/>
      <c r="AB111" s="1091"/>
      <c r="AC111" s="96"/>
      <c r="AD111" s="1116"/>
      <c r="AE111" s="1106">
        <f>IF(AF111=0,0,Y111)</f>
        <v>1</v>
      </c>
      <c r="AF111" s="1092">
        <f>SUM(AF112:AF118)</f>
        <v>2</v>
      </c>
      <c r="AG111" s="1091"/>
      <c r="AH111" s="1091">
        <f t="shared" si="84"/>
        <v>0</v>
      </c>
      <c r="AI111" s="96"/>
      <c r="AJ111" s="1116"/>
      <c r="AK111" s="1106">
        <f>AE111/AE107</f>
        <v>0.33333333333333331</v>
      </c>
      <c r="AL111" s="1092"/>
      <c r="AM111" s="1091"/>
      <c r="AN111" s="1091"/>
      <c r="AP111" s="1116"/>
      <c r="AQ111" s="1106">
        <f t="shared" ref="AQ111" si="107">($T111+AR111)*AK111</f>
        <v>1.0555555555555554</v>
      </c>
      <c r="AR111" s="1092">
        <f>SUM(AR112:AR118)</f>
        <v>3.1666666666666665</v>
      </c>
      <c r="AS111" s="1091"/>
      <c r="AT111" s="1091"/>
      <c r="AV111" s="1116"/>
      <c r="AW111" s="1106">
        <f>AK111</f>
        <v>0.33333333333333331</v>
      </c>
      <c r="AX111" s="1092">
        <f>SUM(AX112:AX118)</f>
        <v>1</v>
      </c>
      <c r="AY111" s="1091"/>
      <c r="AZ111" s="1091"/>
    </row>
    <row r="112" spans="1:52" ht="13.15" customHeight="1">
      <c r="B112" s="1118"/>
      <c r="C112" s="1129" t="str">
        <f>採点LR2!C32</f>
        <v>2.2.1 上水使用量の削減</v>
      </c>
      <c r="D112" s="473"/>
      <c r="E112" s="786"/>
      <c r="F112" s="786"/>
      <c r="G112" s="786"/>
      <c r="H112" s="1142"/>
      <c r="I112" s="1120"/>
      <c r="J112" s="1121"/>
      <c r="K112" s="1121"/>
      <c r="L112" s="1121"/>
      <c r="M112" s="1121"/>
      <c r="N112" s="1121"/>
      <c r="O112" s="1122"/>
      <c r="P112" s="1159">
        <f t="shared" ref="P112:P118" si="108">ROUNDDOWN($V112,1)</f>
        <v>3.3</v>
      </c>
      <c r="Q112" s="1124">
        <f t="shared" si="92"/>
        <v>0.5</v>
      </c>
      <c r="R112" s="1160"/>
      <c r="S112" s="699"/>
      <c r="T112" s="1091"/>
      <c r="U112" s="1091">
        <f>AS112</f>
        <v>3.333333333333333</v>
      </c>
      <c r="V112" s="1091">
        <f t="shared" si="54"/>
        <v>3.333333333333333</v>
      </c>
      <c r="W112" s="699"/>
      <c r="X112" s="1352"/>
      <c r="Y112" s="1352"/>
      <c r="Z112" s="1351">
        <v>1</v>
      </c>
      <c r="AA112" s="1091"/>
      <c r="AB112" s="1091"/>
      <c r="AC112" s="96"/>
      <c r="AD112" s="1116"/>
      <c r="AE112" s="1116"/>
      <c r="AF112" s="1106">
        <f>IF(AG112=0,0,Z112)</f>
        <v>1</v>
      </c>
      <c r="AG112" s="1092">
        <f>SUM(AG113:AG115)</f>
        <v>3</v>
      </c>
      <c r="AH112" s="1091">
        <f t="shared" si="84"/>
        <v>0</v>
      </c>
      <c r="AI112" s="96"/>
      <c r="AJ112" s="1116"/>
      <c r="AK112" s="1116"/>
      <c r="AL112" s="1106">
        <f>AF112/AF111</f>
        <v>0.5</v>
      </c>
      <c r="AM112" s="1092"/>
      <c r="AN112" s="1091"/>
      <c r="AP112" s="1116"/>
      <c r="AQ112" s="1116"/>
      <c r="AR112" s="1106">
        <f t="shared" ref="AR112" si="109">($T112+AS112)*AL112</f>
        <v>1.6666666666666665</v>
      </c>
      <c r="AS112" s="1092">
        <f>SUM(AS113:AS115)</f>
        <v>3.333333333333333</v>
      </c>
      <c r="AT112" s="1091"/>
      <c r="AV112" s="1116"/>
      <c r="AW112" s="1116"/>
      <c r="AX112" s="1106">
        <f>AL112</f>
        <v>0.5</v>
      </c>
      <c r="AY112" s="1092">
        <f>SUM(AY113:AY115)</f>
        <v>1</v>
      </c>
      <c r="AZ112" s="1091"/>
    </row>
    <row r="113" spans="2:52" ht="13.15" customHeight="1">
      <c r="B113" s="1118"/>
      <c r="C113" s="1144"/>
      <c r="D113" s="1129" t="str">
        <f>採点LR2!D33</f>
        <v>2.2.1.1 節水</v>
      </c>
      <c r="E113" s="433"/>
      <c r="F113" s="433"/>
      <c r="G113" s="433"/>
      <c r="H113" s="1142"/>
      <c r="I113" s="1131" t="str">
        <f>採点LR2!E43</f>
        <v>＜計画の場合＞評価する取組</v>
      </c>
      <c r="J113" s="1121"/>
      <c r="K113" s="1146">
        <f>採点LR2!E41</f>
        <v>0</v>
      </c>
      <c r="L113" s="1121"/>
      <c r="M113" s="1121"/>
      <c r="N113" s="1121"/>
      <c r="O113" s="1122"/>
      <c r="P113" s="1159">
        <f t="shared" si="108"/>
        <v>3</v>
      </c>
      <c r="Q113" s="1124">
        <f t="shared" si="92"/>
        <v>0.33333333333333331</v>
      </c>
      <c r="R113" s="1160"/>
      <c r="S113" s="699"/>
      <c r="T113" s="1091">
        <f>採点LR2!D35</f>
        <v>3</v>
      </c>
      <c r="U113" s="1091"/>
      <c r="V113" s="1091">
        <f t="shared" si="54"/>
        <v>3</v>
      </c>
      <c r="W113" s="699"/>
      <c r="X113" s="1352"/>
      <c r="Y113" s="1352"/>
      <c r="Z113" s="1352"/>
      <c r="AA113" s="1091">
        <v>1</v>
      </c>
      <c r="AB113" s="1091"/>
      <c r="AC113" s="96"/>
      <c r="AD113" s="1116"/>
      <c r="AE113" s="1116"/>
      <c r="AF113" s="1116"/>
      <c r="AG113" s="1091">
        <f>IF($T113=0,0,1)*AA113</f>
        <v>1</v>
      </c>
      <c r="AH113" s="1091">
        <f t="shared" si="84"/>
        <v>0</v>
      </c>
      <c r="AI113" s="96"/>
      <c r="AJ113" s="1116"/>
      <c r="AK113" s="1116"/>
      <c r="AL113" s="1116"/>
      <c r="AM113" s="1091">
        <f>AG113/AG112</f>
        <v>0.33333333333333331</v>
      </c>
      <c r="AN113" s="1091"/>
      <c r="AP113" s="1116"/>
      <c r="AQ113" s="1116"/>
      <c r="AR113" s="1116"/>
      <c r="AS113" s="1091">
        <f t="shared" ref="AS113:AS115" si="110">($T113+AT113)*AM113</f>
        <v>1</v>
      </c>
      <c r="AT113" s="1091"/>
      <c r="AV113" s="1116"/>
      <c r="AW113" s="1116"/>
      <c r="AX113" s="1116"/>
      <c r="AY113" s="1091">
        <f t="shared" ref="AY113:AY115" si="111">AM113</f>
        <v>0.33333333333333331</v>
      </c>
      <c r="AZ113" s="1091"/>
    </row>
    <row r="114" spans="2:52" ht="13.15" customHeight="1">
      <c r="B114" s="1118"/>
      <c r="C114" s="1128"/>
      <c r="D114" s="1129" t="str">
        <f>採点LR2!D67</f>
        <v>2.2.1.2 雨水/井水利用</v>
      </c>
      <c r="E114" s="433"/>
      <c r="F114" s="433"/>
      <c r="G114" s="433"/>
      <c r="H114" s="433"/>
      <c r="I114" s="1131">
        <f>採点LR2!E75</f>
        <v>0</v>
      </c>
      <c r="J114" s="1121"/>
      <c r="K114" s="1121"/>
      <c r="L114" s="1121"/>
      <c r="M114" s="1121"/>
      <c r="N114" s="1121"/>
      <c r="O114" s="1122"/>
      <c r="P114" s="1159">
        <f t="shared" si="108"/>
        <v>4</v>
      </c>
      <c r="Q114" s="1124">
        <f t="shared" si="92"/>
        <v>0.33333333333333331</v>
      </c>
      <c r="R114" s="1160"/>
      <c r="S114" s="699"/>
      <c r="T114" s="1091">
        <f>採点LR2!D69</f>
        <v>4</v>
      </c>
      <c r="U114" s="1091"/>
      <c r="V114" s="1091">
        <f t="shared" si="54"/>
        <v>4</v>
      </c>
      <c r="W114" s="699"/>
      <c r="X114" s="1352"/>
      <c r="Y114" s="1352"/>
      <c r="Z114" s="1352"/>
      <c r="AA114" s="1091">
        <v>1</v>
      </c>
      <c r="AB114" s="1091"/>
      <c r="AC114" s="96"/>
      <c r="AD114" s="1116"/>
      <c r="AE114" s="1116"/>
      <c r="AF114" s="1116"/>
      <c r="AG114" s="1091">
        <f>IF($T114=0,0,1)*AA114</f>
        <v>1</v>
      </c>
      <c r="AH114" s="1091">
        <f t="shared" si="84"/>
        <v>0</v>
      </c>
      <c r="AI114" s="96"/>
      <c r="AJ114" s="1116"/>
      <c r="AK114" s="1116"/>
      <c r="AL114" s="1116"/>
      <c r="AM114" s="1091">
        <f>AG114/AG112</f>
        <v>0.33333333333333331</v>
      </c>
      <c r="AN114" s="1091"/>
      <c r="AP114" s="1116"/>
      <c r="AQ114" s="1116"/>
      <c r="AR114" s="1116"/>
      <c r="AS114" s="1091">
        <f t="shared" si="110"/>
        <v>1.3333333333333333</v>
      </c>
      <c r="AT114" s="1091"/>
      <c r="AV114" s="1116"/>
      <c r="AW114" s="1116"/>
      <c r="AX114" s="1116"/>
      <c r="AY114" s="1091">
        <f t="shared" si="111"/>
        <v>0.33333333333333331</v>
      </c>
      <c r="AZ114" s="1091"/>
    </row>
    <row r="115" spans="2:52" ht="13.15" customHeight="1">
      <c r="B115" s="1118"/>
      <c r="C115" s="1128"/>
      <c r="D115" s="1129" t="str">
        <f>採点LR2!D77</f>
        <v>2.2.1.3 中水利用</v>
      </c>
      <c r="E115" s="433"/>
      <c r="F115" s="433"/>
      <c r="G115" s="433"/>
      <c r="H115" s="433"/>
      <c r="I115" s="1131">
        <f>採点LR2!E85</f>
        <v>0</v>
      </c>
      <c r="J115" s="1121"/>
      <c r="K115" s="1121"/>
      <c r="L115" s="1121"/>
      <c r="M115" s="1121"/>
      <c r="N115" s="1121"/>
      <c r="O115" s="1122"/>
      <c r="P115" s="1159">
        <f t="shared" si="108"/>
        <v>3</v>
      </c>
      <c r="Q115" s="1124">
        <f t="shared" si="92"/>
        <v>0.33333333333333331</v>
      </c>
      <c r="R115" s="1160"/>
      <c r="S115" s="699"/>
      <c r="T115" s="1091">
        <f>採点LR2!D79</f>
        <v>3</v>
      </c>
      <c r="U115" s="1091"/>
      <c r="V115" s="1091">
        <f t="shared" si="54"/>
        <v>3</v>
      </c>
      <c r="W115" s="699"/>
      <c r="X115" s="1352"/>
      <c r="Y115" s="1352"/>
      <c r="Z115" s="1353"/>
      <c r="AA115" s="1091">
        <v>1</v>
      </c>
      <c r="AB115" s="1091"/>
      <c r="AC115" s="96"/>
      <c r="AD115" s="1116"/>
      <c r="AE115" s="1116"/>
      <c r="AF115" s="1132"/>
      <c r="AG115" s="1091">
        <f>IF($T115=0,0,1)*AA115</f>
        <v>1</v>
      </c>
      <c r="AH115" s="1091">
        <f t="shared" si="84"/>
        <v>0</v>
      </c>
      <c r="AI115" s="96"/>
      <c r="AJ115" s="1116"/>
      <c r="AK115" s="1116"/>
      <c r="AL115" s="1132"/>
      <c r="AM115" s="1091">
        <f>AG115/AG112</f>
        <v>0.33333333333333331</v>
      </c>
      <c r="AN115" s="1091"/>
      <c r="AP115" s="1116"/>
      <c r="AQ115" s="1116"/>
      <c r="AR115" s="1132"/>
      <c r="AS115" s="1091">
        <f t="shared" si="110"/>
        <v>1</v>
      </c>
      <c r="AT115" s="1091"/>
      <c r="AV115" s="1116"/>
      <c r="AW115" s="1116"/>
      <c r="AX115" s="1132"/>
      <c r="AY115" s="1091">
        <f t="shared" si="111"/>
        <v>0.33333333333333331</v>
      </c>
      <c r="AZ115" s="1091"/>
    </row>
    <row r="116" spans="2:52" ht="13.15" customHeight="1">
      <c r="B116" s="1118"/>
      <c r="C116" s="1129" t="str">
        <f>採点LR2!C87</f>
        <v>2.2.2 下水道負荷の軽減</v>
      </c>
      <c r="D116" s="473"/>
      <c r="E116" s="786"/>
      <c r="F116" s="786"/>
      <c r="G116" s="786"/>
      <c r="H116" s="1142"/>
      <c r="I116" s="1120"/>
      <c r="J116" s="1121"/>
      <c r="K116" s="1121"/>
      <c r="L116" s="1121"/>
      <c r="M116" s="1121"/>
      <c r="N116" s="1121"/>
      <c r="O116" s="1122"/>
      <c r="P116" s="1159">
        <f t="shared" si="108"/>
        <v>3</v>
      </c>
      <c r="Q116" s="1124">
        <f t="shared" si="92"/>
        <v>0.5</v>
      </c>
      <c r="R116" s="1160"/>
      <c r="S116" s="699"/>
      <c r="T116" s="1091"/>
      <c r="U116" s="1091">
        <f>AS116</f>
        <v>3</v>
      </c>
      <c r="V116" s="1091">
        <f t="shared" si="54"/>
        <v>3</v>
      </c>
      <c r="W116" s="699"/>
      <c r="X116" s="1352"/>
      <c r="Y116" s="1352"/>
      <c r="Z116" s="1351">
        <v>1</v>
      </c>
      <c r="AA116" s="1091"/>
      <c r="AB116" s="1091"/>
      <c r="AC116" s="96"/>
      <c r="AD116" s="1116"/>
      <c r="AE116" s="1116"/>
      <c r="AF116" s="1106">
        <f>IF(AG116=0,0,Z116)</f>
        <v>1</v>
      </c>
      <c r="AG116" s="1092">
        <f>SUM(AG117:AG118)</f>
        <v>2</v>
      </c>
      <c r="AH116" s="1091">
        <f t="shared" ref="AH116:AH118" si="112">IF($T116=0,0,1)*AB116</f>
        <v>0</v>
      </c>
      <c r="AI116" s="96"/>
      <c r="AJ116" s="1116"/>
      <c r="AK116" s="1116"/>
      <c r="AL116" s="1106">
        <f>AF116/AF111</f>
        <v>0.5</v>
      </c>
      <c r="AM116" s="1092"/>
      <c r="AN116" s="1091"/>
      <c r="AP116" s="1116"/>
      <c r="AQ116" s="1116"/>
      <c r="AR116" s="1106">
        <f t="shared" ref="AR116" si="113">($T116+AS116)*AL116</f>
        <v>1.5</v>
      </c>
      <c r="AS116" s="1092">
        <f>SUM(AS117:AS118)</f>
        <v>3</v>
      </c>
      <c r="AT116" s="1091"/>
      <c r="AV116" s="1116"/>
      <c r="AW116" s="1116"/>
      <c r="AX116" s="1106">
        <f>AL116</f>
        <v>0.5</v>
      </c>
      <c r="AY116" s="1092">
        <f>SUM(AY117:AY118)</f>
        <v>1</v>
      </c>
      <c r="AZ116" s="1091"/>
    </row>
    <row r="117" spans="2:52" ht="13.15" customHeight="1">
      <c r="B117" s="1118"/>
      <c r="C117" s="1144"/>
      <c r="D117" s="1129" t="str">
        <f>採点LR2!D88</f>
        <v>2.2.2.1 排水量削減</v>
      </c>
      <c r="E117" s="433"/>
      <c r="F117" s="433"/>
      <c r="G117" s="433"/>
      <c r="H117" s="1142"/>
      <c r="I117" s="1131">
        <f>採点LR2!E95</f>
        <v>0</v>
      </c>
      <c r="J117" s="1121"/>
      <c r="K117" s="1121"/>
      <c r="L117" s="1121"/>
      <c r="M117" s="1121"/>
      <c r="N117" s="1121"/>
      <c r="O117" s="1122"/>
      <c r="P117" s="1159">
        <f t="shared" si="108"/>
        <v>3</v>
      </c>
      <c r="Q117" s="1124">
        <f t="shared" si="92"/>
        <v>0.5</v>
      </c>
      <c r="R117" s="1160"/>
      <c r="S117" s="699"/>
      <c r="T117" s="1091">
        <f>採点LR2!D89</f>
        <v>3</v>
      </c>
      <c r="U117" s="1091"/>
      <c r="V117" s="1091">
        <f t="shared" si="54"/>
        <v>3</v>
      </c>
      <c r="W117" s="699"/>
      <c r="X117" s="1352"/>
      <c r="Y117" s="1352"/>
      <c r="Z117" s="1352"/>
      <c r="AA117" s="1091">
        <v>1</v>
      </c>
      <c r="AB117" s="1091"/>
      <c r="AC117" s="96"/>
      <c r="AD117" s="1116"/>
      <c r="AE117" s="1116"/>
      <c r="AF117" s="1116"/>
      <c r="AG117" s="1091">
        <f>IF($T117=0,0,1)*AA117</f>
        <v>1</v>
      </c>
      <c r="AH117" s="1091">
        <f t="shared" si="112"/>
        <v>0</v>
      </c>
      <c r="AI117" s="96"/>
      <c r="AJ117" s="1116"/>
      <c r="AK117" s="1116"/>
      <c r="AL117" s="1116"/>
      <c r="AM117" s="1091">
        <f>AG117/AG116</f>
        <v>0.5</v>
      </c>
      <c r="AN117" s="1091"/>
      <c r="AP117" s="1116"/>
      <c r="AQ117" s="1116"/>
      <c r="AR117" s="1116"/>
      <c r="AS117" s="1091">
        <f t="shared" ref="AS117:AS118" si="114">($T117+AT117)*AM117</f>
        <v>1.5</v>
      </c>
      <c r="AT117" s="1091"/>
      <c r="AV117" s="1116"/>
      <c r="AW117" s="1116"/>
      <c r="AX117" s="1116"/>
      <c r="AY117" s="1091">
        <f t="shared" ref="AY117:AY118" si="115">AM117</f>
        <v>0.5</v>
      </c>
      <c r="AZ117" s="1091"/>
    </row>
    <row r="118" spans="2:52" ht="13.15" customHeight="1">
      <c r="B118" s="1118"/>
      <c r="C118" s="1128"/>
      <c r="D118" s="1129" t="str">
        <f>採点LR2!D97</f>
        <v>2.2.2.2 雨水流出抑制</v>
      </c>
      <c r="E118" s="433"/>
      <c r="F118" s="433"/>
      <c r="G118" s="433"/>
      <c r="H118" s="1142"/>
      <c r="I118" s="1131">
        <f>採点LR2!E105</f>
        <v>0</v>
      </c>
      <c r="J118" s="1121"/>
      <c r="K118" s="1121"/>
      <c r="L118" s="1121"/>
      <c r="M118" s="1121"/>
      <c r="N118" s="1121"/>
      <c r="O118" s="1122"/>
      <c r="P118" s="1159">
        <f t="shared" si="108"/>
        <v>3</v>
      </c>
      <c r="Q118" s="1124">
        <f t="shared" si="92"/>
        <v>0.5</v>
      </c>
      <c r="R118" s="1161"/>
      <c r="S118" s="699"/>
      <c r="T118" s="1091">
        <f>採点LR2!D99</f>
        <v>3</v>
      </c>
      <c r="U118" s="1091"/>
      <c r="V118" s="1091">
        <f t="shared" si="54"/>
        <v>3</v>
      </c>
      <c r="W118" s="699"/>
      <c r="X118" s="1352"/>
      <c r="Y118" s="1352"/>
      <c r="Z118" s="1352"/>
      <c r="AA118" s="1091">
        <v>1</v>
      </c>
      <c r="AB118" s="1091"/>
      <c r="AC118" s="96"/>
      <c r="AD118" s="1116"/>
      <c r="AE118" s="1116"/>
      <c r="AF118" s="1116"/>
      <c r="AG118" s="1091">
        <f>IF($T118=0,0,1)*AA118</f>
        <v>1</v>
      </c>
      <c r="AH118" s="1091">
        <f t="shared" si="112"/>
        <v>0</v>
      </c>
      <c r="AI118" s="96"/>
      <c r="AJ118" s="1116"/>
      <c r="AK118" s="1116"/>
      <c r="AL118" s="1116"/>
      <c r="AM118" s="1091">
        <f>AG118/AG116</f>
        <v>0.5</v>
      </c>
      <c r="AN118" s="1091"/>
      <c r="AP118" s="1116"/>
      <c r="AQ118" s="1116"/>
      <c r="AR118" s="1116"/>
      <c r="AS118" s="1091">
        <f t="shared" si="114"/>
        <v>1.5</v>
      </c>
      <c r="AT118" s="1091"/>
      <c r="AV118" s="1116"/>
      <c r="AW118" s="1116"/>
      <c r="AX118" s="1116"/>
      <c r="AY118" s="1091">
        <f t="shared" si="115"/>
        <v>0.5</v>
      </c>
      <c r="AZ118" s="1091"/>
    </row>
    <row r="119" spans="2:52" ht="13.15" customHeight="1">
      <c r="B119" s="1138" t="str">
        <f>採点LR2!B109</f>
        <v>2.3 資源循環</v>
      </c>
      <c r="C119" s="1139"/>
      <c r="D119" s="786"/>
      <c r="E119" s="786"/>
      <c r="F119" s="786"/>
      <c r="G119" s="786"/>
      <c r="H119" s="786"/>
      <c r="I119" s="1120"/>
      <c r="J119" s="1121"/>
      <c r="K119" s="1121"/>
      <c r="L119" s="1121"/>
      <c r="M119" s="1121"/>
      <c r="N119" s="1121"/>
      <c r="O119" s="1122"/>
      <c r="P119" s="1159"/>
      <c r="Q119" s="1124">
        <f t="shared" si="92"/>
        <v>0.33333333333333331</v>
      </c>
      <c r="R119" s="1115">
        <f>ROUNDDOWN($V119,1)</f>
        <v>3</v>
      </c>
      <c r="S119" s="699"/>
      <c r="T119" s="1091"/>
      <c r="U119" s="1091">
        <f>AR119</f>
        <v>3</v>
      </c>
      <c r="V119" s="1091">
        <f t="shared" si="54"/>
        <v>3</v>
      </c>
      <c r="W119" s="699"/>
      <c r="X119" s="1352"/>
      <c r="Y119" s="1351">
        <v>1</v>
      </c>
      <c r="Z119" s="1091"/>
      <c r="AA119" s="1091"/>
      <c r="AB119" s="1091"/>
      <c r="AC119" s="96"/>
      <c r="AD119" s="1116"/>
      <c r="AE119" s="1106">
        <f>IF(AF119=0,0,Y119)</f>
        <v>1</v>
      </c>
      <c r="AF119" s="1092">
        <f>SUM(AF120:AF126)</f>
        <v>2</v>
      </c>
      <c r="AG119" s="1091"/>
      <c r="AH119" s="1091">
        <f>IF($T119=0,0,1)*AB119</f>
        <v>0</v>
      </c>
      <c r="AI119" s="96"/>
      <c r="AJ119" s="1116"/>
      <c r="AK119" s="1106">
        <f>AE119/AE107</f>
        <v>0.33333333333333331</v>
      </c>
      <c r="AL119" s="1092"/>
      <c r="AM119" s="1091"/>
      <c r="AN119" s="1091"/>
      <c r="AP119" s="1116"/>
      <c r="AQ119" s="1106">
        <f t="shared" ref="AQ119" si="116">($T119+AR119)*AK119</f>
        <v>1</v>
      </c>
      <c r="AR119" s="1092">
        <f>SUM(AR120:AR126)</f>
        <v>3</v>
      </c>
      <c r="AS119" s="1091"/>
      <c r="AT119" s="1091"/>
      <c r="AV119" s="1116"/>
      <c r="AW119" s="1106">
        <f>AK119</f>
        <v>0.33333333333333331</v>
      </c>
      <c r="AX119" s="1092">
        <f>SUM(AX120:AX126)</f>
        <v>1</v>
      </c>
      <c r="AY119" s="1091"/>
      <c r="AZ119" s="1091"/>
    </row>
    <row r="120" spans="2:52" ht="13.15" customHeight="1">
      <c r="B120" s="1118"/>
      <c r="C120" s="1129" t="str">
        <f>採点LR2!C110</f>
        <v>2.3.1 建材の選択</v>
      </c>
      <c r="D120" s="473"/>
      <c r="E120" s="786"/>
      <c r="F120" s="786"/>
      <c r="G120" s="786"/>
      <c r="H120" s="1142"/>
      <c r="I120" s="1120"/>
      <c r="J120" s="1121"/>
      <c r="K120" s="1121"/>
      <c r="L120" s="1121"/>
      <c r="M120" s="1121"/>
      <c r="N120" s="1121"/>
      <c r="O120" s="1122"/>
      <c r="P120" s="1159">
        <f t="shared" ref="P120:P126" si="117">ROUNDDOWN($V120,1)</f>
        <v>3</v>
      </c>
      <c r="Q120" s="1124">
        <f t="shared" si="92"/>
        <v>0.5</v>
      </c>
      <c r="R120" s="1160"/>
      <c r="S120" s="699"/>
      <c r="T120" s="1091"/>
      <c r="U120" s="1091">
        <f>AS120</f>
        <v>3</v>
      </c>
      <c r="V120" s="1091">
        <f t="shared" si="54"/>
        <v>3</v>
      </c>
      <c r="W120" s="699"/>
      <c r="X120" s="1352"/>
      <c r="Y120" s="1352"/>
      <c r="Z120" s="1351">
        <v>1</v>
      </c>
      <c r="AA120" s="1091"/>
      <c r="AB120" s="1091"/>
      <c r="AC120" s="96"/>
      <c r="AD120" s="1116"/>
      <c r="AE120" s="1116"/>
      <c r="AF120" s="1106">
        <f>IF(AG120=0,0,Z120)</f>
        <v>1</v>
      </c>
      <c r="AG120" s="1092">
        <f>SUM(AG121:AG122)</f>
        <v>2</v>
      </c>
      <c r="AH120" s="1091">
        <f>IF($T120=0,0,1)*AB120</f>
        <v>0</v>
      </c>
      <c r="AI120" s="96"/>
      <c r="AJ120" s="1116"/>
      <c r="AK120" s="1116"/>
      <c r="AL120" s="1106">
        <f>AF120/AF119</f>
        <v>0.5</v>
      </c>
      <c r="AM120" s="1092"/>
      <c r="AN120" s="1091"/>
      <c r="AP120" s="1116"/>
      <c r="AQ120" s="1116"/>
      <c r="AR120" s="1106">
        <f t="shared" ref="AR120" si="118">($T120+AS120)*AL120</f>
        <v>1.5</v>
      </c>
      <c r="AS120" s="1092">
        <f>SUM(AS121:AS122)</f>
        <v>3</v>
      </c>
      <c r="AT120" s="1091"/>
      <c r="AV120" s="1116"/>
      <c r="AW120" s="1116"/>
      <c r="AX120" s="1106">
        <f>AL120</f>
        <v>0.5</v>
      </c>
      <c r="AY120" s="1092">
        <f>SUM(AY121:AY122)</f>
        <v>1</v>
      </c>
      <c r="AZ120" s="1091"/>
    </row>
    <row r="121" spans="2:52" ht="13.15" customHeight="1">
      <c r="B121" s="1118"/>
      <c r="C121" s="1144"/>
      <c r="D121" s="1129" t="str">
        <f>採点LR2!D111</f>
        <v>2.3.1.1 持続可能な森林の木材使用</v>
      </c>
      <c r="E121" s="433"/>
      <c r="F121" s="433"/>
      <c r="G121" s="433"/>
      <c r="H121" s="1142"/>
      <c r="I121" s="1131">
        <f>採点LR2!E118</f>
        <v>0</v>
      </c>
      <c r="J121" s="1121"/>
      <c r="K121" s="1121"/>
      <c r="L121" s="1121"/>
      <c r="M121" s="1121"/>
      <c r="N121" s="1121"/>
      <c r="O121" s="1122"/>
      <c r="P121" s="1159">
        <f t="shared" si="117"/>
        <v>3</v>
      </c>
      <c r="Q121" s="1124">
        <f t="shared" si="92"/>
        <v>0.5</v>
      </c>
      <c r="R121" s="1160"/>
      <c r="S121" s="699"/>
      <c r="T121" s="1091">
        <f>採点LR2!D112</f>
        <v>3</v>
      </c>
      <c r="U121" s="1091"/>
      <c r="V121" s="1091">
        <f t="shared" si="54"/>
        <v>3</v>
      </c>
      <c r="W121" s="699"/>
      <c r="X121" s="1352"/>
      <c r="Y121" s="1352"/>
      <c r="Z121" s="1352"/>
      <c r="AA121" s="1091">
        <v>1</v>
      </c>
      <c r="AB121" s="1091"/>
      <c r="AC121" s="96"/>
      <c r="AD121" s="1116"/>
      <c r="AE121" s="1116"/>
      <c r="AF121" s="1116"/>
      <c r="AG121" s="1091">
        <f>IF($T121=0,0,1)*AA121</f>
        <v>1</v>
      </c>
      <c r="AH121" s="1091">
        <f>IF($T121=0,0,1)*AB121</f>
        <v>0</v>
      </c>
      <c r="AI121" s="96"/>
      <c r="AJ121" s="1116"/>
      <c r="AK121" s="1116"/>
      <c r="AL121" s="1116"/>
      <c r="AM121" s="1091">
        <f>AG121/AG120</f>
        <v>0.5</v>
      </c>
      <c r="AN121" s="1091"/>
      <c r="AP121" s="1116"/>
      <c r="AQ121" s="1116"/>
      <c r="AR121" s="1116"/>
      <c r="AS121" s="1091">
        <f t="shared" ref="AS121:AS122" si="119">($T121+AT121)*AM121</f>
        <v>1.5</v>
      </c>
      <c r="AT121" s="1091"/>
      <c r="AV121" s="1116"/>
      <c r="AW121" s="1116"/>
      <c r="AX121" s="1116"/>
      <c r="AY121" s="1091">
        <f t="shared" ref="AY121:AY122" si="120">AM121</f>
        <v>0.5</v>
      </c>
      <c r="AZ121" s="1091"/>
    </row>
    <row r="122" spans="2:52" ht="13.15" customHeight="1">
      <c r="B122" s="1118"/>
      <c r="C122" s="1128"/>
      <c r="D122" s="1129" t="str">
        <f>採点LR2!D120</f>
        <v>2.3.1.2 リサイクル資材の使用(躯体、非構造材料)</v>
      </c>
      <c r="E122" s="433"/>
      <c r="F122" s="433"/>
      <c r="G122" s="433"/>
      <c r="H122" s="433"/>
      <c r="I122" s="1131">
        <f>採点LR2!E127</f>
        <v>0</v>
      </c>
      <c r="J122" s="1121"/>
      <c r="K122" s="1121"/>
      <c r="L122" s="1121"/>
      <c r="M122" s="1121"/>
      <c r="N122" s="1121"/>
      <c r="O122" s="1122"/>
      <c r="P122" s="1159">
        <f t="shared" si="117"/>
        <v>3</v>
      </c>
      <c r="Q122" s="1124">
        <f t="shared" si="92"/>
        <v>0.5</v>
      </c>
      <c r="R122" s="1160"/>
      <c r="S122" s="699"/>
      <c r="T122" s="1091">
        <f>採点LR2!D121</f>
        <v>3</v>
      </c>
      <c r="U122" s="1091"/>
      <c r="V122" s="1091">
        <f t="shared" si="54"/>
        <v>3</v>
      </c>
      <c r="W122" s="699"/>
      <c r="X122" s="1352"/>
      <c r="Y122" s="1352"/>
      <c r="Z122" s="1353"/>
      <c r="AA122" s="1091">
        <v>1</v>
      </c>
      <c r="AB122" s="1091"/>
      <c r="AC122" s="96"/>
      <c r="AD122" s="1116"/>
      <c r="AE122" s="1116"/>
      <c r="AF122" s="1132"/>
      <c r="AG122" s="1091">
        <f>IF($T122=0,0,1)*AA122</f>
        <v>1</v>
      </c>
      <c r="AH122" s="1091">
        <f>IF($T122=0,0,1)*AB122</f>
        <v>0</v>
      </c>
      <c r="AI122" s="96"/>
      <c r="AJ122" s="1116"/>
      <c r="AK122" s="1116"/>
      <c r="AL122" s="1132"/>
      <c r="AM122" s="1091">
        <f>AG122/AG120</f>
        <v>0.5</v>
      </c>
      <c r="AN122" s="1091"/>
      <c r="AP122" s="1116"/>
      <c r="AQ122" s="1116"/>
      <c r="AR122" s="1132"/>
      <c r="AS122" s="1091">
        <f t="shared" si="119"/>
        <v>1.5</v>
      </c>
      <c r="AT122" s="1091"/>
      <c r="AV122" s="1116"/>
      <c r="AW122" s="1116"/>
      <c r="AX122" s="1132"/>
      <c r="AY122" s="1091">
        <f t="shared" si="120"/>
        <v>0.5</v>
      </c>
      <c r="AZ122" s="1091"/>
    </row>
    <row r="123" spans="2:52" ht="13.15" customHeight="1">
      <c r="B123" s="1118"/>
      <c r="C123" s="1129" t="str">
        <f>採点LR2!C129</f>
        <v>2.3.2 ゴミ等の処理負荷の軽減</v>
      </c>
      <c r="D123" s="473"/>
      <c r="E123" s="786"/>
      <c r="F123" s="786"/>
      <c r="G123" s="786"/>
      <c r="H123" s="1142"/>
      <c r="I123" s="1120"/>
      <c r="J123" s="1121"/>
      <c r="K123" s="1121"/>
      <c r="L123" s="1121"/>
      <c r="M123" s="1121"/>
      <c r="N123" s="1121"/>
      <c r="O123" s="1122"/>
      <c r="P123" s="1159">
        <f t="shared" si="117"/>
        <v>3</v>
      </c>
      <c r="Q123" s="1124">
        <f t="shared" si="92"/>
        <v>0.5</v>
      </c>
      <c r="R123" s="1160"/>
      <c r="S123" s="699"/>
      <c r="T123" s="1091"/>
      <c r="U123" s="1091">
        <f>AS123</f>
        <v>3</v>
      </c>
      <c r="V123" s="1091">
        <f t="shared" si="54"/>
        <v>3</v>
      </c>
      <c r="W123" s="699"/>
      <c r="X123" s="1352"/>
      <c r="Y123" s="1352"/>
      <c r="Z123" s="1351">
        <v>1</v>
      </c>
      <c r="AA123" s="1091"/>
      <c r="AB123" s="1091"/>
      <c r="AC123" s="96"/>
      <c r="AD123" s="1116"/>
      <c r="AE123" s="1116"/>
      <c r="AF123" s="1106">
        <f>IF(AG123=0,0,Z123)</f>
        <v>1</v>
      </c>
      <c r="AG123" s="1092">
        <f>SUM(AG124:AG126)</f>
        <v>3</v>
      </c>
      <c r="AH123" s="1091">
        <f t="shared" ref="AH123" si="121">IF($T123=0,0,1)*AB123</f>
        <v>0</v>
      </c>
      <c r="AI123" s="96"/>
      <c r="AJ123" s="1116"/>
      <c r="AK123" s="1116"/>
      <c r="AL123" s="1106">
        <f>AF123/AF119</f>
        <v>0.5</v>
      </c>
      <c r="AM123" s="1092"/>
      <c r="AN123" s="1091"/>
      <c r="AP123" s="1116"/>
      <c r="AQ123" s="1116"/>
      <c r="AR123" s="1106">
        <f t="shared" ref="AR123" si="122">($T123+AS123)*AL123</f>
        <v>1.5</v>
      </c>
      <c r="AS123" s="1092">
        <f>SUM(AS124:AS126)</f>
        <v>3</v>
      </c>
      <c r="AT123" s="1091"/>
      <c r="AV123" s="1116"/>
      <c r="AW123" s="1116"/>
      <c r="AX123" s="1106">
        <f>AL123</f>
        <v>0.5</v>
      </c>
      <c r="AY123" s="1092">
        <f>SUM(AY124:AY126)</f>
        <v>1</v>
      </c>
      <c r="AZ123" s="1091"/>
    </row>
    <row r="124" spans="2:52" ht="13.15" customHeight="1">
      <c r="B124" s="1118"/>
      <c r="C124" s="1144"/>
      <c r="D124" s="1129" t="str">
        <f>採点LR2!D130</f>
        <v>2.3.2.1 ゴミの分別回収</v>
      </c>
      <c r="E124" s="433"/>
      <c r="F124" s="433"/>
      <c r="G124" s="433"/>
      <c r="H124" s="1142"/>
      <c r="I124" s="1131">
        <f>採点LR2!E137</f>
        <v>0</v>
      </c>
      <c r="J124" s="1121"/>
      <c r="K124" s="1121"/>
      <c r="L124" s="1121"/>
      <c r="M124" s="1121"/>
      <c r="N124" s="1121"/>
      <c r="O124" s="1122"/>
      <c r="P124" s="1159">
        <f t="shared" si="117"/>
        <v>3</v>
      </c>
      <c r="Q124" s="1124">
        <f t="shared" si="92"/>
        <v>0.33333333333333331</v>
      </c>
      <c r="R124" s="1160"/>
      <c r="S124" s="699"/>
      <c r="T124" s="1091">
        <f>採点LR2!D131</f>
        <v>3</v>
      </c>
      <c r="U124" s="1091"/>
      <c r="V124" s="1091">
        <f t="shared" si="54"/>
        <v>3</v>
      </c>
      <c r="W124" s="699"/>
      <c r="X124" s="1352"/>
      <c r="Y124" s="1352"/>
      <c r="Z124" s="1352"/>
      <c r="AA124" s="1091">
        <v>1</v>
      </c>
      <c r="AB124" s="1091"/>
      <c r="AC124" s="96"/>
      <c r="AD124" s="1116"/>
      <c r="AE124" s="1116"/>
      <c r="AF124" s="1116"/>
      <c r="AG124" s="1091">
        <f t="shared" ref="AG124:AH126" si="123">IF($T124=0,0,1)*AA124</f>
        <v>1</v>
      </c>
      <c r="AH124" s="1091">
        <f t="shared" si="123"/>
        <v>0</v>
      </c>
      <c r="AI124" s="96"/>
      <c r="AJ124" s="1116"/>
      <c r="AK124" s="1116"/>
      <c r="AL124" s="1116"/>
      <c r="AM124" s="1091">
        <f>AG124/AG123</f>
        <v>0.33333333333333331</v>
      </c>
      <c r="AN124" s="1091"/>
      <c r="AP124" s="1116"/>
      <c r="AQ124" s="1116"/>
      <c r="AR124" s="1116"/>
      <c r="AS124" s="1091">
        <f t="shared" ref="AS124:AS126" si="124">($T124+AT124)*AM124</f>
        <v>1</v>
      </c>
      <c r="AT124" s="1091"/>
      <c r="AV124" s="1116"/>
      <c r="AW124" s="1116"/>
      <c r="AX124" s="1116"/>
      <c r="AY124" s="1091">
        <f t="shared" ref="AY124:AY126" si="125">AM124</f>
        <v>0.33333333333333331</v>
      </c>
      <c r="AZ124" s="1091"/>
    </row>
    <row r="125" spans="2:52" ht="13.15" customHeight="1">
      <c r="B125" s="1118"/>
      <c r="C125" s="1144"/>
      <c r="D125" s="1129" t="str">
        <f>採点LR2!D139</f>
        <v>2.3.2.2 ゴミの減容化、減量化、堆肥化</v>
      </c>
      <c r="E125" s="433"/>
      <c r="F125" s="433"/>
      <c r="G125" s="433"/>
      <c r="H125" s="1142"/>
      <c r="I125" s="1131">
        <f>採点LR2!E146</f>
        <v>0</v>
      </c>
      <c r="J125" s="1121"/>
      <c r="K125" s="1121"/>
      <c r="L125" s="1121"/>
      <c r="M125" s="1121"/>
      <c r="N125" s="1121"/>
      <c r="O125" s="1122"/>
      <c r="P125" s="1159">
        <f t="shared" si="117"/>
        <v>3</v>
      </c>
      <c r="Q125" s="1124">
        <f t="shared" si="92"/>
        <v>0.33333333333333331</v>
      </c>
      <c r="R125" s="1160"/>
      <c r="S125" s="699"/>
      <c r="T125" s="1091">
        <f>採点LR2!D140</f>
        <v>3</v>
      </c>
      <c r="U125" s="1091"/>
      <c r="V125" s="1091">
        <f t="shared" si="54"/>
        <v>3</v>
      </c>
      <c r="W125" s="699"/>
      <c r="X125" s="1352"/>
      <c r="Y125" s="1352"/>
      <c r="Z125" s="1352"/>
      <c r="AA125" s="1091">
        <v>1</v>
      </c>
      <c r="AB125" s="1091"/>
      <c r="AC125" s="96"/>
      <c r="AD125" s="1116"/>
      <c r="AE125" s="1116"/>
      <c r="AF125" s="1116"/>
      <c r="AG125" s="1091">
        <f t="shared" si="123"/>
        <v>1</v>
      </c>
      <c r="AH125" s="1091">
        <f t="shared" si="123"/>
        <v>0</v>
      </c>
      <c r="AI125" s="96"/>
      <c r="AJ125" s="1116"/>
      <c r="AK125" s="1116"/>
      <c r="AL125" s="1116"/>
      <c r="AM125" s="1091">
        <f>AG125/AG123</f>
        <v>0.33333333333333331</v>
      </c>
      <c r="AN125" s="1091"/>
      <c r="AP125" s="1116"/>
      <c r="AQ125" s="1116"/>
      <c r="AR125" s="1116"/>
      <c r="AS125" s="1091">
        <f t="shared" si="124"/>
        <v>1</v>
      </c>
      <c r="AT125" s="1091"/>
      <c r="AV125" s="1116"/>
      <c r="AW125" s="1116"/>
      <c r="AX125" s="1116"/>
      <c r="AY125" s="1091">
        <f t="shared" si="125"/>
        <v>0.33333333333333331</v>
      </c>
      <c r="AZ125" s="1091"/>
    </row>
    <row r="126" spans="2:52" ht="13.15" customHeight="1" thickBot="1">
      <c r="B126" s="1118"/>
      <c r="C126" s="1128"/>
      <c r="D126" s="1129" t="str">
        <f>採点LR2!D148</f>
        <v>2.3.2.3 食品系のリサイクル・廃棄物削減</v>
      </c>
      <c r="E126" s="1168"/>
      <c r="F126" s="1168"/>
      <c r="G126" s="1168"/>
      <c r="H126" s="1168"/>
      <c r="I126" s="1131" t="str">
        <f>採点LR2!D156</f>
        <v>評価する取組</v>
      </c>
      <c r="J126" s="1152"/>
      <c r="K126" s="1146">
        <f>採点LR2!E155</f>
        <v>0</v>
      </c>
      <c r="L126" s="1152"/>
      <c r="M126" s="1152"/>
      <c r="N126" s="1152"/>
      <c r="O126" s="1153"/>
      <c r="P126" s="1164">
        <f t="shared" si="117"/>
        <v>3</v>
      </c>
      <c r="Q126" s="1165">
        <f t="shared" si="92"/>
        <v>0.33333333333333331</v>
      </c>
      <c r="R126" s="1160"/>
      <c r="S126" s="699"/>
      <c r="T126" s="1091">
        <f>採点LR2!D149</f>
        <v>3</v>
      </c>
      <c r="U126" s="1091"/>
      <c r="V126" s="1091">
        <f t="shared" si="54"/>
        <v>3</v>
      </c>
      <c r="W126" s="699"/>
      <c r="X126" s="1353"/>
      <c r="Y126" s="1353"/>
      <c r="Z126" s="1353"/>
      <c r="AA126" s="1091">
        <v>1</v>
      </c>
      <c r="AB126" s="1091"/>
      <c r="AC126" s="96"/>
      <c r="AD126" s="1132"/>
      <c r="AE126" s="1132"/>
      <c r="AF126" s="1132"/>
      <c r="AG126" s="1091">
        <f t="shared" si="123"/>
        <v>1</v>
      </c>
      <c r="AH126" s="1091">
        <f t="shared" si="123"/>
        <v>0</v>
      </c>
      <c r="AI126" s="96"/>
      <c r="AJ126" s="1132"/>
      <c r="AK126" s="1132"/>
      <c r="AL126" s="1132"/>
      <c r="AM126" s="1091">
        <f>AG126/AG123</f>
        <v>0.33333333333333331</v>
      </c>
      <c r="AN126" s="1091"/>
      <c r="AP126" s="1132"/>
      <c r="AQ126" s="1132"/>
      <c r="AR126" s="1132"/>
      <c r="AS126" s="1091">
        <f t="shared" si="124"/>
        <v>1</v>
      </c>
      <c r="AT126" s="1091"/>
      <c r="AV126" s="1132"/>
      <c r="AW126" s="1132"/>
      <c r="AX126" s="1132"/>
      <c r="AY126" s="1091">
        <f t="shared" si="125"/>
        <v>0.33333333333333331</v>
      </c>
      <c r="AZ126" s="1091"/>
    </row>
    <row r="127" spans="2:52" ht="13.15" customHeight="1" thickBot="1">
      <c r="B127" s="1096" t="str">
        <f>採点LR3!B9</f>
        <v>LR-3 周辺環境</v>
      </c>
      <c r="C127" s="1097"/>
      <c r="D127" s="1097"/>
      <c r="E127" s="1097"/>
      <c r="F127" s="1097"/>
      <c r="G127" s="1097"/>
      <c r="H127" s="1098"/>
      <c r="I127" s="1156"/>
      <c r="J127" s="1100"/>
      <c r="K127" s="1100"/>
      <c r="L127" s="1100"/>
      <c r="M127" s="1100"/>
      <c r="N127" s="1100"/>
      <c r="O127" s="1101"/>
      <c r="P127" s="1102"/>
      <c r="Q127" s="1103">
        <f t="shared" si="92"/>
        <v>0.33333333333333331</v>
      </c>
      <c r="R127" s="1104">
        <f>ROUNDDOWN($T127+$U127,1)</f>
        <v>2.6</v>
      </c>
      <c r="S127" s="699"/>
      <c r="T127" s="1091"/>
      <c r="U127" s="1091">
        <f>AQ127</f>
        <v>2.6481481481481479</v>
      </c>
      <c r="V127" s="1091">
        <f t="shared" si="54"/>
        <v>2.6481481481481479</v>
      </c>
      <c r="W127" s="699"/>
      <c r="X127" s="1351">
        <v>1</v>
      </c>
      <c r="Y127" s="1091"/>
      <c r="Z127" s="1091"/>
      <c r="AA127" s="1091"/>
      <c r="AB127" s="1091"/>
      <c r="AC127" s="96"/>
      <c r="AD127" s="1106">
        <f>IF(AE127=0,0,X127)</f>
        <v>1</v>
      </c>
      <c r="AE127" s="1092">
        <f>SUM(AE128:AE150)</f>
        <v>3</v>
      </c>
      <c r="AF127" s="1091"/>
      <c r="AG127" s="1091"/>
      <c r="AH127" s="1091">
        <f t="shared" ref="AH127:AH133" si="126">IF($T127=0,0,1)*AB127</f>
        <v>0</v>
      </c>
      <c r="AI127" s="96"/>
      <c r="AJ127" s="1106">
        <f>AD127/AD99</f>
        <v>0.33333333333333331</v>
      </c>
      <c r="AK127" s="1092"/>
      <c r="AL127" s="1091"/>
      <c r="AM127" s="1091"/>
      <c r="AN127" s="1091"/>
      <c r="AP127" s="1106">
        <f t="shared" ref="AP127" si="127">($T127+AQ127)*AJ127</f>
        <v>0.88271604938271597</v>
      </c>
      <c r="AQ127" s="1092">
        <f>SUM(AQ128:AQ150)</f>
        <v>2.6481481481481479</v>
      </c>
      <c r="AR127" s="1091"/>
      <c r="AS127" s="1091"/>
      <c r="AT127" s="1091"/>
      <c r="AV127" s="1106">
        <f>AJ127</f>
        <v>0.33333333333333331</v>
      </c>
      <c r="AW127" s="1092">
        <f>SUM(AW128:AW150)</f>
        <v>1</v>
      </c>
      <c r="AX127" s="1091"/>
      <c r="AY127" s="1091"/>
      <c r="AZ127" s="1091"/>
    </row>
    <row r="128" spans="2:52" ht="13.15" customHeight="1">
      <c r="B128" s="1169" t="str">
        <f>採点LR3!B12</f>
        <v>3.1　地球温暖化への配慮</v>
      </c>
      <c r="C128" s="1170"/>
      <c r="D128" s="1171"/>
      <c r="E128" s="1171"/>
      <c r="F128" s="1171"/>
      <c r="G128" s="1171"/>
      <c r="H128" s="1171"/>
      <c r="I128" s="1172">
        <f>採点LR3!E19</f>
        <v>0</v>
      </c>
      <c r="J128" s="1173"/>
      <c r="K128" s="1173"/>
      <c r="L128" s="1173"/>
      <c r="M128" s="1173"/>
      <c r="N128" s="1173"/>
      <c r="O128" s="1174"/>
      <c r="P128" s="1175"/>
      <c r="Q128" s="1176">
        <f t="shared" si="92"/>
        <v>0.33333333333333331</v>
      </c>
      <c r="R128" s="1167">
        <f>ROUNDDOWN($V128,1)</f>
        <v>2</v>
      </c>
      <c r="S128" s="699"/>
      <c r="T128" s="1091">
        <f>採点LR3!D13</f>
        <v>2</v>
      </c>
      <c r="U128" s="1091"/>
      <c r="V128" s="1091">
        <f t="shared" si="54"/>
        <v>2</v>
      </c>
      <c r="W128" s="699"/>
      <c r="X128" s="1352"/>
      <c r="Y128" s="1091">
        <v>1</v>
      </c>
      <c r="Z128" s="1091"/>
      <c r="AA128" s="1091"/>
      <c r="AB128" s="1091"/>
      <c r="AC128" s="96"/>
      <c r="AD128" s="1116"/>
      <c r="AE128" s="1091">
        <f t="shared" ref="AE128" si="128">IF($T128=0,0,1)*Y128</f>
        <v>1</v>
      </c>
      <c r="AF128" s="1091">
        <f t="shared" ref="AF128" si="129">IF($T128=0,0,1)*Z128</f>
        <v>0</v>
      </c>
      <c r="AG128" s="1091">
        <f>IF($T128=0,0,1)*AA128</f>
        <v>0</v>
      </c>
      <c r="AH128" s="1091">
        <f t="shared" si="126"/>
        <v>0</v>
      </c>
      <c r="AI128" s="96"/>
      <c r="AJ128" s="1116"/>
      <c r="AK128" s="1106">
        <f>AE128/AE127</f>
        <v>0.33333333333333331</v>
      </c>
      <c r="AL128" s="1091"/>
      <c r="AM128" s="1091"/>
      <c r="AN128" s="1091"/>
      <c r="AP128" s="1116"/>
      <c r="AQ128" s="1106">
        <f t="shared" ref="AQ128:AQ129" si="130">($T128+AR128)*AK128</f>
        <v>0.66666666666666663</v>
      </c>
      <c r="AR128" s="1091"/>
      <c r="AS128" s="1091"/>
      <c r="AT128" s="1091"/>
      <c r="AV128" s="1116"/>
      <c r="AW128" s="1106">
        <f>AK128</f>
        <v>0.33333333333333331</v>
      </c>
      <c r="AX128" s="1091"/>
      <c r="AY128" s="1091"/>
      <c r="AZ128" s="1091"/>
    </row>
    <row r="129" spans="2:52" ht="13.15" customHeight="1">
      <c r="B129" s="1138" t="str">
        <f>採点LR3!B93</f>
        <v>3.2 交通負荷の削減</v>
      </c>
      <c r="C129" s="1139"/>
      <c r="D129" s="786"/>
      <c r="E129" s="786"/>
      <c r="F129" s="786"/>
      <c r="G129" s="786"/>
      <c r="H129" s="786"/>
      <c r="I129" s="1120"/>
      <c r="J129" s="1121"/>
      <c r="K129" s="1121"/>
      <c r="L129" s="1121"/>
      <c r="M129" s="1121"/>
      <c r="N129" s="1121"/>
      <c r="O129" s="1122"/>
      <c r="P129" s="1159"/>
      <c r="Q129" s="1124">
        <f t="shared" si="92"/>
        <v>0.33333333333333331</v>
      </c>
      <c r="R129" s="1115">
        <f>ROUNDDOWN($V129,1)</f>
        <v>3</v>
      </c>
      <c r="S129" s="699"/>
      <c r="T129" s="1091"/>
      <c r="U129" s="1091">
        <f>AR129</f>
        <v>3</v>
      </c>
      <c r="V129" s="1091">
        <f t="shared" si="54"/>
        <v>3</v>
      </c>
      <c r="W129" s="699"/>
      <c r="X129" s="1352"/>
      <c r="Y129" s="1351">
        <v>1</v>
      </c>
      <c r="Z129" s="1091"/>
      <c r="AA129" s="1091"/>
      <c r="AB129" s="1091"/>
      <c r="AC129" s="96"/>
      <c r="AD129" s="1116"/>
      <c r="AE129" s="1106">
        <f>IF(AF129=0,0,Y129)</f>
        <v>1</v>
      </c>
      <c r="AF129" s="1092">
        <f>SUM(AF130:AF135)</f>
        <v>2</v>
      </c>
      <c r="AG129" s="1091"/>
      <c r="AH129" s="1091">
        <f t="shared" si="126"/>
        <v>0</v>
      </c>
      <c r="AI129" s="96"/>
      <c r="AJ129" s="1116"/>
      <c r="AK129" s="1106">
        <f>AE129/AE127</f>
        <v>0.33333333333333331</v>
      </c>
      <c r="AL129" s="1092"/>
      <c r="AM129" s="1091"/>
      <c r="AN129" s="1091"/>
      <c r="AP129" s="1116"/>
      <c r="AQ129" s="1106">
        <f t="shared" si="130"/>
        <v>1</v>
      </c>
      <c r="AR129" s="1092">
        <f>SUM(AR130:AR135)</f>
        <v>3</v>
      </c>
      <c r="AS129" s="1091"/>
      <c r="AT129" s="1091"/>
      <c r="AV129" s="1116"/>
      <c r="AW129" s="1106">
        <f>AK129</f>
        <v>0.33333333333333331</v>
      </c>
      <c r="AX129" s="1092">
        <f>SUM(AX130:AX135)</f>
        <v>1</v>
      </c>
      <c r="AY129" s="1091"/>
      <c r="AZ129" s="1091"/>
    </row>
    <row r="130" spans="2:52" ht="13.15" customHeight="1">
      <c r="B130" s="1118"/>
      <c r="C130" s="1129" t="str">
        <f>採点LR3!C94</f>
        <v>3.2.1 交通に関する広域的取組み</v>
      </c>
      <c r="D130" s="473"/>
      <c r="E130" s="786"/>
      <c r="F130" s="786"/>
      <c r="G130" s="786"/>
      <c r="H130" s="1142"/>
      <c r="I130" s="1120"/>
      <c r="J130" s="1121"/>
      <c r="K130" s="1121"/>
      <c r="L130" s="1121"/>
      <c r="M130" s="1121"/>
      <c r="N130" s="1121"/>
      <c r="O130" s="1122"/>
      <c r="P130" s="1159">
        <f t="shared" ref="P130:P135" si="131">ROUNDDOWN($V130,1)</f>
        <v>3</v>
      </c>
      <c r="Q130" s="1124">
        <f t="shared" si="92"/>
        <v>0.5</v>
      </c>
      <c r="R130" s="1160"/>
      <c r="S130" s="699"/>
      <c r="T130" s="1091"/>
      <c r="U130" s="1091">
        <f>AS130</f>
        <v>3</v>
      </c>
      <c r="V130" s="1091">
        <f t="shared" si="54"/>
        <v>3</v>
      </c>
      <c r="W130" s="699"/>
      <c r="X130" s="1352"/>
      <c r="Y130" s="1352"/>
      <c r="Z130" s="1351">
        <v>1</v>
      </c>
      <c r="AA130" s="1091"/>
      <c r="AB130" s="1091"/>
      <c r="AC130" s="96"/>
      <c r="AD130" s="1116"/>
      <c r="AE130" s="1116"/>
      <c r="AF130" s="1106">
        <f>IF(AG130=0,0,Z130)</f>
        <v>1</v>
      </c>
      <c r="AG130" s="1092">
        <f>SUM(AG131:AG132)</f>
        <v>2</v>
      </c>
      <c r="AH130" s="1091">
        <f t="shared" si="126"/>
        <v>0</v>
      </c>
      <c r="AI130" s="96"/>
      <c r="AJ130" s="1116"/>
      <c r="AK130" s="1116"/>
      <c r="AL130" s="1106">
        <f>AF130/AF129</f>
        <v>0.5</v>
      </c>
      <c r="AM130" s="1092"/>
      <c r="AN130" s="1091"/>
      <c r="AP130" s="1116"/>
      <c r="AQ130" s="1116"/>
      <c r="AR130" s="1106">
        <f t="shared" ref="AR130" si="132">($T130+AS130)*AL130</f>
        <v>1.5</v>
      </c>
      <c r="AS130" s="1092">
        <f>SUM(AS131:AS132)</f>
        <v>3</v>
      </c>
      <c r="AT130" s="1091"/>
      <c r="AV130" s="1116"/>
      <c r="AW130" s="1116"/>
      <c r="AX130" s="1106">
        <f>AL130</f>
        <v>0.5</v>
      </c>
      <c r="AY130" s="1092">
        <f>SUM(AY131:AY132)</f>
        <v>1</v>
      </c>
      <c r="AZ130" s="1091"/>
    </row>
    <row r="131" spans="2:52" ht="13.15" customHeight="1">
      <c r="B131" s="1118"/>
      <c r="C131" s="1144"/>
      <c r="D131" s="1129" t="str">
        <f>採点LR3!D95</f>
        <v>3.2.1.1 交通施設整備に関する上位計画との整合</v>
      </c>
      <c r="E131" s="433"/>
      <c r="F131" s="433"/>
      <c r="G131" s="433"/>
      <c r="H131" s="1142"/>
      <c r="I131" s="1131">
        <f>採点LR3!E102</f>
        <v>0</v>
      </c>
      <c r="J131" s="1121"/>
      <c r="K131" s="1121"/>
      <c r="L131" s="1121"/>
      <c r="M131" s="1121"/>
      <c r="N131" s="1121"/>
      <c r="O131" s="1122"/>
      <c r="P131" s="1159">
        <f t="shared" si="131"/>
        <v>3</v>
      </c>
      <c r="Q131" s="1124">
        <f t="shared" si="92"/>
        <v>0.5</v>
      </c>
      <c r="R131" s="1160"/>
      <c r="S131" s="699"/>
      <c r="T131" s="1091">
        <f>採点LR3!D96</f>
        <v>3</v>
      </c>
      <c r="U131" s="1091"/>
      <c r="V131" s="1091">
        <f t="shared" si="54"/>
        <v>3</v>
      </c>
      <c r="W131" s="699"/>
      <c r="X131" s="1352"/>
      <c r="Y131" s="1352"/>
      <c r="Z131" s="1352"/>
      <c r="AA131" s="1091">
        <v>1</v>
      </c>
      <c r="AB131" s="1091"/>
      <c r="AC131" s="96"/>
      <c r="AD131" s="1116"/>
      <c r="AE131" s="1116"/>
      <c r="AF131" s="1116"/>
      <c r="AG131" s="1091">
        <f>IF($T131=0,0,1)*AA131</f>
        <v>1</v>
      </c>
      <c r="AH131" s="1091">
        <f t="shared" si="126"/>
        <v>0</v>
      </c>
      <c r="AI131" s="96"/>
      <c r="AJ131" s="1116"/>
      <c r="AK131" s="1116"/>
      <c r="AL131" s="1116"/>
      <c r="AM131" s="1091">
        <f>AG131/AG130</f>
        <v>0.5</v>
      </c>
      <c r="AN131" s="1091"/>
      <c r="AP131" s="1116"/>
      <c r="AQ131" s="1116"/>
      <c r="AR131" s="1116"/>
      <c r="AS131" s="1091">
        <f t="shared" ref="AS131:AS132" si="133">($T131+AT131)*AM131</f>
        <v>1.5</v>
      </c>
      <c r="AT131" s="1091"/>
      <c r="AV131" s="1116"/>
      <c r="AW131" s="1116"/>
      <c r="AX131" s="1116"/>
      <c r="AY131" s="1091">
        <f t="shared" ref="AY131:AY132" si="134">AM131</f>
        <v>0.5</v>
      </c>
      <c r="AZ131" s="1091"/>
    </row>
    <row r="132" spans="2:52" ht="13.15" customHeight="1">
      <c r="B132" s="1118"/>
      <c r="C132" s="1144"/>
      <c r="D132" s="1129" t="str">
        <f>採点LR3!D104</f>
        <v>3.2.1.2 交通需要マネジメント等の取組み</v>
      </c>
      <c r="E132" s="433"/>
      <c r="F132" s="433"/>
      <c r="G132" s="433"/>
      <c r="H132" s="1142"/>
      <c r="I132" s="1131">
        <f>採点LR3!E111</f>
        <v>0</v>
      </c>
      <c r="J132" s="1121"/>
      <c r="K132" s="1121"/>
      <c r="L132" s="1121"/>
      <c r="M132" s="1121"/>
      <c r="N132" s="1121"/>
      <c r="O132" s="1122"/>
      <c r="P132" s="1159">
        <f t="shared" si="131"/>
        <v>3</v>
      </c>
      <c r="Q132" s="1124">
        <f t="shared" si="92"/>
        <v>0.5</v>
      </c>
      <c r="R132" s="1160"/>
      <c r="S132" s="699"/>
      <c r="T132" s="1091">
        <f>採点LR3!D105</f>
        <v>3</v>
      </c>
      <c r="U132" s="1091"/>
      <c r="V132" s="1091">
        <f t="shared" si="54"/>
        <v>3</v>
      </c>
      <c r="W132" s="699"/>
      <c r="X132" s="1352"/>
      <c r="Y132" s="1352"/>
      <c r="Z132" s="1353"/>
      <c r="AA132" s="1091">
        <v>1</v>
      </c>
      <c r="AB132" s="1091"/>
      <c r="AC132" s="96"/>
      <c r="AD132" s="1116"/>
      <c r="AE132" s="1116"/>
      <c r="AF132" s="1132"/>
      <c r="AG132" s="1091">
        <f>IF($T132=0,0,1)*AA132</f>
        <v>1</v>
      </c>
      <c r="AH132" s="1091">
        <f t="shared" si="126"/>
        <v>0</v>
      </c>
      <c r="AI132" s="96"/>
      <c r="AJ132" s="1116"/>
      <c r="AK132" s="1116"/>
      <c r="AL132" s="1132"/>
      <c r="AM132" s="1091">
        <f>AG132/AG130</f>
        <v>0.5</v>
      </c>
      <c r="AN132" s="1091"/>
      <c r="AP132" s="1116"/>
      <c r="AQ132" s="1116"/>
      <c r="AR132" s="1132"/>
      <c r="AS132" s="1091">
        <f t="shared" si="133"/>
        <v>1.5</v>
      </c>
      <c r="AT132" s="1091"/>
      <c r="AV132" s="1116"/>
      <c r="AW132" s="1116"/>
      <c r="AX132" s="1132"/>
      <c r="AY132" s="1091">
        <f t="shared" si="134"/>
        <v>0.5</v>
      </c>
      <c r="AZ132" s="1091"/>
    </row>
    <row r="133" spans="2:52" ht="13.15" customHeight="1">
      <c r="B133" s="1118"/>
      <c r="C133" s="1129" t="str">
        <f>採点LR3!C113</f>
        <v>3.2.2 自動車交通量に関する配慮</v>
      </c>
      <c r="D133" s="473"/>
      <c r="E133" s="786"/>
      <c r="F133" s="786"/>
      <c r="G133" s="786"/>
      <c r="H133" s="1142"/>
      <c r="I133" s="1120"/>
      <c r="J133" s="1121"/>
      <c r="K133" s="1121"/>
      <c r="L133" s="1121"/>
      <c r="M133" s="1121"/>
      <c r="N133" s="1121"/>
      <c r="O133" s="1122"/>
      <c r="P133" s="1159">
        <f t="shared" si="131"/>
        <v>3</v>
      </c>
      <c r="Q133" s="1124">
        <f t="shared" si="92"/>
        <v>0.5</v>
      </c>
      <c r="R133" s="1160"/>
      <c r="S133" s="699"/>
      <c r="T133" s="1091"/>
      <c r="U133" s="1091">
        <f>AS133</f>
        <v>3</v>
      </c>
      <c r="V133" s="1091">
        <f t="shared" si="54"/>
        <v>3</v>
      </c>
      <c r="W133" s="699"/>
      <c r="X133" s="1352"/>
      <c r="Y133" s="1352"/>
      <c r="Z133" s="1351">
        <v>1</v>
      </c>
      <c r="AA133" s="1091"/>
      <c r="AB133" s="1091"/>
      <c r="AC133" s="96"/>
      <c r="AD133" s="1116"/>
      <c r="AE133" s="1116"/>
      <c r="AF133" s="1106">
        <f>IF(AG133=0,0,Z133)</f>
        <v>1</v>
      </c>
      <c r="AG133" s="1092">
        <f>SUM(AG134:AG135)</f>
        <v>2</v>
      </c>
      <c r="AH133" s="1091">
        <f t="shared" si="126"/>
        <v>0</v>
      </c>
      <c r="AI133" s="96"/>
      <c r="AJ133" s="1116"/>
      <c r="AK133" s="1116"/>
      <c r="AL133" s="1106">
        <f>AF133/AF129</f>
        <v>0.5</v>
      </c>
      <c r="AM133" s="1092"/>
      <c r="AN133" s="1091"/>
      <c r="AP133" s="1116"/>
      <c r="AQ133" s="1116"/>
      <c r="AR133" s="1106">
        <f t="shared" ref="AR133" si="135">($T133+AS133)*AL133</f>
        <v>1.5</v>
      </c>
      <c r="AS133" s="1092">
        <f>SUM(AS134:AS135)</f>
        <v>3</v>
      </c>
      <c r="AT133" s="1091"/>
      <c r="AV133" s="1116"/>
      <c r="AW133" s="1116"/>
      <c r="AX133" s="1106">
        <f>AL133</f>
        <v>0.5</v>
      </c>
      <c r="AY133" s="1092">
        <f>SUM(AY134:AY135)</f>
        <v>1</v>
      </c>
      <c r="AZ133" s="1091"/>
    </row>
    <row r="134" spans="2:52" ht="13.15" customHeight="1">
      <c r="B134" s="1118"/>
      <c r="C134" s="1144"/>
      <c r="D134" s="1177" t="str">
        <f>採点LR3!D114</f>
        <v>3.2.2.1 他の交通手段への転換による自動車交通量の総量削減</v>
      </c>
      <c r="E134" s="433"/>
      <c r="F134" s="433"/>
      <c r="G134" s="433"/>
      <c r="H134" s="1142"/>
      <c r="I134" s="1131">
        <f>採点LR3!E121</f>
        <v>0</v>
      </c>
      <c r="J134" s="1121"/>
      <c r="K134" s="1121"/>
      <c r="L134" s="1121"/>
      <c r="M134" s="1121"/>
      <c r="N134" s="1121"/>
      <c r="O134" s="1122"/>
      <c r="P134" s="1159">
        <f t="shared" si="131"/>
        <v>3</v>
      </c>
      <c r="Q134" s="1124">
        <f t="shared" si="92"/>
        <v>0.5</v>
      </c>
      <c r="R134" s="1160"/>
      <c r="S134" s="699"/>
      <c r="T134" s="1091">
        <f>採点LR3!D115</f>
        <v>3</v>
      </c>
      <c r="U134" s="1091"/>
      <c r="V134" s="1091">
        <f t="shared" si="54"/>
        <v>3</v>
      </c>
      <c r="W134" s="699"/>
      <c r="X134" s="1352"/>
      <c r="Y134" s="1352"/>
      <c r="Z134" s="1352"/>
      <c r="AA134" s="1091">
        <v>1</v>
      </c>
      <c r="AB134" s="1091"/>
      <c r="AC134" s="96"/>
      <c r="AD134" s="1116"/>
      <c r="AE134" s="1116"/>
      <c r="AF134" s="1116"/>
      <c r="AG134" s="1091">
        <f t="shared" ref="AF134:AG150" si="136">IF($T134=0,0,1)*AA134</f>
        <v>1</v>
      </c>
      <c r="AH134" s="1091">
        <f t="shared" ref="AH134:AH150" si="137">IF($T134=0,0,1)*AB134</f>
        <v>0</v>
      </c>
      <c r="AI134" s="96"/>
      <c r="AJ134" s="1116"/>
      <c r="AK134" s="1116"/>
      <c r="AL134" s="1116"/>
      <c r="AM134" s="1091">
        <f>AG134/AG133</f>
        <v>0.5</v>
      </c>
      <c r="AN134" s="1091"/>
      <c r="AP134" s="1116"/>
      <c r="AQ134" s="1116"/>
      <c r="AR134" s="1116"/>
      <c r="AS134" s="1091">
        <f t="shared" ref="AS134:AS135" si="138">($T134+AT134)*AM134</f>
        <v>1.5</v>
      </c>
      <c r="AT134" s="1091"/>
      <c r="AV134" s="1116"/>
      <c r="AW134" s="1116"/>
      <c r="AX134" s="1116"/>
      <c r="AY134" s="1091">
        <f t="shared" ref="AY134:AY135" si="139">AM134</f>
        <v>0.5</v>
      </c>
      <c r="AZ134" s="1091"/>
    </row>
    <row r="135" spans="2:52" ht="13.15" customHeight="1">
      <c r="B135" s="1118"/>
      <c r="C135" s="1144"/>
      <c r="D135" s="1129" t="str">
        <f>採点LR3!D123</f>
        <v>3.2.2.2 周辺道路への負荷を抑制する動線計画</v>
      </c>
      <c r="E135" s="433"/>
      <c r="F135" s="433"/>
      <c r="G135" s="433"/>
      <c r="H135" s="1142"/>
      <c r="I135" s="1131">
        <f>採点LR3!E130</f>
        <v>0</v>
      </c>
      <c r="J135" s="1121"/>
      <c r="K135" s="1121"/>
      <c r="L135" s="1121"/>
      <c r="M135" s="1121"/>
      <c r="N135" s="1121"/>
      <c r="O135" s="1122"/>
      <c r="P135" s="1159">
        <f t="shared" si="131"/>
        <v>3</v>
      </c>
      <c r="Q135" s="1124">
        <f t="shared" ref="Q135:Q150" si="140">SUM(AJ135:AN135)</f>
        <v>0.5</v>
      </c>
      <c r="R135" s="1161"/>
      <c r="S135" s="699"/>
      <c r="T135" s="1091">
        <f>採点LR3!D124</f>
        <v>3</v>
      </c>
      <c r="U135" s="1091"/>
      <c r="V135" s="1091">
        <f t="shared" si="54"/>
        <v>3</v>
      </c>
      <c r="W135" s="699"/>
      <c r="X135" s="1352"/>
      <c r="Y135" s="1353"/>
      <c r="Z135" s="1353"/>
      <c r="AA135" s="1091">
        <v>1</v>
      </c>
      <c r="AB135" s="1091"/>
      <c r="AC135" s="96"/>
      <c r="AD135" s="1116"/>
      <c r="AE135" s="1132"/>
      <c r="AF135" s="1132"/>
      <c r="AG135" s="1091">
        <f t="shared" si="136"/>
        <v>1</v>
      </c>
      <c r="AH135" s="1091">
        <f t="shared" si="137"/>
        <v>0</v>
      </c>
      <c r="AI135" s="96"/>
      <c r="AJ135" s="1116"/>
      <c r="AK135" s="1132"/>
      <c r="AL135" s="1132"/>
      <c r="AM135" s="1091">
        <f>AG135/AG133</f>
        <v>0.5</v>
      </c>
      <c r="AN135" s="1091"/>
      <c r="AP135" s="1116"/>
      <c r="AQ135" s="1132"/>
      <c r="AR135" s="1132"/>
      <c r="AS135" s="1091">
        <f t="shared" si="138"/>
        <v>1.5</v>
      </c>
      <c r="AT135" s="1091"/>
      <c r="AV135" s="1116"/>
      <c r="AW135" s="1132"/>
      <c r="AX135" s="1132"/>
      <c r="AY135" s="1091">
        <f t="shared" si="139"/>
        <v>0.5</v>
      </c>
      <c r="AZ135" s="1091"/>
    </row>
    <row r="136" spans="2:52" ht="13.15" customHeight="1">
      <c r="B136" s="1138" t="str">
        <f>採点LR3!B132</f>
        <v>3.3 環境阻害の削減</v>
      </c>
      <c r="C136" s="1139"/>
      <c r="D136" s="786"/>
      <c r="E136" s="786"/>
      <c r="F136" s="786"/>
      <c r="G136" s="786"/>
      <c r="H136" s="786"/>
      <c r="I136" s="1120"/>
      <c r="J136" s="1121"/>
      <c r="K136" s="1121"/>
      <c r="L136" s="1121"/>
      <c r="M136" s="1121"/>
      <c r="N136" s="1121"/>
      <c r="O136" s="1122"/>
      <c r="P136" s="1159"/>
      <c r="Q136" s="1124">
        <f t="shared" si="140"/>
        <v>0.33333333333333331</v>
      </c>
      <c r="R136" s="1115">
        <f>ROUNDDOWN($V136,1)</f>
        <v>2.9</v>
      </c>
      <c r="S136" s="699"/>
      <c r="T136" s="1091"/>
      <c r="U136" s="1091">
        <f>AR136</f>
        <v>2.9444444444444446</v>
      </c>
      <c r="V136" s="1091">
        <f t="shared" ref="V136:V150" si="141">T136+U136</f>
        <v>2.9444444444444446</v>
      </c>
      <c r="W136" s="699"/>
      <c r="X136" s="1352"/>
      <c r="Y136" s="1351">
        <v>1</v>
      </c>
      <c r="Z136" s="1091"/>
      <c r="AA136" s="1091"/>
      <c r="AB136" s="1091"/>
      <c r="AC136" s="96"/>
      <c r="AD136" s="1116"/>
      <c r="AE136" s="1106">
        <f>IF(AF136=0,0,Y136)</f>
        <v>1</v>
      </c>
      <c r="AF136" s="1092">
        <f>SUM(AF137:AF149)</f>
        <v>6</v>
      </c>
      <c r="AG136" s="1091"/>
      <c r="AH136" s="1091">
        <f t="shared" si="137"/>
        <v>0</v>
      </c>
      <c r="AI136" s="96"/>
      <c r="AJ136" s="1116"/>
      <c r="AK136" s="1106">
        <f>AE136/AE127</f>
        <v>0.33333333333333331</v>
      </c>
      <c r="AL136" s="1092"/>
      <c r="AM136" s="1091"/>
      <c r="AN136" s="1091"/>
      <c r="AP136" s="1116"/>
      <c r="AQ136" s="1106">
        <f t="shared" ref="AQ136" si="142">($T136+AR136)*AK136</f>
        <v>0.98148148148148151</v>
      </c>
      <c r="AR136" s="1092">
        <f>SUM(AR137:AR149)</f>
        <v>2.9444444444444446</v>
      </c>
      <c r="AS136" s="1091"/>
      <c r="AT136" s="1091"/>
      <c r="AV136" s="1116"/>
      <c r="AW136" s="1106">
        <f>AK136</f>
        <v>0.33333333333333331</v>
      </c>
      <c r="AX136" s="1092">
        <f>SUM(AX137:AX149)</f>
        <v>0.99999999999999989</v>
      </c>
      <c r="AY136" s="1091"/>
      <c r="AZ136" s="1091"/>
    </row>
    <row r="137" spans="2:52" ht="13.15" customHeight="1">
      <c r="B137" s="1118"/>
      <c r="C137" s="1129" t="str">
        <f>採点LR3!C133</f>
        <v>3.3.1 ヒートアイランドの緩和</v>
      </c>
      <c r="D137" s="473"/>
      <c r="E137" s="786"/>
      <c r="F137" s="786"/>
      <c r="G137" s="786"/>
      <c r="H137" s="1142"/>
      <c r="I137" s="1131">
        <v>0</v>
      </c>
      <c r="J137" s="1121"/>
      <c r="K137" s="1121"/>
      <c r="L137" s="1121"/>
      <c r="M137" s="1121"/>
      <c r="N137" s="1121"/>
      <c r="O137" s="1122"/>
      <c r="P137" s="1159">
        <f t="shared" ref="P137:P150" si="143">ROUNDDOWN($V137,1)</f>
        <v>3</v>
      </c>
      <c r="Q137" s="1124">
        <f t="shared" si="140"/>
        <v>0.16666666666666666</v>
      </c>
      <c r="R137" s="1160"/>
      <c r="S137" s="699"/>
      <c r="T137" s="1091">
        <f>採点LR3!D134</f>
        <v>3</v>
      </c>
      <c r="U137" s="1091"/>
      <c r="V137" s="1091">
        <f t="shared" si="141"/>
        <v>3</v>
      </c>
      <c r="W137" s="699"/>
      <c r="X137" s="1352"/>
      <c r="Y137" s="1352"/>
      <c r="Z137" s="1091">
        <v>1</v>
      </c>
      <c r="AA137" s="1091"/>
      <c r="AB137" s="1091"/>
      <c r="AC137" s="96"/>
      <c r="AD137" s="1116"/>
      <c r="AE137" s="1116"/>
      <c r="AF137" s="1091">
        <f t="shared" ref="AF137" si="144">IF($T137=0,0,1)*Z137</f>
        <v>1</v>
      </c>
      <c r="AG137" s="1091">
        <f t="shared" ref="AG137" si="145">IF($T137=0,0,1)*AA137</f>
        <v>0</v>
      </c>
      <c r="AH137" s="1091">
        <f t="shared" ref="AH137" si="146">IF($T137=0,0,1)*AB137</f>
        <v>0</v>
      </c>
      <c r="AI137" s="96"/>
      <c r="AJ137" s="1116"/>
      <c r="AK137" s="1116"/>
      <c r="AL137" s="1091">
        <f>AF137/AF136</f>
        <v>0.16666666666666666</v>
      </c>
      <c r="AM137" s="1091"/>
      <c r="AN137" s="1091"/>
      <c r="AP137" s="1116"/>
      <c r="AQ137" s="1116"/>
      <c r="AR137" s="1091">
        <f t="shared" ref="AR137:AR138" si="147">($T137+AS137)*AL137</f>
        <v>0.5</v>
      </c>
      <c r="AS137" s="1091"/>
      <c r="AT137" s="1091"/>
      <c r="AV137" s="1116"/>
      <c r="AW137" s="1116"/>
      <c r="AX137" s="1091">
        <f t="shared" ref="AX137:AX138" si="148">AL137</f>
        <v>0.16666666666666666</v>
      </c>
      <c r="AY137" s="1091"/>
      <c r="AZ137" s="1091"/>
    </row>
    <row r="138" spans="2:52" ht="13.15" customHeight="1">
      <c r="B138" s="1118"/>
      <c r="C138" s="1129" t="str">
        <f>採点LR3!C138</f>
        <v>3.3.2 対象区域外に対する大気汚染の防止</v>
      </c>
      <c r="D138" s="473"/>
      <c r="E138" s="786"/>
      <c r="F138" s="786"/>
      <c r="G138" s="786"/>
      <c r="H138" s="1142"/>
      <c r="I138" s="1120"/>
      <c r="J138" s="1121"/>
      <c r="K138" s="1121"/>
      <c r="L138" s="1121"/>
      <c r="M138" s="1121"/>
      <c r="N138" s="1121"/>
      <c r="O138" s="1122"/>
      <c r="P138" s="1159">
        <f t="shared" si="143"/>
        <v>3</v>
      </c>
      <c r="Q138" s="1124">
        <f t="shared" si="140"/>
        <v>0.16666666666666666</v>
      </c>
      <c r="R138" s="1160"/>
      <c r="S138" s="699"/>
      <c r="T138" s="1091"/>
      <c r="U138" s="1091">
        <f>AS138</f>
        <v>3</v>
      </c>
      <c r="V138" s="1091">
        <f t="shared" si="141"/>
        <v>3</v>
      </c>
      <c r="W138" s="699"/>
      <c r="X138" s="1352"/>
      <c r="Y138" s="1352"/>
      <c r="Z138" s="1351">
        <v>1</v>
      </c>
      <c r="AA138" s="1091"/>
      <c r="AB138" s="1091"/>
      <c r="AC138" s="96"/>
      <c r="AD138" s="1116"/>
      <c r="AE138" s="1116"/>
      <c r="AF138" s="1106">
        <f>IF(AG138=0,0,Z138)</f>
        <v>1</v>
      </c>
      <c r="AG138" s="1092">
        <f>SUM(AG139:AG141)</f>
        <v>3</v>
      </c>
      <c r="AH138" s="1091">
        <f t="shared" si="137"/>
        <v>0</v>
      </c>
      <c r="AI138" s="96"/>
      <c r="AJ138" s="1116"/>
      <c r="AK138" s="1116"/>
      <c r="AL138" s="1106">
        <f>AF138/AF136</f>
        <v>0.16666666666666666</v>
      </c>
      <c r="AM138" s="1092"/>
      <c r="AN138" s="1091"/>
      <c r="AP138" s="1116"/>
      <c r="AQ138" s="1116"/>
      <c r="AR138" s="1106">
        <f t="shared" si="147"/>
        <v>0.5</v>
      </c>
      <c r="AS138" s="1092">
        <f>SUM(AS139:AS141)</f>
        <v>3</v>
      </c>
      <c r="AT138" s="1091"/>
      <c r="AV138" s="1116"/>
      <c r="AW138" s="1116"/>
      <c r="AX138" s="1106">
        <f t="shared" si="148"/>
        <v>0.16666666666666666</v>
      </c>
      <c r="AY138" s="1092">
        <f>SUM(AY139:AY141)</f>
        <v>1</v>
      </c>
      <c r="AZ138" s="1091"/>
    </row>
    <row r="139" spans="2:52" ht="13.15" customHeight="1">
      <c r="B139" s="1118"/>
      <c r="C139" s="1144"/>
      <c r="D139" s="1129" t="str">
        <f>採点LR3!D139</f>
        <v>3.3.2.1 発生源における対策</v>
      </c>
      <c r="E139" s="433"/>
      <c r="F139" s="433"/>
      <c r="G139" s="433"/>
      <c r="H139" s="1142"/>
      <c r="I139" s="1131">
        <f>採点LR3!E146</f>
        <v>0</v>
      </c>
      <c r="J139" s="1121"/>
      <c r="K139" s="1121"/>
      <c r="L139" s="1121"/>
      <c r="M139" s="1121"/>
      <c r="N139" s="1121"/>
      <c r="O139" s="1122"/>
      <c r="P139" s="1159">
        <f t="shared" si="143"/>
        <v>3</v>
      </c>
      <c r="Q139" s="1124">
        <f t="shared" si="140"/>
        <v>0.33333333333333331</v>
      </c>
      <c r="R139" s="1160"/>
      <c r="S139" s="699"/>
      <c r="T139" s="1091">
        <f>採点LR3!D140</f>
        <v>3</v>
      </c>
      <c r="U139" s="1091"/>
      <c r="V139" s="1091">
        <f t="shared" si="141"/>
        <v>3</v>
      </c>
      <c r="W139" s="699"/>
      <c r="X139" s="1352"/>
      <c r="Y139" s="1352"/>
      <c r="Z139" s="1352"/>
      <c r="AA139" s="1091">
        <v>1</v>
      </c>
      <c r="AB139" s="1091"/>
      <c r="AC139" s="96"/>
      <c r="AD139" s="1116"/>
      <c r="AE139" s="1116"/>
      <c r="AF139" s="1116"/>
      <c r="AG139" s="1091">
        <f t="shared" si="136"/>
        <v>1</v>
      </c>
      <c r="AH139" s="1091">
        <f t="shared" si="137"/>
        <v>0</v>
      </c>
      <c r="AI139" s="96"/>
      <c r="AJ139" s="1116"/>
      <c r="AK139" s="1116"/>
      <c r="AL139" s="1116"/>
      <c r="AM139" s="1091">
        <f>AG139/AG138</f>
        <v>0.33333333333333331</v>
      </c>
      <c r="AN139" s="1091"/>
      <c r="AP139" s="1116"/>
      <c r="AQ139" s="1116"/>
      <c r="AR139" s="1116"/>
      <c r="AS139" s="1091">
        <f t="shared" ref="AS139:AS141" si="149">($T139+AT139)*AM139</f>
        <v>1</v>
      </c>
      <c r="AT139" s="1091"/>
      <c r="AV139" s="1116"/>
      <c r="AW139" s="1116"/>
      <c r="AX139" s="1116"/>
      <c r="AY139" s="1091">
        <f t="shared" ref="AY139:AY141" si="150">AM139</f>
        <v>0.33333333333333331</v>
      </c>
      <c r="AZ139" s="1091"/>
    </row>
    <row r="140" spans="2:52" ht="13.15" customHeight="1">
      <c r="B140" s="1118"/>
      <c r="C140" s="1144"/>
      <c r="D140" s="1129" t="str">
        <f>採点LR3!D148</f>
        <v>3.3.2.2 交通手段における対策</v>
      </c>
      <c r="E140" s="433"/>
      <c r="F140" s="433"/>
      <c r="G140" s="433"/>
      <c r="H140" s="1142"/>
      <c r="I140" s="1131">
        <f>採点LR3!E155</f>
        <v>0</v>
      </c>
      <c r="J140" s="1121"/>
      <c r="K140" s="1121"/>
      <c r="L140" s="1121"/>
      <c r="M140" s="1121"/>
      <c r="N140" s="1121"/>
      <c r="O140" s="1122"/>
      <c r="P140" s="1159">
        <f t="shared" si="143"/>
        <v>3</v>
      </c>
      <c r="Q140" s="1124">
        <f t="shared" si="140"/>
        <v>0.33333333333333331</v>
      </c>
      <c r="R140" s="1160"/>
      <c r="S140" s="699"/>
      <c r="T140" s="1091">
        <f>採点LR3!D149</f>
        <v>3</v>
      </c>
      <c r="U140" s="1091"/>
      <c r="V140" s="1091">
        <f t="shared" si="141"/>
        <v>3</v>
      </c>
      <c r="W140" s="699"/>
      <c r="X140" s="1352"/>
      <c r="Y140" s="1352"/>
      <c r="Z140" s="1352"/>
      <c r="AA140" s="1091">
        <v>1</v>
      </c>
      <c r="AB140" s="1091"/>
      <c r="AC140" s="96"/>
      <c r="AD140" s="1116"/>
      <c r="AE140" s="1116"/>
      <c r="AF140" s="1116"/>
      <c r="AG140" s="1091">
        <f t="shared" si="136"/>
        <v>1</v>
      </c>
      <c r="AH140" s="1091">
        <f t="shared" si="137"/>
        <v>0</v>
      </c>
      <c r="AI140" s="96"/>
      <c r="AJ140" s="1116"/>
      <c r="AK140" s="1116"/>
      <c r="AL140" s="1116"/>
      <c r="AM140" s="1091">
        <f>AG140/AG138</f>
        <v>0.33333333333333331</v>
      </c>
      <c r="AN140" s="1091"/>
      <c r="AP140" s="1116"/>
      <c r="AQ140" s="1116"/>
      <c r="AR140" s="1116"/>
      <c r="AS140" s="1091">
        <f t="shared" si="149"/>
        <v>1</v>
      </c>
      <c r="AT140" s="1091"/>
      <c r="AV140" s="1116"/>
      <c r="AW140" s="1116"/>
      <c r="AX140" s="1116"/>
      <c r="AY140" s="1091">
        <f t="shared" si="150"/>
        <v>0.33333333333333331</v>
      </c>
      <c r="AZ140" s="1091"/>
    </row>
    <row r="141" spans="2:52" ht="13.15" customHeight="1">
      <c r="B141" s="1118"/>
      <c r="C141" s="1144"/>
      <c r="D141" s="1129" t="str">
        <f>採点LR3!D157</f>
        <v>3.3.2.3 大気浄化に対する取組み</v>
      </c>
      <c r="E141" s="1130"/>
      <c r="F141" s="1130"/>
      <c r="G141" s="1130"/>
      <c r="H141" s="1142"/>
      <c r="I141" s="1131" t="str">
        <f>採点LR3!D165</f>
        <v>評価する取組</v>
      </c>
      <c r="J141" s="1121"/>
      <c r="K141" s="1146">
        <f>採点LR3!E164</f>
        <v>0</v>
      </c>
      <c r="L141" s="1121"/>
      <c r="M141" s="1121"/>
      <c r="N141" s="1121"/>
      <c r="O141" s="1122"/>
      <c r="P141" s="1159">
        <f t="shared" si="143"/>
        <v>3</v>
      </c>
      <c r="Q141" s="1124">
        <f t="shared" si="140"/>
        <v>0.33333333333333331</v>
      </c>
      <c r="R141" s="1160"/>
      <c r="S141" s="699"/>
      <c r="T141" s="1091">
        <f>採点LR3!D158</f>
        <v>3</v>
      </c>
      <c r="U141" s="1091"/>
      <c r="V141" s="1091">
        <f t="shared" si="141"/>
        <v>3</v>
      </c>
      <c r="W141" s="699"/>
      <c r="X141" s="1352"/>
      <c r="Y141" s="1352"/>
      <c r="Z141" s="1353"/>
      <c r="AA141" s="1091">
        <v>1</v>
      </c>
      <c r="AB141" s="1091"/>
      <c r="AC141" s="96"/>
      <c r="AD141" s="1116"/>
      <c r="AE141" s="1116"/>
      <c r="AF141" s="1132"/>
      <c r="AG141" s="1091">
        <f t="shared" si="136"/>
        <v>1</v>
      </c>
      <c r="AH141" s="1091">
        <f t="shared" si="137"/>
        <v>0</v>
      </c>
      <c r="AI141" s="96"/>
      <c r="AJ141" s="1116"/>
      <c r="AK141" s="1116"/>
      <c r="AL141" s="1132"/>
      <c r="AM141" s="1091">
        <f>AG141/AG138</f>
        <v>0.33333333333333331</v>
      </c>
      <c r="AN141" s="1091"/>
      <c r="AP141" s="1116"/>
      <c r="AQ141" s="1116"/>
      <c r="AR141" s="1132"/>
      <c r="AS141" s="1091">
        <f t="shared" si="149"/>
        <v>1</v>
      </c>
      <c r="AT141" s="1091"/>
      <c r="AV141" s="1116"/>
      <c r="AW141" s="1116"/>
      <c r="AX141" s="1132"/>
      <c r="AY141" s="1091">
        <f t="shared" si="150"/>
        <v>0.33333333333333331</v>
      </c>
      <c r="AZ141" s="1091"/>
    </row>
    <row r="142" spans="2:52" ht="13.15" customHeight="1">
      <c r="B142" s="1118"/>
      <c r="C142" s="1129" t="str">
        <f>採点LR3!C170</f>
        <v>3.3.3 対象区域外に対する騒音・振動・悪臭の防止</v>
      </c>
      <c r="D142" s="473"/>
      <c r="E142" s="786"/>
      <c r="F142" s="786"/>
      <c r="G142" s="786"/>
      <c r="H142" s="1142"/>
      <c r="I142" s="1120"/>
      <c r="J142" s="1121"/>
      <c r="K142" s="1121"/>
      <c r="L142" s="1121"/>
      <c r="M142" s="1121"/>
      <c r="N142" s="1121"/>
      <c r="O142" s="1122"/>
      <c r="P142" s="1159">
        <f t="shared" si="143"/>
        <v>2.6</v>
      </c>
      <c r="Q142" s="1124">
        <f t="shared" si="140"/>
        <v>0.16666666666666666</v>
      </c>
      <c r="R142" s="1160"/>
      <c r="S142" s="699"/>
      <c r="T142" s="1091"/>
      <c r="U142" s="1091">
        <f>AS142</f>
        <v>2.6666666666666665</v>
      </c>
      <c r="V142" s="1091">
        <f t="shared" si="141"/>
        <v>2.6666666666666665</v>
      </c>
      <c r="W142" s="699"/>
      <c r="X142" s="1352"/>
      <c r="Y142" s="1352"/>
      <c r="Z142" s="1351">
        <v>1</v>
      </c>
      <c r="AA142" s="1091"/>
      <c r="AB142" s="1091"/>
      <c r="AC142" s="96"/>
      <c r="AD142" s="1116"/>
      <c r="AE142" s="1116"/>
      <c r="AF142" s="1106">
        <f>IF(AG142=0,0,Z142)</f>
        <v>1</v>
      </c>
      <c r="AG142" s="1092">
        <f>SUM(AG143:AG145)</f>
        <v>3</v>
      </c>
      <c r="AH142" s="1091">
        <f t="shared" si="137"/>
        <v>0</v>
      </c>
      <c r="AI142" s="96"/>
      <c r="AJ142" s="1116"/>
      <c r="AK142" s="1116"/>
      <c r="AL142" s="1106">
        <f>AF142/AF136</f>
        <v>0.16666666666666666</v>
      </c>
      <c r="AM142" s="1092"/>
      <c r="AN142" s="1091"/>
      <c r="AP142" s="1116"/>
      <c r="AQ142" s="1116"/>
      <c r="AR142" s="1106">
        <f t="shared" ref="AR142" si="151">($T142+AS142)*AL142</f>
        <v>0.44444444444444442</v>
      </c>
      <c r="AS142" s="1092">
        <f>SUM(AS143:AS145)</f>
        <v>2.6666666666666665</v>
      </c>
      <c r="AT142" s="1091"/>
      <c r="AV142" s="1116"/>
      <c r="AW142" s="1116"/>
      <c r="AX142" s="1106">
        <f>AL142</f>
        <v>0.16666666666666666</v>
      </c>
      <c r="AY142" s="1092">
        <f>SUM(AY143:AY145)</f>
        <v>1</v>
      </c>
      <c r="AZ142" s="1091"/>
    </row>
    <row r="143" spans="2:52" ht="13.15" customHeight="1">
      <c r="B143" s="1118"/>
      <c r="C143" s="1144"/>
      <c r="D143" s="1129" t="str">
        <f>採点LR3!D171</f>
        <v>3.3.3.1 騒音が対象区域外に及ぼす影響の軽減</v>
      </c>
      <c r="E143" s="433"/>
      <c r="F143" s="433"/>
      <c r="G143" s="433"/>
      <c r="H143" s="1142"/>
      <c r="I143" s="1131">
        <f>採点LR3!E178</f>
        <v>0</v>
      </c>
      <c r="J143" s="1121"/>
      <c r="K143" s="1121"/>
      <c r="L143" s="1121"/>
      <c r="M143" s="1121"/>
      <c r="N143" s="1121"/>
      <c r="O143" s="1122"/>
      <c r="P143" s="1159">
        <f t="shared" si="143"/>
        <v>3</v>
      </c>
      <c r="Q143" s="1124">
        <f t="shared" si="140"/>
        <v>0.33333333333333331</v>
      </c>
      <c r="R143" s="1160"/>
      <c r="S143" s="699"/>
      <c r="T143" s="1091">
        <f>採点LR3!D172</f>
        <v>3</v>
      </c>
      <c r="U143" s="1091"/>
      <c r="V143" s="1091">
        <f t="shared" si="141"/>
        <v>3</v>
      </c>
      <c r="W143" s="699"/>
      <c r="X143" s="1352"/>
      <c r="Y143" s="1352"/>
      <c r="Z143" s="1352"/>
      <c r="AA143" s="1091">
        <v>1</v>
      </c>
      <c r="AB143" s="1091"/>
      <c r="AC143" s="96"/>
      <c r="AD143" s="1116"/>
      <c r="AE143" s="1116"/>
      <c r="AF143" s="1116"/>
      <c r="AG143" s="1091">
        <f t="shared" si="136"/>
        <v>1</v>
      </c>
      <c r="AH143" s="1091">
        <f t="shared" si="137"/>
        <v>0</v>
      </c>
      <c r="AI143" s="96"/>
      <c r="AJ143" s="1116"/>
      <c r="AK143" s="1116"/>
      <c r="AL143" s="1116"/>
      <c r="AM143" s="1091">
        <f>AG143/AG142</f>
        <v>0.33333333333333331</v>
      </c>
      <c r="AN143" s="1091"/>
      <c r="AP143" s="1116"/>
      <c r="AQ143" s="1116"/>
      <c r="AR143" s="1116"/>
      <c r="AS143" s="1091">
        <f t="shared" ref="AS143:AS145" si="152">($T143+AT143)*AM143</f>
        <v>1</v>
      </c>
      <c r="AT143" s="1091"/>
      <c r="AV143" s="1116"/>
      <c r="AW143" s="1116"/>
      <c r="AX143" s="1116"/>
      <c r="AY143" s="1091">
        <f t="shared" ref="AY143:AY145" si="153">AM143</f>
        <v>0.33333333333333331</v>
      </c>
      <c r="AZ143" s="1091"/>
    </row>
    <row r="144" spans="2:52" ht="13.15" customHeight="1">
      <c r="B144" s="1118"/>
      <c r="C144" s="1144"/>
      <c r="D144" s="1129" t="str">
        <f>採点LR3!D180</f>
        <v>3.3.3.2 振動が対象区域外に及ぼす影響の軽減</v>
      </c>
      <c r="E144" s="433"/>
      <c r="F144" s="433"/>
      <c r="G144" s="433"/>
      <c r="H144" s="1142"/>
      <c r="I144" s="1131">
        <f>採点LR3!E187</f>
        <v>0</v>
      </c>
      <c r="J144" s="1121"/>
      <c r="K144" s="1121"/>
      <c r="L144" s="1121"/>
      <c r="M144" s="1121"/>
      <c r="N144" s="1121"/>
      <c r="O144" s="1122"/>
      <c r="P144" s="1159">
        <f t="shared" si="143"/>
        <v>3</v>
      </c>
      <c r="Q144" s="1124">
        <f t="shared" si="140"/>
        <v>0.33333333333333331</v>
      </c>
      <c r="R144" s="1160"/>
      <c r="S144" s="699"/>
      <c r="T144" s="1091">
        <f>採点LR3!D181</f>
        <v>3</v>
      </c>
      <c r="U144" s="1091"/>
      <c r="V144" s="1091">
        <f t="shared" si="141"/>
        <v>3</v>
      </c>
      <c r="W144" s="699"/>
      <c r="X144" s="1352"/>
      <c r="Y144" s="1352"/>
      <c r="Z144" s="1352"/>
      <c r="AA144" s="1091">
        <v>1</v>
      </c>
      <c r="AB144" s="1091"/>
      <c r="AC144" s="96"/>
      <c r="AD144" s="1116"/>
      <c r="AE144" s="1116"/>
      <c r="AF144" s="1116"/>
      <c r="AG144" s="1091">
        <f t="shared" si="136"/>
        <v>1</v>
      </c>
      <c r="AH144" s="1091">
        <f t="shared" si="137"/>
        <v>0</v>
      </c>
      <c r="AI144" s="96"/>
      <c r="AJ144" s="1116"/>
      <c r="AK144" s="1116"/>
      <c r="AL144" s="1116"/>
      <c r="AM144" s="1091">
        <f>AG144/AG142</f>
        <v>0.33333333333333331</v>
      </c>
      <c r="AN144" s="1091"/>
      <c r="AP144" s="1116"/>
      <c r="AQ144" s="1116"/>
      <c r="AR144" s="1116"/>
      <c r="AS144" s="1091">
        <f t="shared" si="152"/>
        <v>1</v>
      </c>
      <c r="AT144" s="1091"/>
      <c r="AV144" s="1116"/>
      <c r="AW144" s="1116"/>
      <c r="AX144" s="1116"/>
      <c r="AY144" s="1091">
        <f t="shared" si="153"/>
        <v>0.33333333333333331</v>
      </c>
      <c r="AZ144" s="1091"/>
    </row>
    <row r="145" spans="1:52" ht="13.15" customHeight="1">
      <c r="B145" s="1118"/>
      <c r="C145" s="1144"/>
      <c r="D145" s="1129" t="str">
        <f>採点LR3!D189</f>
        <v>3.3.3.3 悪臭が対象区域外に及ぼす影響の軽減</v>
      </c>
      <c r="E145" s="1130"/>
      <c r="F145" s="1130"/>
      <c r="G145" s="1130"/>
      <c r="H145" s="1142"/>
      <c r="I145" s="1131" t="str">
        <f>採点LR3!D197</f>
        <v>評価する取組</v>
      </c>
      <c r="J145" s="1121"/>
      <c r="K145" s="1146">
        <f>採点LR3!E196</f>
        <v>0</v>
      </c>
      <c r="L145" s="1121"/>
      <c r="M145" s="1121"/>
      <c r="N145" s="1121"/>
      <c r="O145" s="1122"/>
      <c r="P145" s="1159">
        <f t="shared" si="143"/>
        <v>2</v>
      </c>
      <c r="Q145" s="1124">
        <f t="shared" si="140"/>
        <v>0.33333333333333331</v>
      </c>
      <c r="R145" s="1160"/>
      <c r="S145" s="699"/>
      <c r="T145" s="1091">
        <f>採点LR3!D190</f>
        <v>2</v>
      </c>
      <c r="U145" s="1091"/>
      <c r="V145" s="1091">
        <f t="shared" si="141"/>
        <v>2</v>
      </c>
      <c r="W145" s="699"/>
      <c r="X145" s="1352"/>
      <c r="Y145" s="1352"/>
      <c r="Z145" s="1353"/>
      <c r="AA145" s="1091">
        <v>1</v>
      </c>
      <c r="AB145" s="1091"/>
      <c r="AC145" s="96"/>
      <c r="AD145" s="1116"/>
      <c r="AE145" s="1116"/>
      <c r="AF145" s="1132"/>
      <c r="AG145" s="1091">
        <f t="shared" si="136"/>
        <v>1</v>
      </c>
      <c r="AH145" s="1091">
        <f t="shared" si="137"/>
        <v>0</v>
      </c>
      <c r="AI145" s="96"/>
      <c r="AJ145" s="1116"/>
      <c r="AK145" s="1116"/>
      <c r="AL145" s="1132"/>
      <c r="AM145" s="1091">
        <f>AG145/AG142</f>
        <v>0.33333333333333331</v>
      </c>
      <c r="AN145" s="1091"/>
      <c r="AP145" s="1116"/>
      <c r="AQ145" s="1116"/>
      <c r="AR145" s="1132"/>
      <c r="AS145" s="1091">
        <f t="shared" si="152"/>
        <v>0.66666666666666663</v>
      </c>
      <c r="AT145" s="1091"/>
      <c r="AV145" s="1116"/>
      <c r="AW145" s="1116"/>
      <c r="AX145" s="1132"/>
      <c r="AY145" s="1091">
        <f t="shared" si="153"/>
        <v>0.33333333333333331</v>
      </c>
      <c r="AZ145" s="1091"/>
    </row>
    <row r="146" spans="1:52" ht="13.15" customHeight="1">
      <c r="B146" s="1118"/>
      <c r="C146" s="1129" t="str">
        <f>採点LR3!C202</f>
        <v>3.3.4 対象区域外に対する風害の抑制</v>
      </c>
      <c r="D146" s="473"/>
      <c r="E146" s="786"/>
      <c r="F146" s="786"/>
      <c r="G146" s="786"/>
      <c r="H146" s="1142"/>
      <c r="I146" s="1131">
        <f>採点LR3!E209</f>
        <v>0</v>
      </c>
      <c r="J146" s="1121"/>
      <c r="K146" s="1121"/>
      <c r="L146" s="1121"/>
      <c r="M146" s="1121"/>
      <c r="N146" s="1121"/>
      <c r="O146" s="1122"/>
      <c r="P146" s="1159">
        <f t="shared" si="143"/>
        <v>3</v>
      </c>
      <c r="Q146" s="1124">
        <f t="shared" si="140"/>
        <v>0.16666666666666666</v>
      </c>
      <c r="R146" s="1160"/>
      <c r="S146" s="699"/>
      <c r="T146" s="1091">
        <f>採点LR3!D203</f>
        <v>3</v>
      </c>
      <c r="U146" s="1091"/>
      <c r="V146" s="1091">
        <f t="shared" si="141"/>
        <v>3</v>
      </c>
      <c r="W146" s="699"/>
      <c r="X146" s="1352"/>
      <c r="Y146" s="1352"/>
      <c r="Z146" s="1091">
        <v>1</v>
      </c>
      <c r="AA146" s="1091"/>
      <c r="AB146" s="1091"/>
      <c r="AC146" s="96"/>
      <c r="AD146" s="1116"/>
      <c r="AE146" s="1116"/>
      <c r="AF146" s="1091">
        <f t="shared" si="136"/>
        <v>1</v>
      </c>
      <c r="AG146" s="1091">
        <f t="shared" si="136"/>
        <v>0</v>
      </c>
      <c r="AH146" s="1091">
        <f t="shared" si="137"/>
        <v>0</v>
      </c>
      <c r="AI146" s="96"/>
      <c r="AJ146" s="1116"/>
      <c r="AK146" s="1116"/>
      <c r="AL146" s="1106">
        <f>AF146/AF136</f>
        <v>0.16666666666666666</v>
      </c>
      <c r="AM146" s="1091"/>
      <c r="AN146" s="1091"/>
      <c r="AP146" s="1116"/>
      <c r="AQ146" s="1116"/>
      <c r="AR146" s="1106">
        <f t="shared" ref="AR146:AR148" si="154">($T146+AS146)*AL146</f>
        <v>0.5</v>
      </c>
      <c r="AS146" s="1091"/>
      <c r="AT146" s="1091"/>
      <c r="AV146" s="1116"/>
      <c r="AW146" s="1116"/>
      <c r="AX146" s="1106">
        <f t="shared" ref="AX146:AX147" si="155">AL146</f>
        <v>0.16666666666666666</v>
      </c>
      <c r="AY146" s="1091"/>
      <c r="AZ146" s="1091"/>
    </row>
    <row r="147" spans="1:52" ht="13.15" customHeight="1">
      <c r="B147" s="1118"/>
      <c r="C147" s="1129" t="str">
        <f>採点LR3!C211</f>
        <v>3.3.5 対象区域外に対する日照阻害の抑制</v>
      </c>
      <c r="D147" s="473"/>
      <c r="E147" s="786"/>
      <c r="F147" s="786"/>
      <c r="G147" s="786"/>
      <c r="H147" s="1142"/>
      <c r="I147" s="1131">
        <f>採点LR3!E218</f>
        <v>0</v>
      </c>
      <c r="J147" s="1121"/>
      <c r="K147" s="1121"/>
      <c r="L147" s="1121"/>
      <c r="M147" s="1121"/>
      <c r="N147" s="1121"/>
      <c r="O147" s="1122"/>
      <c r="P147" s="1159">
        <f t="shared" si="143"/>
        <v>3</v>
      </c>
      <c r="Q147" s="1124">
        <f t="shared" si="140"/>
        <v>0.16666666666666666</v>
      </c>
      <c r="R147" s="1160"/>
      <c r="S147" s="699"/>
      <c r="T147" s="1091">
        <f>採点LR3!D212</f>
        <v>3</v>
      </c>
      <c r="U147" s="1091"/>
      <c r="V147" s="1091">
        <f t="shared" si="141"/>
        <v>3</v>
      </c>
      <c r="W147" s="699"/>
      <c r="X147" s="1352"/>
      <c r="Y147" s="1352"/>
      <c r="Z147" s="1091">
        <v>1</v>
      </c>
      <c r="AA147" s="1091"/>
      <c r="AB147" s="1091"/>
      <c r="AC147" s="96"/>
      <c r="AD147" s="1116"/>
      <c r="AE147" s="1116"/>
      <c r="AF147" s="1091">
        <f t="shared" si="136"/>
        <v>1</v>
      </c>
      <c r="AG147" s="1091">
        <f t="shared" si="136"/>
        <v>0</v>
      </c>
      <c r="AH147" s="1091">
        <f>IF($T147=0,0,1)*AB147</f>
        <v>0</v>
      </c>
      <c r="AI147" s="96"/>
      <c r="AJ147" s="1116"/>
      <c r="AK147" s="1116"/>
      <c r="AL147" s="1106">
        <f>AF147/AF136</f>
        <v>0.16666666666666666</v>
      </c>
      <c r="AM147" s="1091"/>
      <c r="AN147" s="1091"/>
      <c r="AP147" s="1116"/>
      <c r="AQ147" s="1116"/>
      <c r="AR147" s="1106">
        <f t="shared" si="154"/>
        <v>0.5</v>
      </c>
      <c r="AS147" s="1091"/>
      <c r="AT147" s="1091"/>
      <c r="AV147" s="1116"/>
      <c r="AW147" s="1116"/>
      <c r="AX147" s="1106">
        <f t="shared" si="155"/>
        <v>0.16666666666666666</v>
      </c>
      <c r="AY147" s="1091"/>
      <c r="AZ147" s="1091"/>
    </row>
    <row r="148" spans="1:52" ht="13.15" customHeight="1">
      <c r="B148" s="1118"/>
      <c r="C148" s="1129" t="str">
        <f>採点LR3!C220</f>
        <v>3.3.6 対象区域外に対する光害の抑制</v>
      </c>
      <c r="D148" s="473"/>
      <c r="E148" s="786"/>
      <c r="F148" s="786"/>
      <c r="G148" s="786"/>
      <c r="H148" s="1142"/>
      <c r="I148" s="1120"/>
      <c r="J148" s="1121"/>
      <c r="K148" s="1121"/>
      <c r="L148" s="1121"/>
      <c r="M148" s="1121"/>
      <c r="N148" s="1121"/>
      <c r="O148" s="1122"/>
      <c r="P148" s="1159">
        <f t="shared" si="143"/>
        <v>3</v>
      </c>
      <c r="Q148" s="1124">
        <f t="shared" si="140"/>
        <v>0.16666666666666666</v>
      </c>
      <c r="R148" s="1160"/>
      <c r="S148" s="699"/>
      <c r="T148" s="1091"/>
      <c r="U148" s="1091">
        <f>AS148</f>
        <v>3</v>
      </c>
      <c r="V148" s="1091">
        <f t="shared" si="141"/>
        <v>3</v>
      </c>
      <c r="W148" s="699"/>
      <c r="X148" s="1352"/>
      <c r="Y148" s="1352"/>
      <c r="Z148" s="1351">
        <v>1</v>
      </c>
      <c r="AA148" s="1091"/>
      <c r="AB148" s="1091"/>
      <c r="AC148" s="96"/>
      <c r="AD148" s="1116"/>
      <c r="AE148" s="1116"/>
      <c r="AF148" s="1106">
        <f>IF(AG148=0,0,Z148)</f>
        <v>1</v>
      </c>
      <c r="AG148" s="1092">
        <f>SUM(AG149:AG150)</f>
        <v>2</v>
      </c>
      <c r="AH148" s="1091">
        <f t="shared" si="137"/>
        <v>0</v>
      </c>
      <c r="AI148" s="96"/>
      <c r="AJ148" s="1116"/>
      <c r="AK148" s="1116"/>
      <c r="AL148" s="1106">
        <f>AF148/AF136</f>
        <v>0.16666666666666666</v>
      </c>
      <c r="AM148" s="1092"/>
      <c r="AN148" s="1091"/>
      <c r="AP148" s="1116"/>
      <c r="AQ148" s="1116"/>
      <c r="AR148" s="1106">
        <f t="shared" si="154"/>
        <v>0.5</v>
      </c>
      <c r="AS148" s="1092">
        <f>SUM(AS149:AS150)</f>
        <v>3</v>
      </c>
      <c r="AT148" s="1091"/>
      <c r="AV148" s="1116"/>
      <c r="AW148" s="1116"/>
      <c r="AX148" s="1106">
        <f>AL148</f>
        <v>0.16666666666666666</v>
      </c>
      <c r="AY148" s="1092">
        <f>SUM(AY149:AY150)</f>
        <v>1</v>
      </c>
      <c r="AZ148" s="1091"/>
    </row>
    <row r="149" spans="1:52" ht="13.15" customHeight="1">
      <c r="B149" s="1118"/>
      <c r="C149" s="1144"/>
      <c r="D149" s="1129" t="str">
        <f>採点LR3!D221</f>
        <v>3.3.6.1 照明・広告物等の光害の抑制</v>
      </c>
      <c r="E149" s="433"/>
      <c r="F149" s="433"/>
      <c r="G149" s="433"/>
      <c r="H149" s="1142"/>
      <c r="I149" s="1131" t="str">
        <f>採点LR3!D229</f>
        <v>評価する取組</v>
      </c>
      <c r="J149" s="1121"/>
      <c r="K149" s="1146">
        <f>採点LR3!E228</f>
        <v>0</v>
      </c>
      <c r="L149" s="1121"/>
      <c r="M149" s="1121"/>
      <c r="N149" s="1121"/>
      <c r="O149" s="1122"/>
      <c r="P149" s="1159">
        <f t="shared" si="143"/>
        <v>3</v>
      </c>
      <c r="Q149" s="1124">
        <f t="shared" si="140"/>
        <v>0.5</v>
      </c>
      <c r="R149" s="1160"/>
      <c r="S149" s="699"/>
      <c r="T149" s="1091">
        <f>採点LR3!D222</f>
        <v>3</v>
      </c>
      <c r="U149" s="1091"/>
      <c r="V149" s="1091">
        <f t="shared" si="141"/>
        <v>3</v>
      </c>
      <c r="W149" s="699"/>
      <c r="X149" s="1352"/>
      <c r="Y149" s="1352"/>
      <c r="Z149" s="1352"/>
      <c r="AA149" s="1091">
        <v>1</v>
      </c>
      <c r="AB149" s="1091"/>
      <c r="AC149" s="96"/>
      <c r="AD149" s="1116"/>
      <c r="AE149" s="1116"/>
      <c r="AF149" s="1116"/>
      <c r="AG149" s="1091">
        <f t="shared" si="136"/>
        <v>1</v>
      </c>
      <c r="AH149" s="1091">
        <f t="shared" si="137"/>
        <v>0</v>
      </c>
      <c r="AI149" s="96"/>
      <c r="AJ149" s="1116"/>
      <c r="AK149" s="1116"/>
      <c r="AL149" s="1116"/>
      <c r="AM149" s="1091">
        <f>AG149/AG148</f>
        <v>0.5</v>
      </c>
      <c r="AN149" s="1091"/>
      <c r="AP149" s="1116"/>
      <c r="AQ149" s="1116"/>
      <c r="AR149" s="1116"/>
      <c r="AS149" s="1091">
        <f t="shared" ref="AS149:AS150" si="156">($T149+AT149)*AM149</f>
        <v>1.5</v>
      </c>
      <c r="AT149" s="1091"/>
      <c r="AV149" s="1116"/>
      <c r="AW149" s="1116"/>
      <c r="AX149" s="1116"/>
      <c r="AY149" s="1091">
        <f t="shared" ref="AY149:AY150" si="157">AM149</f>
        <v>0.5</v>
      </c>
      <c r="AZ149" s="1091"/>
    </row>
    <row r="150" spans="1:52" ht="13.15" customHeight="1" thickBot="1">
      <c r="B150" s="1178"/>
      <c r="C150" s="1179"/>
      <c r="D150" s="1180" t="str">
        <f>採点LR3!D244</f>
        <v>3.3.6.2 建物外壁や屋外構造物による昼光反射の抑制</v>
      </c>
      <c r="E150" s="1181"/>
      <c r="F150" s="1181"/>
      <c r="G150" s="1181"/>
      <c r="H150" s="1182"/>
      <c r="I150" s="1183">
        <f>採点LR3!E251</f>
        <v>0</v>
      </c>
      <c r="J150" s="1184"/>
      <c r="K150" s="1184"/>
      <c r="L150" s="1184"/>
      <c r="M150" s="1184"/>
      <c r="N150" s="1184"/>
      <c r="O150" s="1185"/>
      <c r="P150" s="1186">
        <f t="shared" si="143"/>
        <v>3</v>
      </c>
      <c r="Q150" s="1187">
        <f t="shared" si="140"/>
        <v>0.5</v>
      </c>
      <c r="R150" s="1188"/>
      <c r="S150" s="699"/>
      <c r="T150" s="1091">
        <f>採点LR3!D245</f>
        <v>3</v>
      </c>
      <c r="U150" s="1091"/>
      <c r="V150" s="1091">
        <f t="shared" si="141"/>
        <v>3</v>
      </c>
      <c r="W150" s="699"/>
      <c r="X150" s="1353"/>
      <c r="Y150" s="1353"/>
      <c r="Z150" s="1353"/>
      <c r="AA150" s="1091">
        <v>1</v>
      </c>
      <c r="AB150" s="1091"/>
      <c r="AC150" s="96"/>
      <c r="AD150" s="1132"/>
      <c r="AE150" s="1132"/>
      <c r="AF150" s="1132"/>
      <c r="AG150" s="1091">
        <f t="shared" si="136"/>
        <v>1</v>
      </c>
      <c r="AH150" s="1091">
        <f t="shared" si="137"/>
        <v>0</v>
      </c>
      <c r="AI150" s="96"/>
      <c r="AJ150" s="1132"/>
      <c r="AK150" s="1132"/>
      <c r="AL150" s="1132"/>
      <c r="AM150" s="1091">
        <f>AG150/AG148</f>
        <v>0.5</v>
      </c>
      <c r="AN150" s="1091"/>
      <c r="AP150" s="1132"/>
      <c r="AQ150" s="1132"/>
      <c r="AR150" s="1132"/>
      <c r="AS150" s="1091">
        <f t="shared" si="156"/>
        <v>1.5</v>
      </c>
      <c r="AT150" s="1091"/>
      <c r="AV150" s="1132"/>
      <c r="AW150" s="1132"/>
      <c r="AX150" s="1132"/>
      <c r="AY150" s="1091">
        <f t="shared" si="157"/>
        <v>0.5</v>
      </c>
      <c r="AZ150" s="1091"/>
    </row>
    <row r="151" spans="1:52" ht="7.9" customHeight="1" thickBot="1">
      <c r="A151" s="386"/>
      <c r="B151" s="1189"/>
      <c r="C151" s="1190"/>
      <c r="D151" s="1191"/>
      <c r="E151" s="1192"/>
      <c r="F151" s="1192"/>
      <c r="G151" s="1192"/>
      <c r="H151" s="1192"/>
      <c r="I151" s="1193"/>
      <c r="J151" s="96"/>
      <c r="K151" s="96"/>
      <c r="L151" s="96"/>
      <c r="M151" s="96"/>
      <c r="N151" s="96"/>
      <c r="O151" s="96"/>
      <c r="P151" s="96"/>
      <c r="Q151" s="96"/>
      <c r="R151" s="96"/>
      <c r="S151" s="96"/>
      <c r="T151" s="700"/>
      <c r="U151" s="700"/>
      <c r="V151" s="700"/>
      <c r="W151" s="699"/>
      <c r="X151" s="96"/>
      <c r="Y151" s="96"/>
      <c r="Z151" s="96"/>
      <c r="AA151" s="96"/>
      <c r="AB151" s="96"/>
      <c r="AC151" s="96"/>
      <c r="AD151" s="96"/>
      <c r="AE151" s="96"/>
      <c r="AF151" s="96"/>
      <c r="AG151" s="96"/>
      <c r="AH151" s="96"/>
      <c r="AI151" s="96"/>
      <c r="AP151" s="96"/>
    </row>
    <row r="152" spans="1:52" ht="13.15" customHeight="1" thickBot="1">
      <c r="A152" s="386"/>
      <c r="B152" s="1096" t="s">
        <v>1086</v>
      </c>
      <c r="C152" s="1097"/>
      <c r="D152" s="1097"/>
      <c r="E152" s="1097"/>
      <c r="F152" s="1097"/>
      <c r="G152" s="1097"/>
      <c r="H152" s="1097"/>
      <c r="I152" s="1097"/>
      <c r="J152" s="1194">
        <f>J153+J158+R153+R158</f>
        <v>12</v>
      </c>
      <c r="K152" s="1097"/>
      <c r="L152" s="1097"/>
      <c r="M152" s="1097"/>
      <c r="N152" s="1097"/>
      <c r="O152" s="1097"/>
      <c r="P152" s="1097"/>
      <c r="Q152" s="1097"/>
      <c r="R152" s="1195"/>
      <c r="S152" s="96"/>
      <c r="T152" s="700"/>
      <c r="U152" s="700"/>
      <c r="V152" s="700"/>
      <c r="W152" s="699"/>
    </row>
    <row r="153" spans="1:52" ht="13.15" customHeight="1">
      <c r="A153" s="386"/>
      <c r="B153" s="1196" t="s">
        <v>273</v>
      </c>
      <c r="C153" s="1197" t="s">
        <v>274</v>
      </c>
      <c r="D153" s="1198"/>
      <c r="E153" s="1198"/>
      <c r="F153" s="1198"/>
      <c r="G153" s="1198"/>
      <c r="H153" s="1198"/>
      <c r="I153" s="1198"/>
      <c r="J153" s="1199">
        <f>ROUNDDOWN(AVERAGE(J154),1)</f>
        <v>3</v>
      </c>
      <c r="K153" s="1200" t="s">
        <v>275</v>
      </c>
      <c r="L153" s="1170" t="s">
        <v>276</v>
      </c>
      <c r="M153" s="1171"/>
      <c r="N153" s="1171"/>
      <c r="O153" s="1171"/>
      <c r="P153" s="1171"/>
      <c r="Q153" s="1171"/>
      <c r="R153" s="1201">
        <f>ROUNDDOWN(AVERAGE(R154),1)</f>
        <v>3</v>
      </c>
      <c r="S153" s="96"/>
      <c r="T153" s="700"/>
      <c r="U153" s="700"/>
      <c r="V153" s="700"/>
      <c r="W153" s="699"/>
    </row>
    <row r="154" spans="1:52" ht="13.15" customHeight="1">
      <c r="A154" s="386"/>
      <c r="B154" s="1202"/>
      <c r="C154" s="1203" t="s">
        <v>277</v>
      </c>
      <c r="D154" s="433"/>
      <c r="E154" s="1142"/>
      <c r="F154" s="1142"/>
      <c r="G154" s="1142"/>
      <c r="H154" s="1142"/>
      <c r="I154" s="1142"/>
      <c r="J154" s="1204">
        <f>V44</f>
        <v>3</v>
      </c>
      <c r="K154" s="1205"/>
      <c r="L154" s="1206" t="s">
        <v>1226</v>
      </c>
      <c r="M154" s="433"/>
      <c r="N154" s="1142"/>
      <c r="O154" s="1142"/>
      <c r="P154" s="1142"/>
      <c r="Q154" s="1207"/>
      <c r="R154" s="1208">
        <f>V105</f>
        <v>3</v>
      </c>
      <c r="S154" s="96"/>
      <c r="T154" s="700"/>
      <c r="U154" s="700"/>
      <c r="V154" s="700"/>
      <c r="W154" s="699"/>
    </row>
    <row r="155" spans="1:52" ht="13.15" customHeight="1">
      <c r="A155" s="386"/>
      <c r="B155" s="1202"/>
      <c r="C155" s="1203"/>
      <c r="D155" s="1209" t="str">
        <f>D45</f>
        <v>2.1.2.1 運営・組織体制</v>
      </c>
      <c r="E155" s="1210"/>
      <c r="F155" s="1210"/>
      <c r="G155" s="1210"/>
      <c r="H155" s="1210"/>
      <c r="I155" s="1210"/>
      <c r="J155" s="1204">
        <f t="shared" ref="J155:J157" si="158">V45</f>
        <v>3</v>
      </c>
      <c r="K155" s="1205"/>
      <c r="L155" s="1135" t="str">
        <f>"　　"&amp;C105</f>
        <v>　　1.4.1 需給システムのスマート化</v>
      </c>
      <c r="M155" s="1209"/>
      <c r="N155" s="1210"/>
      <c r="O155" s="1210"/>
      <c r="P155" s="1210"/>
      <c r="Q155" s="1210"/>
      <c r="R155" s="1208">
        <f>V105</f>
        <v>3</v>
      </c>
      <c r="S155" s="96"/>
      <c r="T155" s="700"/>
      <c r="U155" s="700"/>
      <c r="V155" s="700"/>
      <c r="W155" s="699"/>
    </row>
    <row r="156" spans="1:52" ht="13.15" customHeight="1">
      <c r="A156" s="386"/>
      <c r="B156" s="1202"/>
      <c r="C156" s="1203"/>
      <c r="D156" s="1209" t="str">
        <f t="shared" ref="D156:D157" si="159">D46</f>
        <v>2.1.2.2 資金力</v>
      </c>
      <c r="E156" s="1210"/>
      <c r="F156" s="1210"/>
      <c r="G156" s="1210"/>
      <c r="H156" s="1210"/>
      <c r="I156" s="1210"/>
      <c r="J156" s="1204">
        <f t="shared" si="158"/>
        <v>3</v>
      </c>
      <c r="K156" s="1205"/>
      <c r="L156" s="1135" t="str">
        <f>"　　"&amp;C106</f>
        <v>　　1.4.2 更新性・拡張性</v>
      </c>
      <c r="M156" s="1209"/>
      <c r="N156" s="1210"/>
      <c r="O156" s="1210"/>
      <c r="P156" s="1210"/>
      <c r="Q156" s="1210"/>
      <c r="R156" s="1208">
        <f>V106</f>
        <v>3</v>
      </c>
      <c r="S156" s="96"/>
      <c r="T156" s="700"/>
      <c r="U156" s="700"/>
      <c r="V156" s="700"/>
      <c r="W156" s="699"/>
    </row>
    <row r="157" spans="1:52" ht="13.15" customHeight="1">
      <c r="A157" s="386"/>
      <c r="B157" s="1211"/>
      <c r="C157" s="1203"/>
      <c r="D157" s="1209" t="str">
        <f t="shared" si="159"/>
        <v>2.1.2.3 維持管理</v>
      </c>
      <c r="E157" s="1210"/>
      <c r="F157" s="1210"/>
      <c r="G157" s="1210"/>
      <c r="H157" s="1210"/>
      <c r="I157" s="1210"/>
      <c r="J157" s="1204">
        <f t="shared" si="158"/>
        <v>3</v>
      </c>
      <c r="K157" s="1212"/>
      <c r="L157" s="1135" t="str">
        <f t="shared" ref="L157" si="160">"　"&amp;C107</f>
        <v>　</v>
      </c>
      <c r="M157" s="1213"/>
      <c r="N157" s="1210"/>
      <c r="O157" s="1210"/>
      <c r="P157" s="1210"/>
      <c r="Q157" s="1210"/>
      <c r="R157" s="1208"/>
      <c r="S157" s="96"/>
      <c r="T157" s="700"/>
      <c r="U157" s="700"/>
      <c r="V157" s="700"/>
      <c r="W157" s="699"/>
    </row>
    <row r="158" spans="1:52" ht="13.15" customHeight="1">
      <c r="A158" s="386"/>
      <c r="B158" s="1202">
        <v>3</v>
      </c>
      <c r="C158" s="1214" t="s">
        <v>278</v>
      </c>
      <c r="D158" s="1215"/>
      <c r="E158" s="1215"/>
      <c r="F158" s="1215"/>
      <c r="G158" s="1215"/>
      <c r="H158" s="1215"/>
      <c r="I158" s="1215"/>
      <c r="J158" s="1216">
        <f>ROUNDDOWN(AVERAGE(J159:J164),1)</f>
        <v>3</v>
      </c>
      <c r="K158" s="1205">
        <v>4</v>
      </c>
      <c r="L158" s="1108" t="s">
        <v>279</v>
      </c>
      <c r="M158" s="1109"/>
      <c r="N158" s="1109"/>
      <c r="O158" s="1109"/>
      <c r="P158" s="1109"/>
      <c r="Q158" s="1109"/>
      <c r="R158" s="1217">
        <f>ROUNDDOWN(AVERAGE(R159:R166),1)</f>
        <v>3</v>
      </c>
      <c r="S158" s="96"/>
      <c r="T158" s="700"/>
      <c r="U158" s="700"/>
      <c r="V158" s="700"/>
      <c r="W158" s="699"/>
    </row>
    <row r="159" spans="1:52" ht="13.15" customHeight="1">
      <c r="A159" s="386"/>
      <c r="B159" s="1202"/>
      <c r="C159" s="1218" t="s">
        <v>280</v>
      </c>
      <c r="D159" s="433"/>
      <c r="E159" s="1142"/>
      <c r="F159" s="1142"/>
      <c r="G159" s="1142"/>
      <c r="H159" s="1142"/>
      <c r="I159" s="1142"/>
      <c r="J159" s="1204">
        <f>V132</f>
        <v>3</v>
      </c>
      <c r="K159" s="1205"/>
      <c r="L159" s="1219" t="s">
        <v>974</v>
      </c>
      <c r="M159" s="433"/>
      <c r="N159" s="1142"/>
      <c r="O159" s="1142"/>
      <c r="P159" s="1142"/>
      <c r="Q159" s="1207"/>
      <c r="R159" s="1208">
        <f>V35</f>
        <v>3</v>
      </c>
      <c r="S159" s="96"/>
      <c r="T159" s="700"/>
      <c r="U159" s="700"/>
      <c r="V159" s="700"/>
      <c r="W159" s="699"/>
    </row>
    <row r="160" spans="1:52" ht="13.15" customHeight="1">
      <c r="A160" s="386"/>
      <c r="B160" s="1202"/>
      <c r="C160" s="1218" t="s">
        <v>282</v>
      </c>
      <c r="D160" s="433"/>
      <c r="E160" s="1142"/>
      <c r="F160" s="1142"/>
      <c r="G160" s="1142"/>
      <c r="H160" s="1142"/>
      <c r="I160" s="1142"/>
      <c r="J160" s="1204">
        <f>V82</f>
        <v>3</v>
      </c>
      <c r="K160" s="1205"/>
      <c r="L160" s="1219" t="s">
        <v>281</v>
      </c>
      <c r="M160" s="433"/>
      <c r="N160" s="1142"/>
      <c r="O160" s="1142"/>
      <c r="P160" s="1142"/>
      <c r="Q160" s="1207"/>
      <c r="R160" s="1208">
        <f>V43</f>
        <v>3</v>
      </c>
      <c r="S160" s="96"/>
      <c r="T160" s="700"/>
      <c r="U160" s="700"/>
      <c r="V160" s="700"/>
      <c r="W160" s="699"/>
    </row>
    <row r="161" spans="1:29" ht="13.15" customHeight="1">
      <c r="A161" s="386"/>
      <c r="B161" s="1202"/>
      <c r="C161" s="1218" t="s">
        <v>284</v>
      </c>
      <c r="D161" s="433"/>
      <c r="E161" s="1142"/>
      <c r="F161" s="1142"/>
      <c r="G161" s="1142"/>
      <c r="H161" s="1142"/>
      <c r="I161" s="1142"/>
      <c r="J161" s="1204">
        <f>V83</f>
        <v>3</v>
      </c>
      <c r="K161" s="1205"/>
      <c r="L161" s="1219" t="s">
        <v>283</v>
      </c>
      <c r="M161" s="433"/>
      <c r="N161" s="1142"/>
      <c r="O161" s="1142"/>
      <c r="P161" s="1142"/>
      <c r="Q161" s="1207"/>
      <c r="R161" s="1208">
        <f>V65</f>
        <v>3</v>
      </c>
      <c r="S161" s="96"/>
      <c r="T161" s="700"/>
      <c r="U161" s="700"/>
      <c r="V161" s="700"/>
      <c r="W161" s="699"/>
    </row>
    <row r="162" spans="1:29" ht="13.15" customHeight="1">
      <c r="A162" s="386"/>
      <c r="B162" s="1202"/>
      <c r="C162" s="1218" t="s">
        <v>286</v>
      </c>
      <c r="D162" s="433"/>
      <c r="E162" s="1142"/>
      <c r="F162" s="1142"/>
      <c r="G162" s="1142"/>
      <c r="H162" s="1142"/>
      <c r="I162" s="1142"/>
      <c r="J162" s="1204">
        <f>V84</f>
        <v>3</v>
      </c>
      <c r="K162" s="1205"/>
      <c r="L162" s="1219" t="s">
        <v>285</v>
      </c>
      <c r="M162" s="433"/>
      <c r="N162" s="1142"/>
      <c r="O162" s="1142"/>
      <c r="P162" s="1142"/>
      <c r="Q162" s="1207"/>
      <c r="R162" s="1208">
        <f>V67</f>
        <v>3</v>
      </c>
      <c r="S162" s="96"/>
      <c r="T162" s="700"/>
      <c r="U162" s="700"/>
      <c r="V162" s="700"/>
      <c r="W162" s="699"/>
    </row>
    <row r="163" spans="1:29" ht="13.15" customHeight="1">
      <c r="A163" s="386"/>
      <c r="B163" s="1202"/>
      <c r="C163" s="1218" t="s">
        <v>288</v>
      </c>
      <c r="D163" s="433"/>
      <c r="E163" s="1142"/>
      <c r="F163" s="1142"/>
      <c r="G163" s="1142"/>
      <c r="H163" s="1142"/>
      <c r="I163" s="1142"/>
      <c r="J163" s="1204">
        <f>V134</f>
        <v>3</v>
      </c>
      <c r="K163" s="1205"/>
      <c r="L163" s="1219" t="s">
        <v>287</v>
      </c>
      <c r="M163" s="433"/>
      <c r="N163" s="1142"/>
      <c r="O163" s="1142"/>
      <c r="P163" s="1142"/>
      <c r="Q163" s="1207"/>
      <c r="R163" s="1208">
        <f>V69</f>
        <v>3</v>
      </c>
      <c r="S163" s="96"/>
      <c r="T163" s="700"/>
      <c r="U163" s="700"/>
      <c r="V163" s="700"/>
      <c r="W163" s="699"/>
    </row>
    <row r="164" spans="1:29" ht="13.15" customHeight="1">
      <c r="A164" s="386"/>
      <c r="B164" s="1202"/>
      <c r="C164" s="1218" t="s">
        <v>290</v>
      </c>
      <c r="D164" s="433"/>
      <c r="E164" s="1142"/>
      <c r="F164" s="1142"/>
      <c r="G164" s="1142"/>
      <c r="H164" s="1142"/>
      <c r="I164" s="1142"/>
      <c r="J164" s="1204">
        <f>V135</f>
        <v>3</v>
      </c>
      <c r="K164" s="1205"/>
      <c r="L164" s="1219" t="s">
        <v>289</v>
      </c>
      <c r="M164" s="433"/>
      <c r="N164" s="1142"/>
      <c r="O164" s="1142"/>
      <c r="P164" s="1142"/>
      <c r="Q164" s="1207"/>
      <c r="R164" s="1208">
        <f>V95</f>
        <v>3</v>
      </c>
      <c r="S164" s="96"/>
      <c r="T164" s="700"/>
      <c r="U164" s="700"/>
      <c r="V164" s="700"/>
      <c r="W164" s="699"/>
    </row>
    <row r="165" spans="1:29" ht="13.15" customHeight="1">
      <c r="A165" s="386"/>
      <c r="B165" s="1202"/>
      <c r="C165" s="1218"/>
      <c r="D165" s="433"/>
      <c r="E165" s="1142"/>
      <c r="F165" s="1142"/>
      <c r="G165" s="1142"/>
      <c r="H165" s="1142"/>
      <c r="I165" s="1142"/>
      <c r="J165" s="1204"/>
      <c r="K165" s="1205"/>
      <c r="L165" s="1219" t="s">
        <v>291</v>
      </c>
      <c r="M165" s="433"/>
      <c r="N165" s="1142"/>
      <c r="O165" s="1142"/>
      <c r="P165" s="1142"/>
      <c r="Q165" s="1207"/>
      <c r="R165" s="1208">
        <f>V96</f>
        <v>3</v>
      </c>
      <c r="S165" s="96"/>
      <c r="T165" s="700"/>
      <c r="U165" s="700"/>
      <c r="V165" s="700"/>
      <c r="W165" s="699"/>
    </row>
    <row r="166" spans="1:29" ht="13.15" customHeight="1" thickBot="1">
      <c r="A166" s="386"/>
      <c r="B166" s="1220"/>
      <c r="C166" s="1221"/>
      <c r="D166" s="1181"/>
      <c r="E166" s="1182"/>
      <c r="F166" s="1182"/>
      <c r="G166" s="1182"/>
      <c r="H166" s="1182"/>
      <c r="I166" s="1182"/>
      <c r="J166" s="1222"/>
      <c r="K166" s="1223"/>
      <c r="L166" s="1224" t="s">
        <v>292</v>
      </c>
      <c r="M166" s="1181"/>
      <c r="N166" s="1182"/>
      <c r="O166" s="1182"/>
      <c r="P166" s="1182"/>
      <c r="Q166" s="1225"/>
      <c r="R166" s="1226">
        <f>V97</f>
        <v>3</v>
      </c>
      <c r="S166" s="96"/>
      <c r="T166" s="700"/>
      <c r="U166" s="700"/>
      <c r="V166" s="700"/>
      <c r="W166" s="699"/>
    </row>
    <row r="167" spans="1:29" ht="13.15" customHeight="1" thickBot="1">
      <c r="A167" s="386"/>
      <c r="B167" s="1096" t="s">
        <v>1087</v>
      </c>
      <c r="C167" s="1097"/>
      <c r="D167" s="1097"/>
      <c r="E167" s="1097"/>
      <c r="F167" s="1097"/>
      <c r="G167" s="1097"/>
      <c r="H167" s="1097"/>
      <c r="I167" s="1097"/>
      <c r="J167" s="1194">
        <f>J168+J170+R168</f>
        <v>9</v>
      </c>
      <c r="K167" s="1097"/>
      <c r="L167" s="1097"/>
      <c r="M167" s="1097"/>
      <c r="N167" s="1097"/>
      <c r="O167" s="1097"/>
      <c r="P167" s="1097"/>
      <c r="Q167" s="1097"/>
      <c r="R167" s="1195"/>
      <c r="S167" s="96"/>
      <c r="T167" s="700"/>
      <c r="U167" s="700"/>
      <c r="V167" s="700"/>
      <c r="W167" s="699"/>
    </row>
    <row r="168" spans="1:29" ht="13.15" customHeight="1">
      <c r="A168" s="386"/>
      <c r="B168" s="1196" t="s">
        <v>273</v>
      </c>
      <c r="C168" s="1197" t="s">
        <v>293</v>
      </c>
      <c r="D168" s="1198"/>
      <c r="E168" s="1198"/>
      <c r="F168" s="1198"/>
      <c r="G168" s="1198"/>
      <c r="H168" s="1198"/>
      <c r="I168" s="1198"/>
      <c r="J168" s="1199">
        <f>ROUNDDOWN(AVERAGE(J169),1)</f>
        <v>3</v>
      </c>
      <c r="K168" s="1200">
        <v>3</v>
      </c>
      <c r="L168" s="1170" t="s">
        <v>294</v>
      </c>
      <c r="M168" s="1171"/>
      <c r="N168" s="1171"/>
      <c r="O168" s="1171"/>
      <c r="P168" s="1171"/>
      <c r="Q168" s="1171"/>
      <c r="R168" s="1201">
        <f>ROUNDDOWN(AVERAGE(R169:R170),1)</f>
        <v>3</v>
      </c>
      <c r="S168" s="96"/>
      <c r="T168" s="700"/>
      <c r="U168" s="700"/>
      <c r="V168" s="700"/>
      <c r="W168" s="699"/>
    </row>
    <row r="169" spans="1:29" ht="13.15" customHeight="1">
      <c r="A169" s="386"/>
      <c r="B169" s="1227"/>
      <c r="C169" s="1203" t="s">
        <v>295</v>
      </c>
      <c r="D169" s="433"/>
      <c r="E169" s="1142"/>
      <c r="F169" s="1142"/>
      <c r="G169" s="1142"/>
      <c r="H169" s="1142"/>
      <c r="I169" s="1207"/>
      <c r="J169" s="1204">
        <f>V40</f>
        <v>3</v>
      </c>
      <c r="K169" s="1205"/>
      <c r="L169" s="1219" t="s">
        <v>296</v>
      </c>
      <c r="M169" s="433"/>
      <c r="N169" s="1142"/>
      <c r="O169" s="1142"/>
      <c r="P169" s="1142"/>
      <c r="Q169" s="1207"/>
      <c r="R169" s="1208">
        <f>V98</f>
        <v>3</v>
      </c>
      <c r="S169" s="96"/>
      <c r="T169" s="700"/>
      <c r="U169" s="700"/>
      <c r="V169" s="700"/>
      <c r="W169" s="699"/>
    </row>
    <row r="170" spans="1:29" ht="13.15" customHeight="1">
      <c r="A170" s="386"/>
      <c r="B170" s="1202" t="s">
        <v>275</v>
      </c>
      <c r="C170" s="1214" t="s">
        <v>297</v>
      </c>
      <c r="D170" s="1215"/>
      <c r="E170" s="1215"/>
      <c r="F170" s="1215"/>
      <c r="G170" s="1215"/>
      <c r="H170" s="1215"/>
      <c r="I170" s="1215"/>
      <c r="J170" s="1216">
        <f>ROUNDDOWN(AVERAGE(J171),1)</f>
        <v>3</v>
      </c>
      <c r="K170" s="1205"/>
      <c r="L170" s="1219"/>
      <c r="M170" s="433"/>
      <c r="N170" s="1142"/>
      <c r="O170" s="1142"/>
      <c r="P170" s="1142"/>
      <c r="Q170" s="1207"/>
      <c r="R170" s="1208"/>
      <c r="S170" s="96"/>
      <c r="T170" s="700"/>
      <c r="U170" s="700"/>
      <c r="V170" s="700"/>
      <c r="W170" s="699"/>
    </row>
    <row r="171" spans="1:29" ht="13.15" customHeight="1" thickBot="1">
      <c r="A171" s="386"/>
      <c r="B171" s="1220"/>
      <c r="C171" s="1221" t="s">
        <v>298</v>
      </c>
      <c r="D171" s="1181"/>
      <c r="E171" s="1182"/>
      <c r="F171" s="1182"/>
      <c r="G171" s="1182"/>
      <c r="H171" s="1182"/>
      <c r="I171" s="1225"/>
      <c r="J171" s="1228">
        <f>V72</f>
        <v>3</v>
      </c>
      <c r="K171" s="1223"/>
      <c r="L171" s="1224"/>
      <c r="M171" s="1181"/>
      <c r="N171" s="1182"/>
      <c r="O171" s="1182"/>
      <c r="P171" s="1182"/>
      <c r="Q171" s="1225"/>
      <c r="R171" s="1226"/>
      <c r="S171" s="96"/>
      <c r="T171" s="700"/>
      <c r="U171" s="700"/>
      <c r="V171" s="700"/>
      <c r="W171" s="699"/>
    </row>
    <row r="172" spans="1:29" s="96" customFormat="1" ht="6" customHeight="1"/>
    <row r="173" spans="1:29" s="96" customFormat="1" ht="13.15" customHeight="1" thickBot="1">
      <c r="B173" s="677" t="str">
        <f>メイン!C6</f>
        <v>CASBEE-街区（2023年版）</v>
      </c>
    </row>
    <row r="174" spans="1:29" ht="13.15" customHeight="1">
      <c r="B174" s="1229" t="s">
        <v>299</v>
      </c>
      <c r="C174" s="1230"/>
      <c r="D174" s="1230"/>
      <c r="E174" s="1230"/>
      <c r="F174" s="1231" t="s">
        <v>160</v>
      </c>
      <c r="G174" s="1232" t="s">
        <v>300</v>
      </c>
      <c r="H174" s="1232" t="s">
        <v>301</v>
      </c>
      <c r="I174" s="1232" t="s">
        <v>302</v>
      </c>
      <c r="J174" s="1232" t="s">
        <v>303</v>
      </c>
      <c r="K174" s="1232" t="s">
        <v>304</v>
      </c>
      <c r="L174" s="1232" t="s">
        <v>305</v>
      </c>
      <c r="M174" s="1232" t="s">
        <v>306</v>
      </c>
      <c r="N174" s="1232" t="s">
        <v>307</v>
      </c>
      <c r="O174" s="1232" t="s">
        <v>308</v>
      </c>
      <c r="P174" s="1232" t="s">
        <v>309</v>
      </c>
      <c r="Q174" s="1232" t="s">
        <v>310</v>
      </c>
      <c r="R174" s="1233" t="s">
        <v>311</v>
      </c>
      <c r="S174" s="96"/>
      <c r="T174" s="96"/>
      <c r="U174" s="96"/>
      <c r="V174" s="96"/>
      <c r="W174" s="96"/>
      <c r="X174" s="96"/>
      <c r="Y174" s="96"/>
      <c r="Z174" s="96"/>
      <c r="AA174" s="96"/>
      <c r="AB174" s="96"/>
      <c r="AC174" s="96"/>
    </row>
    <row r="175" spans="1:29" ht="13.15" customHeight="1">
      <c r="B175" s="1234" t="str">
        <f>B8</f>
        <v>Q-1 環境</v>
      </c>
      <c r="C175" s="1235"/>
      <c r="D175" s="1235"/>
      <c r="E175" s="1235"/>
      <c r="F175" s="1235"/>
      <c r="G175" s="1236"/>
      <c r="H175" s="1237"/>
      <c r="I175" s="1236"/>
      <c r="J175" s="1237"/>
      <c r="K175" s="1236"/>
      <c r="L175" s="1237"/>
      <c r="M175" s="1236"/>
      <c r="N175" s="1237"/>
      <c r="O175" s="1236"/>
      <c r="P175" s="1237"/>
      <c r="Q175" s="1236"/>
      <c r="R175" s="1238"/>
      <c r="S175" s="96"/>
      <c r="T175" s="96"/>
      <c r="U175" s="96"/>
      <c r="V175" s="96"/>
      <c r="W175" s="96"/>
      <c r="X175" s="96"/>
      <c r="Y175" s="96"/>
      <c r="Z175" s="96"/>
      <c r="AA175" s="96"/>
      <c r="AB175" s="96"/>
      <c r="AC175" s="96"/>
    </row>
    <row r="176" spans="1:29" ht="13.15" customHeight="1">
      <c r="B176" s="1239" t="str">
        <f>D32</f>
        <v>1.2.2.1 日射の遮蔽</v>
      </c>
      <c r="C176" s="1240"/>
      <c r="D176" s="1240"/>
      <c r="E176" s="1240"/>
      <c r="F176" s="1241">
        <f>採点Q1!E143</f>
        <v>2</v>
      </c>
      <c r="G176" s="1242" t="str">
        <f>採点Q1!E144</f>
        <v>〇</v>
      </c>
      <c r="H176" s="1242" t="str">
        <f>採点Q1!E145</f>
        <v>〇</v>
      </c>
      <c r="I176" s="1243"/>
      <c r="J176" s="1243"/>
      <c r="K176" s="1243"/>
      <c r="L176" s="1243"/>
      <c r="M176" s="1243"/>
      <c r="N176" s="1243"/>
      <c r="O176" s="1243"/>
      <c r="P176" s="1243"/>
      <c r="Q176" s="1243"/>
      <c r="R176" s="1244"/>
      <c r="S176" s="96"/>
      <c r="T176" s="96"/>
      <c r="U176" s="96"/>
      <c r="V176" s="96"/>
      <c r="W176" s="96"/>
      <c r="X176" s="96"/>
      <c r="Y176" s="96"/>
      <c r="Z176" s="96"/>
      <c r="AA176" s="96"/>
      <c r="AB176" s="96"/>
      <c r="AC176" s="96"/>
    </row>
    <row r="177" spans="2:29" ht="13.15" customHeight="1">
      <c r="B177" s="1239" t="str">
        <f>D33</f>
        <v>1.2.2.2 輻射熱・反射の抑制</v>
      </c>
      <c r="C177" s="1240"/>
      <c r="D177" s="1240"/>
      <c r="E177" s="1240"/>
      <c r="F177" s="1241">
        <f>採点Q1!E156</f>
        <v>1</v>
      </c>
      <c r="G177" s="1242" t="str">
        <f>採点Q1!E157</f>
        <v>〇</v>
      </c>
      <c r="H177" s="1242">
        <f>採点Q1!E158</f>
        <v>0</v>
      </c>
      <c r="I177" s="1243"/>
      <c r="J177" s="1243"/>
      <c r="K177" s="1243"/>
      <c r="L177" s="1243"/>
      <c r="M177" s="1243"/>
      <c r="N177" s="1243"/>
      <c r="O177" s="1243"/>
      <c r="P177" s="1243"/>
      <c r="Q177" s="1243"/>
      <c r="R177" s="1244"/>
      <c r="S177" s="96"/>
      <c r="T177" s="96"/>
      <c r="U177" s="96"/>
      <c r="V177" s="96"/>
      <c r="W177" s="96"/>
      <c r="X177" s="96"/>
      <c r="Y177" s="96"/>
      <c r="Z177" s="96"/>
      <c r="AA177" s="96"/>
      <c r="AB177" s="96"/>
      <c r="AC177" s="96"/>
    </row>
    <row r="178" spans="2:29" ht="13.15" customHeight="1">
      <c r="B178" s="1239" t="str">
        <f>D34</f>
        <v>1.2.2.3 風通しの確保</v>
      </c>
      <c r="C178" s="1245"/>
      <c r="D178" s="1245"/>
      <c r="E178" s="1240"/>
      <c r="F178" s="1241">
        <f>採点Q1!E169</f>
        <v>2</v>
      </c>
      <c r="G178" s="1242" t="str">
        <f>採点Q1!E170</f>
        <v>〇</v>
      </c>
      <c r="H178" s="1242">
        <f>採点Q1!E171</f>
        <v>0</v>
      </c>
      <c r="I178" s="1242" t="str">
        <f>採点Q1!E172</f>
        <v>〇</v>
      </c>
      <c r="J178" s="1243"/>
      <c r="K178" s="1243"/>
      <c r="L178" s="1243"/>
      <c r="M178" s="1243"/>
      <c r="N178" s="1243"/>
      <c r="O178" s="1243"/>
      <c r="P178" s="1243"/>
      <c r="Q178" s="1243"/>
      <c r="R178" s="1244"/>
      <c r="S178" s="96"/>
      <c r="T178" s="96"/>
      <c r="U178" s="96"/>
      <c r="V178" s="96"/>
      <c r="W178" s="96"/>
      <c r="X178" s="96"/>
      <c r="Y178" s="96"/>
      <c r="Z178" s="96"/>
      <c r="AA178" s="96"/>
      <c r="AB178" s="96"/>
      <c r="AC178" s="96"/>
    </row>
    <row r="179" spans="2:29" ht="13.15" customHeight="1">
      <c r="B179" s="1239" t="str">
        <f>D37</f>
        <v>1.2.3.1 街並み・景観形成への配慮</v>
      </c>
      <c r="C179" s="1245"/>
      <c r="D179" s="1245"/>
      <c r="E179" s="1240"/>
      <c r="F179" s="1241">
        <f>採点Q1!E184</f>
        <v>4</v>
      </c>
      <c r="G179" s="1242">
        <f>採点Q1!E185</f>
        <v>0</v>
      </c>
      <c r="H179" s="1242" t="str">
        <f>採点Q1!E186</f>
        <v>〇</v>
      </c>
      <c r="I179" s="1242" t="str">
        <f>採点Q1!E187</f>
        <v>〇</v>
      </c>
      <c r="J179" s="1242">
        <f>採点Q1!E188</f>
        <v>0</v>
      </c>
      <c r="K179" s="1242" t="str">
        <f>採点Q1!E189</f>
        <v>〇</v>
      </c>
      <c r="L179" s="1242">
        <f>採点Q1!E190</f>
        <v>0</v>
      </c>
      <c r="M179" s="1242">
        <f>採点Q1!E191</f>
        <v>0</v>
      </c>
      <c r="N179" s="1242" t="str">
        <f>採点Q1!E192</f>
        <v>〇</v>
      </c>
      <c r="O179" s="1243"/>
      <c r="P179" s="1243"/>
      <c r="Q179" s="1243"/>
      <c r="R179" s="1244"/>
      <c r="S179" s="96"/>
      <c r="T179" s="96"/>
      <c r="U179" s="96"/>
      <c r="V179" s="96"/>
      <c r="W179" s="96"/>
      <c r="X179" s="96"/>
      <c r="Y179" s="96"/>
      <c r="Z179" s="96"/>
      <c r="AA179" s="96"/>
      <c r="AB179" s="96"/>
      <c r="AC179" s="96"/>
    </row>
    <row r="180" spans="2:29" ht="13.15" customHeight="1">
      <c r="B180" s="1239" t="str">
        <f>D38</f>
        <v>1.2.3.2 周辺との調和性</v>
      </c>
      <c r="C180" s="1245"/>
      <c r="D180" s="1245"/>
      <c r="E180" s="1240"/>
      <c r="F180" s="1241">
        <f>採点Q1!E203</f>
        <v>1</v>
      </c>
      <c r="G180" s="1242">
        <f>採点Q1!E204</f>
        <v>0</v>
      </c>
      <c r="H180" s="1242" t="str">
        <f>採点Q1!E205</f>
        <v>〇</v>
      </c>
      <c r="I180" s="1242">
        <f>採点Q1!E206</f>
        <v>0</v>
      </c>
      <c r="J180" s="1243"/>
      <c r="K180" s="1243"/>
      <c r="L180" s="1243"/>
      <c r="M180" s="1243"/>
      <c r="N180" s="1243"/>
      <c r="O180" s="1243"/>
      <c r="P180" s="1243"/>
      <c r="Q180" s="1243"/>
      <c r="R180" s="1244"/>
      <c r="S180" s="96"/>
      <c r="T180" s="96"/>
      <c r="U180" s="96"/>
      <c r="V180" s="96"/>
      <c r="W180" s="96"/>
      <c r="X180" s="96"/>
      <c r="Y180" s="96"/>
      <c r="Z180" s="96"/>
      <c r="AA180" s="96"/>
      <c r="AB180" s="96"/>
      <c r="AC180" s="96"/>
    </row>
    <row r="181" spans="2:29" ht="13.15" customHeight="1">
      <c r="B181" s="1246" t="str">
        <f>B40</f>
        <v>1.4 環境性能に関するスマート化</v>
      </c>
      <c r="C181" s="1240"/>
      <c r="D181" s="1240"/>
      <c r="E181" s="1240"/>
      <c r="F181" s="1241">
        <f>採点Q1!E226</f>
        <v>1</v>
      </c>
      <c r="G181" s="1242" t="str">
        <f>採点Q1!E227</f>
        <v>〇</v>
      </c>
      <c r="H181" s="1242">
        <f>採点Q1!E228</f>
        <v>0</v>
      </c>
      <c r="I181" s="1242">
        <f>採点Q1!E229</f>
        <v>0</v>
      </c>
      <c r="J181" s="1242">
        <f>採点Q1!E230</f>
        <v>0</v>
      </c>
      <c r="K181" s="1243"/>
      <c r="L181" s="1243"/>
      <c r="M181" s="1243"/>
      <c r="N181" s="1243"/>
      <c r="O181" s="1243"/>
      <c r="P181" s="1243"/>
      <c r="Q181" s="1243"/>
      <c r="R181" s="1244"/>
      <c r="S181" s="96"/>
      <c r="T181" s="96"/>
      <c r="U181" s="96"/>
      <c r="V181" s="96"/>
      <c r="W181" s="96"/>
      <c r="X181" s="96"/>
      <c r="Y181" s="96"/>
      <c r="Z181" s="96"/>
      <c r="AA181" s="96"/>
      <c r="AB181" s="96"/>
      <c r="AC181" s="96"/>
    </row>
    <row r="182" spans="2:29" ht="13.15" customHeight="1">
      <c r="B182" s="1234" t="str">
        <f>B41</f>
        <v>Q-2 社会</v>
      </c>
      <c r="C182" s="1235"/>
      <c r="D182" s="1235"/>
      <c r="E182" s="1235"/>
      <c r="F182" s="1235"/>
      <c r="G182" s="1247"/>
      <c r="H182" s="1248"/>
      <c r="I182" s="1247"/>
      <c r="J182" s="1248"/>
      <c r="K182" s="1247"/>
      <c r="L182" s="1248"/>
      <c r="M182" s="1247"/>
      <c r="N182" s="1248"/>
      <c r="O182" s="1247"/>
      <c r="P182" s="1248"/>
      <c r="Q182" s="1247"/>
      <c r="R182" s="1249"/>
      <c r="S182" s="96"/>
      <c r="T182" s="96"/>
      <c r="U182" s="96"/>
      <c r="V182" s="96"/>
      <c r="W182" s="96"/>
      <c r="X182" s="96"/>
      <c r="Y182" s="96"/>
      <c r="Z182" s="96"/>
      <c r="AA182" s="96"/>
      <c r="AB182" s="96"/>
      <c r="AC182" s="96"/>
    </row>
    <row r="183" spans="2:29" ht="13.15" customHeight="1">
      <c r="B183" s="1239" t="str">
        <f>D46</f>
        <v>2.1.2.2 資金力</v>
      </c>
      <c r="C183" s="1245"/>
      <c r="D183" s="1245"/>
      <c r="E183" s="1245"/>
      <c r="F183" s="1241">
        <f>採点Q2!E41</f>
        <v>1</v>
      </c>
      <c r="G183" s="1242">
        <f>採点Q2!E42</f>
        <v>0</v>
      </c>
      <c r="H183" s="1242" t="str">
        <f>採点Q2!E43</f>
        <v>〇</v>
      </c>
      <c r="I183" s="1242">
        <f>採点Q2!E44</f>
        <v>0</v>
      </c>
      <c r="J183" s="1242">
        <f>採点Q2!E45</f>
        <v>0</v>
      </c>
      <c r="K183" s="1242">
        <f>採点Q2!E46</f>
        <v>0</v>
      </c>
      <c r="L183" s="1243"/>
      <c r="M183" s="1243"/>
      <c r="N183" s="1243"/>
      <c r="O183" s="1243"/>
      <c r="P183" s="1243"/>
      <c r="Q183" s="1243"/>
      <c r="R183" s="1244"/>
      <c r="S183" s="96"/>
      <c r="T183" s="96"/>
      <c r="U183" s="96"/>
      <c r="V183" s="96"/>
      <c r="W183" s="96"/>
      <c r="X183" s="96"/>
      <c r="Y183" s="96"/>
      <c r="Z183" s="96"/>
      <c r="AA183" s="96"/>
      <c r="AB183" s="96"/>
      <c r="AC183" s="96"/>
    </row>
    <row r="184" spans="2:29" ht="13.15" customHeight="1">
      <c r="B184" s="1239" t="str">
        <f>D63</f>
        <v>2.4.1.2 各種インフラの防災性能</v>
      </c>
      <c r="C184" s="1245"/>
      <c r="D184" s="1245"/>
      <c r="E184" s="1245"/>
      <c r="F184" s="1241">
        <f>採点Q2!E160</f>
        <v>3</v>
      </c>
      <c r="G184" s="1242" t="str">
        <f>採点Q2!E161</f>
        <v>〇</v>
      </c>
      <c r="H184" s="1242">
        <f>採点Q2!E162</f>
        <v>0</v>
      </c>
      <c r="I184" s="1242">
        <f>採点Q2!E163</f>
        <v>0</v>
      </c>
      <c r="J184" s="1242" t="str">
        <f>採点Q2!E164</f>
        <v>〇</v>
      </c>
      <c r="K184" s="1242" t="str">
        <f>採点Q2!E165</f>
        <v>〇</v>
      </c>
      <c r="L184" s="1242">
        <f>採点Q2!E166</f>
        <v>0</v>
      </c>
      <c r="M184" s="1242">
        <f>採点Q2!E167</f>
        <v>0</v>
      </c>
      <c r="N184" s="1242">
        <f>採点Q2!E168</f>
        <v>0</v>
      </c>
      <c r="O184" s="1243"/>
      <c r="P184" s="1243"/>
      <c r="Q184" s="1243"/>
      <c r="R184" s="1244"/>
      <c r="S184" s="96"/>
      <c r="T184" s="96"/>
      <c r="U184" s="96"/>
      <c r="V184" s="96"/>
      <c r="W184" s="96"/>
      <c r="X184" s="96"/>
      <c r="Y184" s="96"/>
      <c r="Z184" s="96"/>
      <c r="AA184" s="96"/>
      <c r="AB184" s="96"/>
      <c r="AC184" s="96"/>
    </row>
    <row r="185" spans="2:29" ht="13.15" customHeight="1">
      <c r="B185" s="1239" t="str">
        <f>D64</f>
        <v>2.4.1.3 防災空地・避難路</v>
      </c>
      <c r="C185" s="1245"/>
      <c r="D185" s="1245"/>
      <c r="E185" s="1245"/>
      <c r="F185" s="1241">
        <f>採点Q2!E179</f>
        <v>3</v>
      </c>
      <c r="G185" s="1242" t="str">
        <f>採点Q2!E180</f>
        <v>〇</v>
      </c>
      <c r="H185" s="1242" t="str">
        <f>採点Q2!E181</f>
        <v>〇</v>
      </c>
      <c r="I185" s="1242">
        <f>採点Q2!E182</f>
        <v>0</v>
      </c>
      <c r="J185" s="1242" t="str">
        <f>採点Q2!E183</f>
        <v>〇</v>
      </c>
      <c r="K185" s="1242">
        <f>採点Q2!E184</f>
        <v>0</v>
      </c>
      <c r="L185" s="1243"/>
      <c r="M185" s="1243"/>
      <c r="N185" s="1243"/>
      <c r="O185" s="1243"/>
      <c r="P185" s="1243"/>
      <c r="Q185" s="1243"/>
      <c r="R185" s="1244"/>
      <c r="S185" s="96"/>
      <c r="T185" s="96"/>
      <c r="U185" s="96"/>
      <c r="V185" s="96"/>
      <c r="W185" s="96"/>
      <c r="X185" s="96"/>
      <c r="Y185" s="96"/>
      <c r="Z185" s="96"/>
      <c r="AA185" s="96"/>
      <c r="AB185" s="96"/>
      <c r="AC185" s="96"/>
    </row>
    <row r="186" spans="2:29" ht="13.15" customHeight="1">
      <c r="B186" s="1239" t="str">
        <f>C67</f>
        <v>2.4.4 防犯</v>
      </c>
      <c r="C186" s="1245"/>
      <c r="D186" s="1245"/>
      <c r="E186" s="1245"/>
      <c r="F186" s="1241">
        <f>採点Q2!E213</f>
        <v>3</v>
      </c>
      <c r="G186" s="1242" t="str">
        <f>採点Q2!E214</f>
        <v>〇</v>
      </c>
      <c r="H186" s="1242" t="str">
        <f>採点Q2!E215</f>
        <v>〇</v>
      </c>
      <c r="I186" s="1242" t="str">
        <f>採点Q2!E216</f>
        <v>〇</v>
      </c>
      <c r="J186" s="1242">
        <f>採点Q2!E217</f>
        <v>0</v>
      </c>
      <c r="K186" s="1242">
        <f>採点Q2!E218</f>
        <v>0</v>
      </c>
      <c r="L186" s="1243"/>
      <c r="M186" s="1243"/>
      <c r="N186" s="1243"/>
      <c r="O186" s="1243"/>
      <c r="P186" s="1243"/>
      <c r="Q186" s="1243"/>
      <c r="R186" s="1244"/>
      <c r="S186" s="96"/>
      <c r="T186" s="96"/>
      <c r="U186" s="96"/>
      <c r="V186" s="96"/>
      <c r="W186" s="96"/>
      <c r="X186" s="96"/>
      <c r="Y186" s="96"/>
      <c r="Z186" s="96"/>
      <c r="AA186" s="96"/>
      <c r="AB186" s="96"/>
      <c r="AC186" s="96"/>
    </row>
    <row r="187" spans="2:29" ht="13.15" customHeight="1">
      <c r="B187" s="1239" t="str">
        <f>C69</f>
        <v>2.5.1 地域の歴史・文化との融和</v>
      </c>
      <c r="C187" s="1245"/>
      <c r="D187" s="1245"/>
      <c r="E187" s="1245"/>
      <c r="F187" s="1241">
        <f>採点Q2!E230</f>
        <v>1</v>
      </c>
      <c r="G187" s="1242" t="str">
        <f>採点Q2!E231</f>
        <v>〇</v>
      </c>
      <c r="H187" s="1242">
        <f>採点Q2!E232</f>
        <v>0</v>
      </c>
      <c r="I187" s="1242">
        <f>採点Q2!E233</f>
        <v>0</v>
      </c>
      <c r="J187" s="1243"/>
      <c r="K187" s="1243"/>
      <c r="L187" s="1243"/>
      <c r="M187" s="1243"/>
      <c r="N187" s="1243"/>
      <c r="O187" s="1243"/>
      <c r="P187" s="1243"/>
      <c r="Q187" s="1243"/>
      <c r="R187" s="1244"/>
      <c r="S187" s="96"/>
      <c r="T187" s="96"/>
      <c r="U187" s="96"/>
      <c r="V187" s="96"/>
      <c r="W187" s="96"/>
      <c r="X187" s="96"/>
      <c r="Y187" s="96"/>
      <c r="Z187" s="96"/>
      <c r="AA187" s="96"/>
      <c r="AB187" s="96"/>
      <c r="AC187" s="96"/>
    </row>
    <row r="188" spans="2:29" ht="13.15" customHeight="1">
      <c r="B188" s="1239" t="str">
        <f>B72</f>
        <v>2.6 社会性能に関するスマート化</v>
      </c>
      <c r="C188" s="1245"/>
      <c r="D188" s="1245"/>
      <c r="E188" s="1245"/>
      <c r="F188" s="1241">
        <f>採点Q2!E263</f>
        <v>2</v>
      </c>
      <c r="G188" s="1242">
        <f>採点Q2!E264</f>
        <v>0</v>
      </c>
      <c r="H188" s="1242" t="str">
        <f>採点Q2!E265</f>
        <v>〇</v>
      </c>
      <c r="I188" s="1242">
        <f>採点Q2!E266</f>
        <v>0</v>
      </c>
      <c r="J188" s="1242">
        <f>採点Q2!E267</f>
        <v>0</v>
      </c>
      <c r="K188" s="1242">
        <f>採点Q2!E268</f>
        <v>0</v>
      </c>
      <c r="L188" s="1242" t="str">
        <f>採点Q2!E269</f>
        <v>〇</v>
      </c>
      <c r="M188" s="1243"/>
      <c r="N188" s="1243"/>
      <c r="O188" s="1243"/>
      <c r="P188" s="1243"/>
      <c r="Q188" s="1243"/>
      <c r="R188" s="1244"/>
      <c r="S188" s="96"/>
      <c r="T188" s="96"/>
      <c r="U188" s="96"/>
      <c r="V188" s="96"/>
      <c r="W188" s="96"/>
      <c r="X188" s="96"/>
      <c r="Y188" s="96"/>
      <c r="Z188" s="96"/>
      <c r="AA188" s="96"/>
      <c r="AB188" s="96"/>
      <c r="AC188" s="96"/>
    </row>
    <row r="189" spans="2:29" ht="13.15" customHeight="1">
      <c r="B189" s="1234" t="str">
        <f>B74</f>
        <v>Q-3 経済</v>
      </c>
      <c r="C189" s="1235"/>
      <c r="D189" s="1235"/>
      <c r="E189" s="1235"/>
      <c r="F189" s="1235"/>
      <c r="G189" s="1247"/>
      <c r="H189" s="1248"/>
      <c r="I189" s="1247"/>
      <c r="J189" s="1248"/>
      <c r="K189" s="1247"/>
      <c r="L189" s="1248"/>
      <c r="M189" s="1247"/>
      <c r="N189" s="1248"/>
      <c r="O189" s="1247"/>
      <c r="P189" s="1248"/>
      <c r="Q189" s="1247"/>
      <c r="R189" s="1249"/>
      <c r="S189" s="96"/>
      <c r="T189" s="96"/>
      <c r="U189" s="96"/>
      <c r="V189" s="96"/>
      <c r="W189" s="96"/>
      <c r="X189" s="96"/>
      <c r="Y189" s="96"/>
      <c r="Z189" s="96"/>
      <c r="AA189" s="96"/>
      <c r="AB189" s="96"/>
      <c r="AC189" s="96"/>
    </row>
    <row r="190" spans="2:29" ht="13.15" customHeight="1">
      <c r="B190" s="1239" t="str">
        <f>D82</f>
        <v>3.1.2.2 公共交通指向型開発</v>
      </c>
      <c r="C190" s="1245"/>
      <c r="D190" s="1245"/>
      <c r="E190" s="1245"/>
      <c r="F190" s="1241">
        <f>採点Q3!E60</f>
        <v>1</v>
      </c>
      <c r="G190" s="1242" t="str">
        <f>採点Q3!E61</f>
        <v>〇</v>
      </c>
      <c r="H190" s="1242">
        <f>採点Q3!E62</f>
        <v>0</v>
      </c>
      <c r="I190" s="1242">
        <f>採点Q3!E63</f>
        <v>0</v>
      </c>
      <c r="J190" s="1242">
        <f>採点Q3!E64</f>
        <v>0</v>
      </c>
      <c r="K190" s="1242">
        <f>採点Q3!E65</f>
        <v>0</v>
      </c>
      <c r="L190" s="1243"/>
      <c r="M190" s="1243"/>
      <c r="N190" s="1243"/>
      <c r="O190" s="1243"/>
      <c r="P190" s="1243"/>
      <c r="Q190" s="1243"/>
      <c r="R190" s="1244"/>
      <c r="S190" s="96"/>
      <c r="T190" s="96"/>
      <c r="U190" s="96"/>
      <c r="V190" s="96"/>
      <c r="W190" s="96"/>
      <c r="X190" s="96"/>
      <c r="Y190" s="96"/>
      <c r="Z190" s="96"/>
      <c r="AA190" s="96"/>
      <c r="AB190" s="96"/>
      <c r="AC190" s="96"/>
    </row>
    <row r="191" spans="2:29" ht="13.15" customHeight="1">
      <c r="B191" s="1239" t="str">
        <f>C89</f>
        <v>3.2.2 学習機会</v>
      </c>
      <c r="C191" s="1245"/>
      <c r="D191" s="1245"/>
      <c r="E191" s="1245"/>
      <c r="F191" s="1241">
        <f>採点Q3!E114</f>
        <v>2</v>
      </c>
      <c r="G191" s="1242">
        <f>採点Q3!E115</f>
        <v>0</v>
      </c>
      <c r="H191" s="1242" t="str">
        <f>採点Q3!E116</f>
        <v>〇</v>
      </c>
      <c r="I191" s="1242" t="str">
        <f>採点Q3!E117</f>
        <v>〇</v>
      </c>
      <c r="J191" s="1242">
        <f>採点Q3!E118</f>
        <v>0</v>
      </c>
      <c r="K191" s="1243"/>
      <c r="L191" s="1243"/>
      <c r="M191" s="1243"/>
      <c r="N191" s="1243"/>
      <c r="O191" s="1243"/>
      <c r="P191" s="1243"/>
      <c r="Q191" s="1243"/>
      <c r="R191" s="1244"/>
      <c r="S191" s="96"/>
      <c r="T191" s="96"/>
      <c r="U191" s="96"/>
      <c r="V191" s="96"/>
      <c r="W191" s="96"/>
      <c r="X191" s="96"/>
      <c r="Y191" s="96"/>
      <c r="Z191" s="96"/>
      <c r="AA191" s="96"/>
      <c r="AB191" s="96"/>
      <c r="AC191" s="96"/>
    </row>
    <row r="192" spans="2:29" ht="13.15" customHeight="1">
      <c r="B192" s="1239" t="str">
        <f>D92</f>
        <v>3.3.1.1 雇用創出</v>
      </c>
      <c r="C192" s="1245"/>
      <c r="D192" s="1245"/>
      <c r="E192" s="1245"/>
      <c r="F192" s="1241">
        <f>採点Q3!E131</f>
        <v>2</v>
      </c>
      <c r="G192" s="1242">
        <f>採点Q3!E132</f>
        <v>0</v>
      </c>
      <c r="H192" s="1242">
        <f>採点Q3!E133</f>
        <v>0</v>
      </c>
      <c r="I192" s="1242" t="str">
        <f>採点Q3!E134</f>
        <v>〇</v>
      </c>
      <c r="J192" s="1242">
        <f>採点Q3!E135</f>
        <v>0</v>
      </c>
      <c r="K192" s="1242" t="str">
        <f>採点Q3!E136</f>
        <v>〇</v>
      </c>
      <c r="L192" s="1242">
        <f>採点Q3!E137</f>
        <v>0</v>
      </c>
      <c r="M192" s="1243"/>
      <c r="N192" s="1243"/>
      <c r="O192" s="1243"/>
      <c r="P192" s="1243"/>
      <c r="Q192" s="1243"/>
      <c r="R192" s="1244"/>
      <c r="S192" s="96"/>
      <c r="T192" s="96"/>
      <c r="U192" s="96"/>
      <c r="V192" s="96"/>
      <c r="W192" s="96"/>
      <c r="X192" s="96"/>
      <c r="Y192" s="96"/>
      <c r="Z192" s="96"/>
      <c r="AA192" s="96"/>
      <c r="AB192" s="96"/>
      <c r="AC192" s="96"/>
    </row>
    <row r="193" spans="2:29" ht="13.15" customHeight="1">
      <c r="B193" s="1239" t="str">
        <f>D95</f>
        <v>3.3.2.1 地域産業の振興</v>
      </c>
      <c r="C193" s="1245"/>
      <c r="D193" s="1245"/>
      <c r="E193" s="1245"/>
      <c r="F193" s="1241">
        <f>採点Q3!E159</f>
        <v>2</v>
      </c>
      <c r="G193" s="1242" t="str">
        <f>採点Q3!E160</f>
        <v>〇</v>
      </c>
      <c r="H193" s="1242">
        <f>採点Q3!E161</f>
        <v>0</v>
      </c>
      <c r="I193" s="1242">
        <f>採点Q3!E162</f>
        <v>0</v>
      </c>
      <c r="J193" s="1242" t="str">
        <f>採点Q3!E163</f>
        <v>〇</v>
      </c>
      <c r="K193" s="1242">
        <f>採点Q3!E164</f>
        <v>0</v>
      </c>
      <c r="L193" s="1242">
        <f>採点Q3!E165</f>
        <v>0</v>
      </c>
      <c r="M193" s="1243"/>
      <c r="N193" s="1243"/>
      <c r="O193" s="1243"/>
      <c r="P193" s="1243"/>
      <c r="Q193" s="1243"/>
      <c r="R193" s="1244"/>
      <c r="S193" s="96"/>
      <c r="T193" s="96"/>
      <c r="U193" s="96"/>
      <c r="V193" s="96"/>
      <c r="W193" s="96"/>
      <c r="X193" s="96"/>
      <c r="Y193" s="96"/>
      <c r="Z193" s="96"/>
      <c r="AA193" s="96"/>
      <c r="AB193" s="96"/>
      <c r="AC193" s="96"/>
    </row>
    <row r="194" spans="2:29" ht="13.15" customHeight="1">
      <c r="B194" s="1239" t="str">
        <f>D96</f>
        <v>3.3.2.2 魅力的なまちなかの形成</v>
      </c>
      <c r="C194" s="1245"/>
      <c r="D194" s="1245"/>
      <c r="E194" s="1245"/>
      <c r="F194" s="1241">
        <f>採点Q3!E176</f>
        <v>2</v>
      </c>
      <c r="G194" s="1242" t="str">
        <f>採点Q3!E177</f>
        <v>〇</v>
      </c>
      <c r="H194" s="1242">
        <f>採点Q3!E178</f>
        <v>0</v>
      </c>
      <c r="I194" s="1242" t="str">
        <f>採点Q3!E179</f>
        <v>〇</v>
      </c>
      <c r="J194" s="1242">
        <f>採点Q3!E180</f>
        <v>0</v>
      </c>
      <c r="K194" s="1242">
        <f>採点Q3!E181</f>
        <v>0</v>
      </c>
      <c r="L194" s="1242">
        <f>採点Q3!E182</f>
        <v>0</v>
      </c>
      <c r="M194" s="1242">
        <f>採点Q3!E183</f>
        <v>0</v>
      </c>
      <c r="N194" s="1242">
        <f>採点Q3!E184</f>
        <v>0</v>
      </c>
      <c r="O194" s="1243">
        <f>採点Q3!E185</f>
        <v>0</v>
      </c>
      <c r="P194" s="1243">
        <f>採点Q3!E186</f>
        <v>0</v>
      </c>
      <c r="Q194" s="1243"/>
      <c r="R194" s="1244"/>
      <c r="S194" s="96"/>
      <c r="T194" s="96"/>
      <c r="U194" s="96"/>
      <c r="V194" s="96"/>
      <c r="W194" s="96"/>
      <c r="X194" s="96"/>
      <c r="Y194" s="96"/>
      <c r="Z194" s="96"/>
      <c r="AA194" s="96"/>
      <c r="AB194" s="96"/>
      <c r="AC194" s="96"/>
    </row>
    <row r="195" spans="2:29" ht="13.15" customHeight="1">
      <c r="B195" s="1239" t="str">
        <f>B98</f>
        <v>3.4 経済性能に関するスマート化</v>
      </c>
      <c r="C195" s="1245"/>
      <c r="D195" s="1245"/>
      <c r="E195" s="1245"/>
      <c r="F195" s="1241">
        <f>採点Q3!E207</f>
        <v>1</v>
      </c>
      <c r="G195" s="1242" t="str">
        <f>採点Q3!E208</f>
        <v>〇</v>
      </c>
      <c r="H195" s="1242">
        <f>採点Q3!E209</f>
        <v>0</v>
      </c>
      <c r="I195" s="1242">
        <f>採点Q3!E210</f>
        <v>0</v>
      </c>
      <c r="J195" s="1242">
        <f>採点Q3!E211</f>
        <v>0</v>
      </c>
      <c r="K195" s="1243"/>
      <c r="L195" s="1243"/>
      <c r="M195" s="1243"/>
      <c r="N195" s="1243"/>
      <c r="O195" s="1243"/>
      <c r="P195" s="1243"/>
      <c r="Q195" s="1243"/>
      <c r="R195" s="1244"/>
      <c r="S195" s="96"/>
      <c r="T195" s="96"/>
      <c r="U195" s="96"/>
      <c r="V195" s="96"/>
      <c r="W195" s="96"/>
      <c r="X195" s="96"/>
      <c r="Y195" s="96"/>
      <c r="Z195" s="96"/>
      <c r="AA195" s="96"/>
      <c r="AB195" s="96"/>
      <c r="AC195" s="96"/>
    </row>
    <row r="196" spans="2:29" ht="13.15" customHeight="1">
      <c r="B196" s="1234" t="str">
        <f>B100</f>
        <v>LR-1 エネルギー</v>
      </c>
      <c r="C196" s="1235"/>
      <c r="D196" s="1235"/>
      <c r="E196" s="1235"/>
      <c r="F196" s="1235"/>
      <c r="G196" s="1247"/>
      <c r="H196" s="1248"/>
      <c r="I196" s="1247"/>
      <c r="J196" s="1248"/>
      <c r="K196" s="1247"/>
      <c r="L196" s="1248"/>
      <c r="M196" s="1247"/>
      <c r="N196" s="1248"/>
      <c r="O196" s="1247"/>
      <c r="P196" s="1248"/>
      <c r="Q196" s="1247"/>
      <c r="R196" s="1249"/>
      <c r="S196" s="96"/>
      <c r="T196" s="96"/>
      <c r="U196" s="96"/>
      <c r="V196" s="96"/>
      <c r="W196" s="96"/>
      <c r="X196" s="96"/>
      <c r="Y196" s="96"/>
      <c r="Z196" s="96"/>
      <c r="AA196" s="96"/>
      <c r="AB196" s="96"/>
      <c r="AC196" s="96"/>
    </row>
    <row r="197" spans="2:29" ht="13.15" customHeight="1">
      <c r="B197" s="1239" t="str">
        <f>C105</f>
        <v>1.4.1 需給システムのスマート化</v>
      </c>
      <c r="C197" s="1245"/>
      <c r="D197" s="1245"/>
      <c r="E197" s="1245"/>
      <c r="F197" s="1241">
        <f>採点LR1!E54</f>
        <v>1</v>
      </c>
      <c r="G197" s="1242">
        <f>採点LR1!E55</f>
        <v>0</v>
      </c>
      <c r="H197" s="1242">
        <f>採点LR1!E56</f>
        <v>0</v>
      </c>
      <c r="I197" s="1242" t="str">
        <f>採点LR1!E57</f>
        <v>〇</v>
      </c>
      <c r="J197" s="1242">
        <f>採点LR1!E58</f>
        <v>0</v>
      </c>
      <c r="K197" s="1242">
        <f>採点LR1!E59</f>
        <v>0</v>
      </c>
      <c r="L197" s="1242">
        <f>採点LR1!E60</f>
        <v>0</v>
      </c>
      <c r="M197" s="1243"/>
      <c r="N197" s="1243"/>
      <c r="O197" s="1243"/>
      <c r="P197" s="1243"/>
      <c r="Q197" s="1243"/>
      <c r="R197" s="1244"/>
      <c r="S197" s="96"/>
      <c r="T197" s="96"/>
      <c r="U197" s="96"/>
      <c r="V197" s="96"/>
      <c r="W197" s="96"/>
      <c r="X197" s="96"/>
      <c r="Y197" s="96"/>
      <c r="Z197" s="96"/>
      <c r="AA197" s="96"/>
      <c r="AB197" s="96"/>
      <c r="AC197" s="96"/>
    </row>
    <row r="198" spans="2:29" ht="13.15" customHeight="1">
      <c r="B198" s="1239" t="str">
        <f>C106</f>
        <v>1.4.2 更新性・拡張性</v>
      </c>
      <c r="C198" s="1245"/>
      <c r="D198" s="1245"/>
      <c r="E198" s="1245"/>
      <c r="F198" s="1241">
        <f>採点LR1!E71</f>
        <v>1</v>
      </c>
      <c r="G198" s="1242">
        <f>採点LR1!E72</f>
        <v>0</v>
      </c>
      <c r="H198" s="1242">
        <f>採点LR1!E73</f>
        <v>0</v>
      </c>
      <c r="I198" s="1242">
        <f>採点LR1!E74</f>
        <v>0</v>
      </c>
      <c r="J198" s="1242" t="str">
        <f>採点LR1!E75</f>
        <v>〇</v>
      </c>
      <c r="K198" s="1242">
        <f>採点LR1!E76</f>
        <v>0</v>
      </c>
      <c r="L198" s="1242">
        <f>採点LR1!E77</f>
        <v>0</v>
      </c>
      <c r="M198" s="1243"/>
      <c r="N198" s="1243"/>
      <c r="O198" s="1243"/>
      <c r="P198" s="1243"/>
      <c r="Q198" s="1243"/>
      <c r="R198" s="1244"/>
      <c r="S198" s="96"/>
      <c r="T198" s="96"/>
      <c r="U198" s="96"/>
      <c r="V198" s="96"/>
      <c r="W198" s="96"/>
      <c r="X198" s="96"/>
      <c r="Y198" s="96"/>
      <c r="Z198" s="96"/>
      <c r="AA198" s="96"/>
      <c r="AB198" s="96"/>
      <c r="AC198" s="96"/>
    </row>
    <row r="199" spans="2:29" ht="13.15" customHeight="1">
      <c r="B199" s="1234" t="str">
        <f>B107</f>
        <v>LR-2 資源</v>
      </c>
      <c r="C199" s="1235"/>
      <c r="D199" s="1235"/>
      <c r="E199" s="1235"/>
      <c r="F199" s="1235"/>
      <c r="G199" s="1247"/>
      <c r="H199" s="1248"/>
      <c r="I199" s="1247"/>
      <c r="J199" s="1248"/>
      <c r="K199" s="1247"/>
      <c r="L199" s="1248"/>
      <c r="M199" s="1247"/>
      <c r="N199" s="1248"/>
      <c r="O199" s="1247"/>
      <c r="P199" s="1248"/>
      <c r="Q199" s="1247"/>
      <c r="R199" s="1249"/>
      <c r="S199" s="96"/>
      <c r="T199" s="96"/>
      <c r="U199" s="96"/>
      <c r="V199" s="96"/>
      <c r="W199" s="96"/>
      <c r="X199" s="96"/>
      <c r="Y199" s="96"/>
      <c r="Z199" s="96"/>
      <c r="AA199" s="96"/>
      <c r="AB199" s="96"/>
      <c r="AC199" s="96"/>
    </row>
    <row r="200" spans="2:29" ht="13.15" customHeight="1">
      <c r="B200" s="1239" t="str">
        <f>D113</f>
        <v>2.2.1.1 節水</v>
      </c>
      <c r="C200" s="1245"/>
      <c r="D200" s="1245"/>
      <c r="E200" s="1245"/>
      <c r="F200" s="1241">
        <f>採点LR2!E44</f>
        <v>0</v>
      </c>
      <c r="G200" s="1242">
        <f>採点LR2!E45</f>
        <v>0</v>
      </c>
      <c r="H200" s="1242">
        <f>採点LR2!E46</f>
        <v>0</v>
      </c>
      <c r="I200" s="1242">
        <f>採点LR2!E47</f>
        <v>0</v>
      </c>
      <c r="J200" s="1242">
        <f>採点LR2!E48</f>
        <v>0</v>
      </c>
      <c r="K200" s="1242">
        <f>採点LR2!E49</f>
        <v>0</v>
      </c>
      <c r="L200" s="1242">
        <f>採点LR2!E50</f>
        <v>0</v>
      </c>
      <c r="M200" s="1243"/>
      <c r="N200" s="1243"/>
      <c r="O200" s="1243"/>
      <c r="P200" s="1243"/>
      <c r="Q200" s="1243"/>
      <c r="R200" s="1244"/>
      <c r="S200" s="96"/>
      <c r="T200" s="96"/>
      <c r="U200" s="96"/>
      <c r="V200" s="96"/>
      <c r="W200" s="96"/>
      <c r="X200" s="96"/>
      <c r="Y200" s="96"/>
      <c r="Z200" s="96"/>
      <c r="AA200" s="96"/>
      <c r="AB200" s="96"/>
      <c r="AC200" s="96"/>
    </row>
    <row r="201" spans="2:29" ht="13.15" customHeight="1">
      <c r="B201" s="1239" t="str">
        <f>D126</f>
        <v>2.3.2.3 食品系のリサイクル・廃棄物削減</v>
      </c>
      <c r="C201" s="1245"/>
      <c r="D201" s="1245"/>
      <c r="E201" s="1245"/>
      <c r="F201" s="1241">
        <f>採点LR2!E157</f>
        <v>1</v>
      </c>
      <c r="G201" s="1242">
        <f>採点LR2!E158</f>
        <v>0</v>
      </c>
      <c r="H201" s="1242">
        <f>採点LR2!E159</f>
        <v>0</v>
      </c>
      <c r="I201" s="1242" t="str">
        <f>採点LR2!E160</f>
        <v>〇</v>
      </c>
      <c r="J201" s="1242">
        <f>採点LR2!E161</f>
        <v>0</v>
      </c>
      <c r="K201" s="1243"/>
      <c r="L201" s="1243"/>
      <c r="M201" s="1243"/>
      <c r="N201" s="1243"/>
      <c r="O201" s="1243"/>
      <c r="P201" s="1243"/>
      <c r="Q201" s="1243"/>
      <c r="R201" s="1244"/>
      <c r="S201" s="96"/>
      <c r="T201" s="96"/>
      <c r="U201" s="96"/>
      <c r="V201" s="96"/>
      <c r="W201" s="96"/>
      <c r="X201" s="96"/>
      <c r="Y201" s="96"/>
      <c r="Z201" s="96"/>
      <c r="AA201" s="96"/>
      <c r="AB201" s="96"/>
      <c r="AC201" s="96"/>
    </row>
    <row r="202" spans="2:29" ht="13.15" customHeight="1">
      <c r="B202" s="1234" t="str">
        <f>B127</f>
        <v>LR-3 周辺環境</v>
      </c>
      <c r="C202" s="1235"/>
      <c r="D202" s="1235"/>
      <c r="E202" s="1235"/>
      <c r="F202" s="1235"/>
      <c r="G202" s="1247"/>
      <c r="H202" s="1248"/>
      <c r="I202" s="1247"/>
      <c r="J202" s="1248"/>
      <c r="K202" s="1247"/>
      <c r="L202" s="1248"/>
      <c r="M202" s="1247"/>
      <c r="N202" s="1248"/>
      <c r="O202" s="1247"/>
      <c r="P202" s="1248"/>
      <c r="Q202" s="1247"/>
      <c r="R202" s="1249"/>
      <c r="S202" s="96"/>
      <c r="T202" s="96"/>
      <c r="U202" s="96"/>
      <c r="V202" s="96"/>
      <c r="W202" s="96"/>
      <c r="X202" s="96"/>
      <c r="Y202" s="96"/>
      <c r="Z202" s="96"/>
      <c r="AA202" s="96"/>
      <c r="AB202" s="96"/>
      <c r="AC202" s="96"/>
    </row>
    <row r="203" spans="2:29" ht="13.15" customHeight="1">
      <c r="B203" s="1239" t="str">
        <f>D141</f>
        <v>3.3.2.3 大気浄化に対する取組み</v>
      </c>
      <c r="C203" s="1245"/>
      <c r="D203" s="1245"/>
      <c r="E203" s="1245"/>
      <c r="F203" s="1241">
        <f>採点LR3!E166</f>
        <v>1</v>
      </c>
      <c r="G203" s="1242" t="str">
        <f>採点LR3!E167</f>
        <v>〇</v>
      </c>
      <c r="H203" s="1242">
        <f>採点LR3!E168</f>
        <v>0</v>
      </c>
      <c r="I203" s="1243"/>
      <c r="J203" s="1243"/>
      <c r="K203" s="1243"/>
      <c r="L203" s="1243"/>
      <c r="M203" s="1243"/>
      <c r="N203" s="1243"/>
      <c r="O203" s="1243"/>
      <c r="P203" s="1243"/>
      <c r="Q203" s="1243"/>
      <c r="R203" s="1244"/>
      <c r="S203" s="96"/>
      <c r="T203" s="96"/>
      <c r="U203" s="96"/>
      <c r="V203" s="96"/>
      <c r="W203" s="96"/>
      <c r="X203" s="96"/>
      <c r="Y203" s="96"/>
      <c r="Z203" s="96"/>
      <c r="AA203" s="96"/>
      <c r="AB203" s="96"/>
      <c r="AC203" s="96"/>
    </row>
    <row r="204" spans="2:29" ht="13.15" customHeight="1">
      <c r="B204" s="1239" t="str">
        <f>D145</f>
        <v>3.3.3.3 悪臭が対象区域外に及ぼす影響の軽減</v>
      </c>
      <c r="C204" s="1245"/>
      <c r="D204" s="1245"/>
      <c r="E204" s="1245"/>
      <c r="F204" s="1241">
        <f>採点LR3!E198</f>
        <v>1</v>
      </c>
      <c r="G204" s="1242" t="str">
        <f>採点LR3!E199</f>
        <v>〇</v>
      </c>
      <c r="H204" s="1242">
        <f>採点LR3!E200</f>
        <v>0</v>
      </c>
      <c r="I204" s="1243"/>
      <c r="J204" s="1243"/>
      <c r="K204" s="1243"/>
      <c r="L204" s="1243"/>
      <c r="M204" s="1243"/>
      <c r="N204" s="1243"/>
      <c r="O204" s="1243"/>
      <c r="P204" s="1243"/>
      <c r="Q204" s="1243"/>
      <c r="R204" s="1244"/>
      <c r="S204" s="96"/>
      <c r="T204" s="96"/>
      <c r="U204" s="96"/>
      <c r="V204" s="96"/>
      <c r="W204" s="96"/>
      <c r="X204" s="96"/>
      <c r="Y204" s="96"/>
      <c r="Z204" s="96"/>
      <c r="AA204" s="96"/>
      <c r="AB204" s="96"/>
      <c r="AC204" s="96"/>
    </row>
    <row r="205" spans="2:29" ht="13.15" customHeight="1" thickBot="1">
      <c r="B205" s="1250" t="str">
        <f>D149</f>
        <v>3.3.6.1 照明・広告物等の光害の抑制</v>
      </c>
      <c r="C205" s="1251"/>
      <c r="D205" s="1251"/>
      <c r="E205" s="1251"/>
      <c r="F205" s="1252">
        <f>採点LR3!E230</f>
        <v>7</v>
      </c>
      <c r="G205" s="1253" t="str">
        <f>採点LR3!E231</f>
        <v>〇</v>
      </c>
      <c r="H205" s="1253">
        <f>採点LR3!E232</f>
        <v>0</v>
      </c>
      <c r="I205" s="1253" t="str">
        <f>採点LR3!E233</f>
        <v>〇</v>
      </c>
      <c r="J205" s="1253">
        <f>採点LR3!E234</f>
        <v>0</v>
      </c>
      <c r="K205" s="1253">
        <f>採点LR3!E235</f>
        <v>0</v>
      </c>
      <c r="L205" s="1253" t="str">
        <f>採点LR3!E236</f>
        <v>〇</v>
      </c>
      <c r="M205" s="1253" t="str">
        <f>採点LR3!E237</f>
        <v>〇</v>
      </c>
      <c r="N205" s="1253">
        <f>採点LR3!E238</f>
        <v>0</v>
      </c>
      <c r="O205" s="1253" t="str">
        <f>採点LR3!E239</f>
        <v>〇</v>
      </c>
      <c r="P205" s="1253">
        <f>採点LR3!E240</f>
        <v>0</v>
      </c>
      <c r="Q205" s="1253" t="str">
        <f>採点LR3!E241</f>
        <v>〇</v>
      </c>
      <c r="R205" s="1254" t="str">
        <f>採点LR3!E242</f>
        <v>〇</v>
      </c>
      <c r="S205" s="96"/>
      <c r="T205" s="96"/>
      <c r="U205" s="96"/>
      <c r="V205" s="96"/>
      <c r="W205" s="96"/>
      <c r="X205" s="96"/>
      <c r="Y205" s="96"/>
      <c r="Z205" s="96"/>
      <c r="AA205" s="96"/>
      <c r="AB205" s="96"/>
      <c r="AC205" s="96"/>
    </row>
    <row r="206" spans="2:29" ht="6.6" customHeight="1">
      <c r="B206" s="159"/>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row>
    <row r="207" spans="2:29">
      <c r="S207" s="96"/>
      <c r="T207" s="96"/>
      <c r="U207" s="96"/>
      <c r="V207" s="96"/>
      <c r="W207" s="96"/>
      <c r="X207" s="96"/>
      <c r="Y207" s="96"/>
      <c r="Z207" s="96"/>
      <c r="AA207" s="96"/>
      <c r="AB207" s="96"/>
      <c r="AC207" s="96"/>
    </row>
  </sheetData>
  <sheetProtection algorithmName="SHA-512" hashValue="/zvZs6bZNSzpGIB3E/rPWku5K6wqAZPS7YGEhtKWrp2FdJY5UMWI34y9Irixpl2F1OE4XC/m3QmhBe0pMttYPg==" saltValue="xg3jAbSnPE4Mc8ipkDqevA==" spinCount="100000" sheet="1" formatCells="0"/>
  <mergeCells count="48">
    <mergeCell ref="Y68:Y71"/>
    <mergeCell ref="Z10:Z14"/>
    <mergeCell ref="I6:O6"/>
    <mergeCell ref="Y9:Y24"/>
    <mergeCell ref="X8:X40"/>
    <mergeCell ref="Y25:Y38"/>
    <mergeCell ref="X41:X73"/>
    <mergeCell ref="Y55:Y59"/>
    <mergeCell ref="AA17:AA20"/>
    <mergeCell ref="Z15:Z24"/>
    <mergeCell ref="AA21:AA23"/>
    <mergeCell ref="Y90:Y97"/>
    <mergeCell ref="Y85:Y89"/>
    <mergeCell ref="Y75:Y84"/>
    <mergeCell ref="AA47:AA49"/>
    <mergeCell ref="Z44:Z49"/>
    <mergeCell ref="Y42:Y49"/>
    <mergeCell ref="Y50:Y54"/>
    <mergeCell ref="AA28:AA30"/>
    <mergeCell ref="Z26:Z30"/>
    <mergeCell ref="Z31:Z34"/>
    <mergeCell ref="Z35:Z38"/>
    <mergeCell ref="Z61:Z64"/>
    <mergeCell ref="Y60:Y67"/>
    <mergeCell ref="X74:X98"/>
    <mergeCell ref="Z112:Z115"/>
    <mergeCell ref="Z76:Z79"/>
    <mergeCell ref="Z80:Z84"/>
    <mergeCell ref="Z86:Z88"/>
    <mergeCell ref="Z91:Z93"/>
    <mergeCell ref="Z94:Z96"/>
    <mergeCell ref="Z123:Z126"/>
    <mergeCell ref="Y119:Y126"/>
    <mergeCell ref="X107:X126"/>
    <mergeCell ref="Y104:Y106"/>
    <mergeCell ref="X100:X106"/>
    <mergeCell ref="Z116:Z118"/>
    <mergeCell ref="Y111:Y118"/>
    <mergeCell ref="Y108:Y110"/>
    <mergeCell ref="Z120:Z122"/>
    <mergeCell ref="Y136:Y150"/>
    <mergeCell ref="Y129:Y135"/>
    <mergeCell ref="X127:X150"/>
    <mergeCell ref="Z130:Z132"/>
    <mergeCell ref="Z133:Z135"/>
    <mergeCell ref="Z138:Z141"/>
    <mergeCell ref="Z142:Z145"/>
    <mergeCell ref="Z148:Z150"/>
  </mergeCells>
  <phoneticPr fontId="3"/>
  <dataValidations xWindow="895" yWindow="482" count="1">
    <dataValidation allowBlank="1" showErrorMessage="1" sqref="P108:Q126 P42:Q73 P101:Q106 P75:P99 Q75:Q98 P128:Q150 P9:Q40 T9:U98 V151:V171 U99:U171 T100:T171" xr:uid="{00000000-0002-0000-0300-000000000000}"/>
  </dataValidations>
  <printOptions horizontalCentered="1"/>
  <pageMargins left="0.78740157480314965" right="0.59055118110236227" top="0.78740157480314965" bottom="0.59055118110236227" header="0.31496062992125984" footer="0.31496062992125984"/>
  <pageSetup paperSize="9" scale="67" fitToHeight="0" orientation="portrait" horizontalDpi="4294967293" verticalDpi="4294967293" r:id="rId1"/>
  <headerFooter alignWithMargins="0"/>
  <rowBreaks count="2" manualBreakCount="2">
    <brk id="84" max="18" man="1"/>
    <brk id="172" max="1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4"/>
  <sheetViews>
    <sheetView showGridLines="0" zoomScaleNormal="100" workbookViewId="0">
      <selection activeCell="C6" sqref="C6:D6"/>
    </sheetView>
  </sheetViews>
  <sheetFormatPr defaultColWidth="0" defaultRowHeight="13.5" zeroHeight="1"/>
  <cols>
    <col min="1" max="1" width="0.875" style="96" customWidth="1"/>
    <col min="2" max="2" width="17.375" style="96" customWidth="1"/>
    <col min="3" max="3" width="31.75" style="159" customWidth="1"/>
    <col min="4" max="4" width="14.25" style="96" customWidth="1"/>
    <col min="5" max="7" width="13.125" style="96" customWidth="1"/>
    <col min="8" max="8" width="1.5" style="96" customWidth="1"/>
    <col min="9" max="16384" width="9" style="96" hidden="1"/>
  </cols>
  <sheetData>
    <row r="1" spans="2:8" ht="21">
      <c r="B1" s="138" t="s">
        <v>313</v>
      </c>
      <c r="C1" s="139"/>
      <c r="D1" s="140"/>
      <c r="G1" s="141"/>
    </row>
    <row r="2" spans="2:8" s="137" customFormat="1" ht="21" customHeight="1">
      <c r="B2" s="142" t="s">
        <v>5</v>
      </c>
      <c r="C2" s="143" t="str">
        <f>メイン!C10</f>
        <v>Aプロジェクト</v>
      </c>
      <c r="D2" s="144" t="s">
        <v>314</v>
      </c>
      <c r="E2" s="143" t="str">
        <f>IF(メイン!C42=0,"",メイン!C42)</f>
        <v>■■　■■</v>
      </c>
      <c r="F2" s="143" t="str">
        <f>IF(メイン!D42=0,"",メイン!D42)</f>
        <v>■■　■■</v>
      </c>
      <c r="G2" s="143" t="str">
        <f>IF(メイン!E42=0,"",メイン!E42)</f>
        <v>■■　■■</v>
      </c>
      <c r="H2" s="96"/>
    </row>
    <row r="3" spans="2:8" s="137" customFormat="1" ht="18" customHeight="1">
      <c r="B3" s="145" t="s">
        <v>315</v>
      </c>
      <c r="C3" s="146" t="str">
        <f>メイン!C40</f>
        <v>2023/X/X</v>
      </c>
      <c r="D3" s="147"/>
      <c r="E3" s="143" t="str">
        <f>IF(メイン!C44=0,"",メイン!C44)</f>
        <v>■■　■■</v>
      </c>
      <c r="F3" s="143" t="str">
        <f>IF(メイン!D44=0,"",メイン!D44)</f>
        <v>■■　■■</v>
      </c>
      <c r="G3" s="143" t="str">
        <f>IF(メイン!E44=0,"",メイン!E44)</f>
        <v>■■　■■</v>
      </c>
      <c r="H3" s="96"/>
    </row>
    <row r="4" spans="2:8" s="137" customFormat="1" ht="8.25" customHeight="1" thickBot="1">
      <c r="B4" s="148"/>
      <c r="C4" s="149"/>
      <c r="D4" s="149"/>
      <c r="E4" s="150"/>
      <c r="F4" s="150"/>
      <c r="G4" s="151"/>
      <c r="H4" s="96"/>
    </row>
    <row r="5" spans="2:8" ht="21" customHeight="1" thickBot="1">
      <c r="B5" s="152"/>
      <c r="C5" s="153" t="s">
        <v>316</v>
      </c>
      <c r="D5" s="154"/>
      <c r="E5" s="1368" t="s">
        <v>317</v>
      </c>
      <c r="F5" s="1369"/>
      <c r="G5" s="1370"/>
    </row>
    <row r="6" spans="2:8" ht="71.25" customHeight="1" thickTop="1">
      <c r="B6" s="155" t="s">
        <v>318</v>
      </c>
      <c r="C6" s="1375"/>
      <c r="D6" s="1375"/>
      <c r="E6" s="1365"/>
      <c r="F6" s="1366"/>
      <c r="G6" s="1371"/>
    </row>
    <row r="7" spans="2:8" ht="71.25" customHeight="1">
      <c r="B7" s="156" t="str">
        <f>スコア!B8</f>
        <v>Q-1 環境</v>
      </c>
      <c r="C7" s="1376"/>
      <c r="D7" s="1376"/>
      <c r="E7" s="1362"/>
      <c r="F7" s="1363"/>
      <c r="G7" s="1364"/>
    </row>
    <row r="8" spans="2:8" ht="71.25" customHeight="1">
      <c r="B8" s="156" t="str">
        <f>スコア!B41</f>
        <v>Q-2 社会</v>
      </c>
      <c r="C8" s="1376"/>
      <c r="D8" s="1376"/>
      <c r="E8" s="1362"/>
      <c r="F8" s="1363"/>
      <c r="G8" s="1364"/>
    </row>
    <row r="9" spans="2:8" ht="71.25" customHeight="1">
      <c r="B9" s="156" t="str">
        <f>スコア!B74</f>
        <v>Q-3 経済</v>
      </c>
      <c r="C9" s="1376"/>
      <c r="D9" s="1376"/>
      <c r="E9" s="1365"/>
      <c r="F9" s="1366"/>
      <c r="G9" s="1367"/>
    </row>
    <row r="10" spans="2:8" ht="71.25" customHeight="1">
      <c r="B10" s="156" t="str">
        <f>スコア!B100</f>
        <v>LR-1 エネルギー</v>
      </c>
      <c r="C10" s="1377"/>
      <c r="D10" s="1377"/>
      <c r="E10" s="1362"/>
      <c r="F10" s="1363"/>
      <c r="G10" s="1364"/>
    </row>
    <row r="11" spans="2:8" ht="71.25" customHeight="1">
      <c r="B11" s="156" t="str">
        <f>スコア!B107</f>
        <v>LR-2 資源</v>
      </c>
      <c r="C11" s="1376"/>
      <c r="D11" s="1376"/>
      <c r="E11" s="1365"/>
      <c r="F11" s="1366"/>
      <c r="G11" s="1367"/>
    </row>
    <row r="12" spans="2:8" ht="71.25" customHeight="1" thickBot="1">
      <c r="B12" s="157" t="str">
        <f>スコア!B127</f>
        <v>LR-3 周辺環境</v>
      </c>
      <c r="C12" s="1358"/>
      <c r="D12" s="1358"/>
      <c r="E12" s="1372"/>
      <c r="F12" s="1373"/>
      <c r="G12" s="1374"/>
    </row>
    <row r="13" spans="2:8" ht="122.25" customHeight="1" thickTop="1" thickBot="1">
      <c r="B13" s="158" t="s">
        <v>38</v>
      </c>
      <c r="C13" s="1357"/>
      <c r="D13" s="1357"/>
      <c r="E13" s="1359"/>
      <c r="F13" s="1360"/>
      <c r="G13" s="1361"/>
    </row>
    <row r="14" spans="2:8"/>
  </sheetData>
  <sheetProtection algorithmName="SHA-512" hashValue="NnNj9FUhK8HAH4V0zEWhA44oS1fLarKoUeNJQowq91Kov1VVbTOrSy1/CFmo02561/48w9nryJAtfa8XUtykkQ==" saltValue="jF9HRYanHEcIJLYv7SMr2w==" spinCount="100000" sheet="1" formatCells="0"/>
  <mergeCells count="17">
    <mergeCell ref="E5:G5"/>
    <mergeCell ref="E6:G6"/>
    <mergeCell ref="E7:G7"/>
    <mergeCell ref="E12:G12"/>
    <mergeCell ref="C6:D6"/>
    <mergeCell ref="C7:D7"/>
    <mergeCell ref="C8:D8"/>
    <mergeCell ref="C9:D9"/>
    <mergeCell ref="C10:D10"/>
    <mergeCell ref="C11:D11"/>
    <mergeCell ref="C13:D13"/>
    <mergeCell ref="C12:D12"/>
    <mergeCell ref="E13:G13"/>
    <mergeCell ref="E8:G8"/>
    <mergeCell ref="E9:G9"/>
    <mergeCell ref="E10:G10"/>
    <mergeCell ref="E11:G11"/>
  </mergeCells>
  <phoneticPr fontId="3"/>
  <pageMargins left="0.75" right="0.75" top="1" bottom="1" header="0.51200000000000001" footer="0.51200000000000001"/>
  <pageSetup paperSize="9" scale="85"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autoPageBreaks="0" fitToPage="1"/>
  </sheetPr>
  <dimension ref="A1:AA232"/>
  <sheetViews>
    <sheetView showGridLines="0" zoomScaleNormal="100" zoomScaleSheetLayoutView="85" workbookViewId="0">
      <selection activeCell="D15" sqref="D15"/>
    </sheetView>
  </sheetViews>
  <sheetFormatPr defaultColWidth="8.875" defaultRowHeight="14.25"/>
  <cols>
    <col min="1" max="1" width="0.75" style="96" customWidth="1"/>
    <col min="2" max="2" width="2" style="96" customWidth="1"/>
    <col min="3" max="3" width="2.875" style="50" customWidth="1"/>
    <col min="4" max="4" width="14.25" style="96" customWidth="1"/>
    <col min="5" max="5" width="11.75" style="96" customWidth="1"/>
    <col min="6" max="7" width="9.875" style="96" customWidth="1"/>
    <col min="8" max="12" width="10.875" style="96" customWidth="1"/>
    <col min="13" max="13" width="2.5" style="96" customWidth="1"/>
    <col min="14" max="19" width="6.25" style="164" hidden="1" customWidth="1"/>
    <col min="20" max="20" width="6.25" style="164" customWidth="1"/>
    <col min="21" max="21" width="7.5" style="164" customWidth="1"/>
    <col min="22" max="25" width="8.875" style="164" customWidth="1"/>
    <col min="26" max="16384" width="8.875" style="96"/>
  </cols>
  <sheetData>
    <row r="1" spans="1:27" customFormat="1" ht="13.5">
      <c r="I1" s="483" t="s">
        <v>319</v>
      </c>
      <c r="J1" s="484" t="str">
        <f>メイン!C10</f>
        <v>Aプロジェクト</v>
      </c>
      <c r="K1" s="485"/>
      <c r="L1" s="484"/>
      <c r="N1" s="140"/>
      <c r="O1" s="140"/>
      <c r="P1" s="140"/>
      <c r="Q1" s="140"/>
      <c r="R1" s="140"/>
    </row>
    <row r="2" spans="1:27" customFormat="1" hidden="1">
      <c r="N2" s="448">
        <v>1</v>
      </c>
      <c r="O2" s="448" t="s">
        <v>320</v>
      </c>
      <c r="P2" s="448" t="s">
        <v>321</v>
      </c>
      <c r="Q2" s="140"/>
      <c r="R2" s="369"/>
    </row>
    <row r="3" spans="1:27" customFormat="1" hidden="1">
      <c r="N3" s="448">
        <v>2</v>
      </c>
      <c r="O3" s="448" t="s">
        <v>322</v>
      </c>
      <c r="P3" s="448" t="s">
        <v>323</v>
      </c>
      <c r="Q3" s="140"/>
      <c r="R3" s="369" t="s">
        <v>324</v>
      </c>
    </row>
    <row r="4" spans="1:27" customFormat="1" hidden="1">
      <c r="N4" s="448">
        <v>3</v>
      </c>
      <c r="O4" s="448" t="s">
        <v>325</v>
      </c>
      <c r="P4" s="448" t="s">
        <v>326</v>
      </c>
      <c r="Q4" s="140"/>
      <c r="R4" s="444" t="s">
        <v>327</v>
      </c>
    </row>
    <row r="5" spans="1:27" customFormat="1" hidden="1">
      <c r="N5" s="448">
        <v>4</v>
      </c>
      <c r="O5" s="448" t="s">
        <v>328</v>
      </c>
      <c r="P5" s="448" t="s">
        <v>329</v>
      </c>
      <c r="Q5" s="140"/>
      <c r="R5" s="140"/>
    </row>
    <row r="6" spans="1:27" customFormat="1" hidden="1">
      <c r="N6" s="448">
        <v>5</v>
      </c>
      <c r="O6" s="448" t="s">
        <v>330</v>
      </c>
      <c r="P6" s="448" t="s">
        <v>331</v>
      </c>
    </row>
    <row r="7" spans="1:27" customFormat="1" ht="13.5" hidden="1">
      <c r="G7" s="96"/>
    </row>
    <row r="8" spans="1:27" customFormat="1" ht="13.5" hidden="1"/>
    <row r="9" spans="1:27" s="7" customFormat="1" ht="18.75" thickBot="1">
      <c r="A9" s="670"/>
      <c r="B9" s="665" t="s">
        <v>1082</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50" customFormat="1" ht="15.75">
      <c r="A12" s="120"/>
      <c r="B12" s="666" t="s">
        <v>334</v>
      </c>
      <c r="C12" s="666"/>
      <c r="D12" s="672"/>
      <c r="E12" s="120"/>
      <c r="F12" s="80"/>
      <c r="G12"/>
      <c r="H12"/>
      <c r="I12"/>
      <c r="J12"/>
      <c r="K12"/>
      <c r="L12"/>
      <c r="M12"/>
      <c r="N12"/>
      <c r="O12"/>
      <c r="P12"/>
      <c r="Q12"/>
      <c r="R12"/>
      <c r="S12"/>
      <c r="T12" s="96"/>
    </row>
    <row r="13" spans="1:27" s="50" customFormat="1" ht="15.75">
      <c r="A13" s="120"/>
      <c r="B13" s="120"/>
      <c r="C13" s="666" t="s">
        <v>335</v>
      </c>
      <c r="D13" s="672"/>
      <c r="E13" s="120"/>
      <c r="F13" s="80"/>
      <c r="G13"/>
      <c r="H13"/>
      <c r="I13"/>
      <c r="J13"/>
      <c r="K13"/>
      <c r="L13"/>
      <c r="M13"/>
      <c r="N13"/>
      <c r="O13"/>
      <c r="P13"/>
      <c r="Q13"/>
      <c r="R13"/>
      <c r="S13"/>
      <c r="T13" s="96"/>
    </row>
    <row r="14" spans="1:27" s="49" customFormat="1" ht="16.5" thickBot="1">
      <c r="A14" s="664"/>
      <c r="B14" s="666"/>
      <c r="C14" s="666"/>
      <c r="D14" s="163" t="s">
        <v>827</v>
      </c>
      <c r="E14" s="664"/>
      <c r="F14" s="675"/>
      <c r="G14" s="675"/>
      <c r="H14" s="675"/>
      <c r="I14" s="459"/>
      <c r="J14" s="664"/>
      <c r="K14" s="664"/>
      <c r="L14" s="727" t="s">
        <v>1231</v>
      </c>
      <c r="M14" s="664"/>
      <c r="N14" s="62"/>
      <c r="O14" s="62"/>
      <c r="P14" s="62"/>
      <c r="Q14"/>
    </row>
    <row r="15" spans="1:27" s="49" customFormat="1" ht="16.5" thickBot="1">
      <c r="A15" s="319"/>
      <c r="B15" s="664"/>
      <c r="C15" s="664"/>
      <c r="D15" s="726">
        <v>3</v>
      </c>
      <c r="E15" s="453" t="s">
        <v>1229</v>
      </c>
      <c r="F15" s="453"/>
      <c r="G15" s="453"/>
      <c r="H15" s="453"/>
      <c r="I15" s="453"/>
      <c r="J15" s="453"/>
      <c r="K15" s="453"/>
      <c r="L15" s="454"/>
      <c r="M15" s="62"/>
      <c r="N15" s="448" t="s">
        <v>336</v>
      </c>
      <c r="O15" s="448" t="s">
        <v>337</v>
      </c>
    </row>
    <row r="16" spans="1:27" s="49" customFormat="1" ht="15.75">
      <c r="A16" s="319"/>
      <c r="B16" s="664"/>
      <c r="C16" s="664"/>
      <c r="D16" s="435" t="str">
        <f>IF(ROUNDDOWN(D15,0)=$N$2,$P$2,$O$2)</f>
        <v>　レベル　1</v>
      </c>
      <c r="E16" s="460" t="s">
        <v>826</v>
      </c>
      <c r="F16" s="500"/>
      <c r="G16" s="500"/>
      <c r="H16" s="500"/>
      <c r="I16" s="500"/>
      <c r="J16" s="500"/>
      <c r="K16" s="500"/>
      <c r="L16" s="508"/>
      <c r="M16" s="664"/>
      <c r="N16" s="449">
        <v>1</v>
      </c>
      <c r="O16" s="450"/>
      <c r="P16" s="62"/>
    </row>
    <row r="17" spans="1:16" s="49" customFormat="1" ht="15.75">
      <c r="A17" s="319"/>
      <c r="B17" s="664"/>
      <c r="C17" s="664"/>
      <c r="D17" s="436" t="str">
        <f>IF(ROUNDDOWN(D15,0)=$N$3,$P$3,$O$3)</f>
        <v>　レベル　2</v>
      </c>
      <c r="E17" s="463" t="s">
        <v>338</v>
      </c>
      <c r="F17" s="501"/>
      <c r="G17" s="501"/>
      <c r="H17" s="501"/>
      <c r="I17" s="501"/>
      <c r="J17" s="501"/>
      <c r="K17" s="501"/>
      <c r="L17" s="509"/>
      <c r="M17" s="62"/>
      <c r="N17" s="449" t="s">
        <v>312</v>
      </c>
      <c r="O17" s="450"/>
      <c r="P17" s="62"/>
    </row>
    <row r="18" spans="1:16" s="49" customFormat="1" ht="15.75">
      <c r="A18" s="319"/>
      <c r="B18" s="664"/>
      <c r="C18" s="664"/>
      <c r="D18" s="436" t="str">
        <f>IF(ROUNDDOWN(D15,0)=$N$4,$P$4,$O$4)</f>
        <v>■レベル　3</v>
      </c>
      <c r="E18" s="463" t="s">
        <v>1311</v>
      </c>
      <c r="F18" s="501"/>
      <c r="G18" s="501"/>
      <c r="H18" s="501"/>
      <c r="I18" s="501"/>
      <c r="J18" s="501"/>
      <c r="K18" s="501"/>
      <c r="L18" s="509"/>
      <c r="M18" s="664"/>
      <c r="N18" s="449">
        <v>3</v>
      </c>
      <c r="O18" s="450"/>
      <c r="P18" s="62"/>
    </row>
    <row r="19" spans="1:16" s="49" customFormat="1" ht="15.75">
      <c r="A19" s="319"/>
      <c r="B19" s="664"/>
      <c r="C19" s="664"/>
      <c r="D19" s="436" t="str">
        <f>IF(ROUNDDOWN(D15,0)=$N$5,$P$5,$O$5)</f>
        <v>　レベル　4</v>
      </c>
      <c r="E19" s="466" t="s">
        <v>339</v>
      </c>
      <c r="F19" s="502"/>
      <c r="G19" s="502"/>
      <c r="H19" s="502"/>
      <c r="I19" s="502"/>
      <c r="J19" s="502"/>
      <c r="K19" s="502"/>
      <c r="L19" s="510"/>
      <c r="M19" s="62"/>
      <c r="N19" s="449">
        <v>4</v>
      </c>
      <c r="O19" s="450"/>
      <c r="P19" s="62"/>
    </row>
    <row r="20" spans="1:16" s="49" customFormat="1" ht="15.75">
      <c r="A20" s="319"/>
      <c r="B20" s="664"/>
      <c r="C20" s="664"/>
      <c r="D20" s="437" t="str">
        <f>IF(ROUNDDOWN(D15,0)=$N$6,$P$6,$O$6)</f>
        <v>　レベル　5</v>
      </c>
      <c r="E20" s="469" t="s">
        <v>340</v>
      </c>
      <c r="F20" s="480"/>
      <c r="G20" s="480"/>
      <c r="H20" s="480"/>
      <c r="I20" s="480"/>
      <c r="J20" s="480"/>
      <c r="K20" s="480"/>
      <c r="L20" s="511"/>
      <c r="M20" s="664"/>
      <c r="N20" s="449">
        <v>5</v>
      </c>
      <c r="O20" s="450"/>
      <c r="P20" s="62"/>
    </row>
    <row r="21" spans="1:16" s="49" customFormat="1" ht="15.75">
      <c r="A21" s="319"/>
      <c r="B21" s="664"/>
      <c r="C21" s="664"/>
      <c r="D21" s="438" t="s">
        <v>341</v>
      </c>
      <c r="E21" s="1002"/>
      <c r="F21" s="494"/>
      <c r="G21" s="494"/>
      <c r="H21" s="679"/>
      <c r="I21" s="737" t="s">
        <v>715</v>
      </c>
      <c r="J21" s="664"/>
      <c r="K21" s="664"/>
      <c r="L21" s="664"/>
      <c r="M21" s="62"/>
      <c r="N21" s="451">
        <v>0</v>
      </c>
      <c r="O21" s="452"/>
      <c r="P21" s="62"/>
    </row>
    <row r="22" spans="1:16" s="49" customFormat="1">
      <c r="A22" s="319"/>
      <c r="B22" s="319"/>
      <c r="C22" s="319"/>
      <c r="D22" s="319"/>
      <c r="E22" s="319"/>
      <c r="F22" s="319"/>
      <c r="G22" s="319"/>
      <c r="H22" s="319"/>
      <c r="I22" s="319"/>
      <c r="J22" s="319"/>
      <c r="K22" s="319"/>
      <c r="L22" s="319"/>
      <c r="M22" s="319"/>
      <c r="N22" s="803"/>
      <c r="O22" s="62"/>
      <c r="P22" s="62"/>
    </row>
    <row r="23" spans="1:16" s="49" customFormat="1" ht="16.5" thickBot="1">
      <c r="A23" s="664"/>
      <c r="B23" s="163"/>
      <c r="C23" s="668"/>
      <c r="D23" s="163" t="s">
        <v>828</v>
      </c>
      <c r="E23" s="664"/>
      <c r="F23" s="675"/>
      <c r="G23" s="675"/>
      <c r="H23" s="675"/>
      <c r="I23" s="459"/>
      <c r="J23" s="664"/>
      <c r="K23" s="664"/>
      <c r="L23" s="727" t="s">
        <v>1228</v>
      </c>
      <c r="M23" s="664"/>
      <c r="N23" s="62"/>
      <c r="O23" s="62"/>
      <c r="P23" s="62"/>
    </row>
    <row r="24" spans="1:16" s="49" customFormat="1" ht="16.5" thickBot="1">
      <c r="A24" s="319"/>
      <c r="B24" s="664"/>
      <c r="C24" s="664"/>
      <c r="D24" s="434">
        <v>3</v>
      </c>
      <c r="E24" s="453" t="s">
        <v>1229</v>
      </c>
      <c r="F24" s="453"/>
      <c r="G24" s="453"/>
      <c r="H24" s="453"/>
      <c r="I24" s="453"/>
      <c r="J24" s="453"/>
      <c r="K24" s="453"/>
      <c r="L24" s="454"/>
      <c r="M24" s="62"/>
      <c r="N24" s="448" t="s">
        <v>336</v>
      </c>
      <c r="O24" s="448" t="s">
        <v>337</v>
      </c>
      <c r="P24" s="62"/>
    </row>
    <row r="25" spans="1:16" s="49" customFormat="1" ht="15.75">
      <c r="A25" s="319"/>
      <c r="B25" s="664"/>
      <c r="C25" s="664"/>
      <c r="D25" s="435" t="str">
        <f>IF(ROUNDDOWN(D24,0)=$N$2,$P$2,$O$2)</f>
        <v>　レベル　1</v>
      </c>
      <c r="E25" s="460" t="s">
        <v>1314</v>
      </c>
      <c r="F25" s="500"/>
      <c r="G25" s="500"/>
      <c r="H25" s="500"/>
      <c r="I25" s="500"/>
      <c r="J25" s="500"/>
      <c r="K25" s="500"/>
      <c r="L25" s="508"/>
      <c r="M25" s="664"/>
      <c r="N25" s="449">
        <v>1</v>
      </c>
      <c r="O25" s="450"/>
      <c r="P25" s="62"/>
    </row>
    <row r="26" spans="1:16" s="49" customFormat="1" ht="15.75">
      <c r="A26" s="319"/>
      <c r="B26" s="664"/>
      <c r="C26" s="664"/>
      <c r="D26" s="436" t="str">
        <f>IF(ROUNDDOWN(D24,0)=$N$3,$P$3,$O$3)</f>
        <v>　レベル　2</v>
      </c>
      <c r="E26" s="463" t="s">
        <v>338</v>
      </c>
      <c r="F26" s="501"/>
      <c r="G26" s="501"/>
      <c r="H26" s="501"/>
      <c r="I26" s="501"/>
      <c r="J26" s="501"/>
      <c r="K26" s="501"/>
      <c r="L26" s="509"/>
      <c r="M26" s="62"/>
      <c r="N26" s="449" t="s">
        <v>312</v>
      </c>
      <c r="O26" s="450"/>
      <c r="P26" s="62"/>
    </row>
    <row r="27" spans="1:16" s="49" customFormat="1" ht="15.75">
      <c r="A27" s="319"/>
      <c r="B27" s="664"/>
      <c r="C27" s="664"/>
      <c r="D27" s="436" t="str">
        <f>IF(ROUNDDOWN(D24,0)=$N$4,$P$4,$O$4)</f>
        <v>■レベル　3</v>
      </c>
      <c r="E27" s="463" t="s">
        <v>1315</v>
      </c>
      <c r="F27" s="501"/>
      <c r="G27" s="501"/>
      <c r="H27" s="501"/>
      <c r="I27" s="501"/>
      <c r="J27" s="501"/>
      <c r="K27" s="501"/>
      <c r="L27" s="509"/>
      <c r="M27" s="664"/>
      <c r="N27" s="449">
        <v>3</v>
      </c>
      <c r="O27" s="450"/>
      <c r="P27" s="62"/>
    </row>
    <row r="28" spans="1:16" s="49" customFormat="1" ht="15.75">
      <c r="A28" s="319"/>
      <c r="B28" s="664"/>
      <c r="C28" s="664"/>
      <c r="D28" s="436" t="str">
        <f>IF(ROUNDDOWN(D24,0)=$N$5,$P$5,$O$5)</f>
        <v>　レベル　4</v>
      </c>
      <c r="E28" s="466" t="s">
        <v>1312</v>
      </c>
      <c r="F28" s="502"/>
      <c r="G28" s="502"/>
      <c r="H28" s="502"/>
      <c r="I28" s="502"/>
      <c r="J28" s="502"/>
      <c r="K28" s="502"/>
      <c r="L28" s="510"/>
      <c r="M28" s="62"/>
      <c r="N28" s="449">
        <v>4</v>
      </c>
      <c r="O28" s="450"/>
      <c r="P28" s="62"/>
    </row>
    <row r="29" spans="1:16" s="49" customFormat="1" ht="15.75">
      <c r="A29" s="319"/>
      <c r="B29" s="664"/>
      <c r="C29" s="664"/>
      <c r="D29" s="437" t="str">
        <f>IF(ROUNDDOWN(D24,0)=$N$6,$P$6,$O$6)</f>
        <v>　レベル　5</v>
      </c>
      <c r="E29" s="469" t="s">
        <v>1313</v>
      </c>
      <c r="F29" s="480"/>
      <c r="G29" s="480"/>
      <c r="H29" s="480"/>
      <c r="I29" s="480"/>
      <c r="J29" s="480"/>
      <c r="K29" s="480"/>
      <c r="L29" s="511"/>
      <c r="M29" s="664"/>
      <c r="N29" s="449">
        <v>5</v>
      </c>
      <c r="O29" s="450"/>
      <c r="P29" s="62"/>
    </row>
    <row r="30" spans="1:16" s="49" customFormat="1" ht="15.75">
      <c r="A30" s="664"/>
      <c r="B30" s="163"/>
      <c r="C30" s="668"/>
      <c r="D30" s="438" t="s">
        <v>341</v>
      </c>
      <c r="E30" s="1002"/>
      <c r="F30" s="494"/>
      <c r="G30" s="494"/>
      <c r="H30" s="679"/>
      <c r="I30" s="737" t="s">
        <v>715</v>
      </c>
      <c r="J30" s="664"/>
      <c r="K30" s="664"/>
      <c r="L30" s="664"/>
      <c r="M30" s="62"/>
      <c r="N30" s="451">
        <v>0</v>
      </c>
      <c r="O30" s="452"/>
      <c r="P30" s="62"/>
    </row>
    <row r="31" spans="1:16" s="49" customFormat="1" ht="15.75">
      <c r="A31" s="664"/>
      <c r="B31" s="163"/>
      <c r="C31" s="163"/>
      <c r="D31" s="163"/>
      <c r="E31" s="163"/>
      <c r="F31" s="163"/>
      <c r="G31" s="163"/>
      <c r="H31" s="163"/>
      <c r="I31" s="163"/>
      <c r="J31" s="163"/>
      <c r="K31" s="163"/>
      <c r="L31" s="163"/>
      <c r="M31" s="163"/>
      <c r="N31" s="163"/>
      <c r="O31" s="62"/>
      <c r="P31" s="62"/>
    </row>
    <row r="32" spans="1:16" s="49" customFormat="1" ht="16.5" thickBot="1">
      <c r="A32" s="664"/>
      <c r="B32" s="163"/>
      <c r="C32" s="668"/>
      <c r="D32" s="163" t="s">
        <v>829</v>
      </c>
      <c r="E32" s="664"/>
      <c r="F32" s="675"/>
      <c r="G32" s="675"/>
      <c r="H32" s="675"/>
      <c r="I32" s="459"/>
      <c r="J32" s="664"/>
      <c r="K32" s="664"/>
      <c r="L32" s="727" t="s">
        <v>760</v>
      </c>
      <c r="M32" s="664"/>
      <c r="N32" s="62"/>
      <c r="O32" s="62"/>
      <c r="P32" s="62"/>
    </row>
    <row r="33" spans="1:16" s="49" customFormat="1" ht="16.5" thickBot="1">
      <c r="A33" s="319"/>
      <c r="B33" s="664"/>
      <c r="C33" s="664"/>
      <c r="D33" s="434">
        <v>3</v>
      </c>
      <c r="E33" s="453" t="s">
        <v>1229</v>
      </c>
      <c r="F33" s="453"/>
      <c r="G33" s="453"/>
      <c r="H33" s="453"/>
      <c r="I33" s="453"/>
      <c r="J33" s="453"/>
      <c r="K33" s="453"/>
      <c r="L33" s="454"/>
      <c r="M33" s="62"/>
      <c r="N33" s="448" t="s">
        <v>336</v>
      </c>
      <c r="O33" s="448" t="s">
        <v>337</v>
      </c>
      <c r="P33" s="62"/>
    </row>
    <row r="34" spans="1:16" s="49" customFormat="1" ht="15.75">
      <c r="A34" s="319"/>
      <c r="B34" s="664"/>
      <c r="C34" s="664"/>
      <c r="D34" s="435" t="str">
        <f>IF(ROUNDDOWN(D33,0)=$N$2,$P$2,$O$2)</f>
        <v>　レベル　1</v>
      </c>
      <c r="E34" s="460" t="s">
        <v>1318</v>
      </c>
      <c r="F34" s="500"/>
      <c r="G34" s="500"/>
      <c r="H34" s="500"/>
      <c r="I34" s="500"/>
      <c r="J34" s="500"/>
      <c r="K34" s="500"/>
      <c r="L34" s="508"/>
      <c r="M34" s="664"/>
      <c r="N34" s="449">
        <v>1</v>
      </c>
      <c r="O34" s="450"/>
      <c r="P34" s="62"/>
    </row>
    <row r="35" spans="1:16" s="49" customFormat="1" ht="15.75">
      <c r="A35" s="319"/>
      <c r="B35" s="664"/>
      <c r="C35" s="664"/>
      <c r="D35" s="436" t="str">
        <f>IF(ROUNDDOWN(D33,0)=$N$3,$P$3,$O$3)</f>
        <v>　レベル　2</v>
      </c>
      <c r="E35" s="463" t="s">
        <v>338</v>
      </c>
      <c r="F35" s="501"/>
      <c r="G35" s="501"/>
      <c r="H35" s="501"/>
      <c r="I35" s="501"/>
      <c r="J35" s="501"/>
      <c r="K35" s="501"/>
      <c r="L35" s="509"/>
      <c r="M35" s="62"/>
      <c r="N35" s="449" t="s">
        <v>312</v>
      </c>
      <c r="O35" s="450"/>
      <c r="P35" s="62"/>
    </row>
    <row r="36" spans="1:16" s="49" customFormat="1" ht="15.75">
      <c r="A36" s="319"/>
      <c r="B36" s="664"/>
      <c r="C36" s="664"/>
      <c r="D36" s="436" t="str">
        <f>IF(ROUNDDOWN(D33,0)=$N$4,$P$4,$O$4)</f>
        <v>■レベル　3</v>
      </c>
      <c r="E36" s="463" t="s">
        <v>1319</v>
      </c>
      <c r="F36" s="501"/>
      <c r="G36" s="501"/>
      <c r="H36" s="501"/>
      <c r="I36" s="501"/>
      <c r="J36" s="501"/>
      <c r="K36" s="501"/>
      <c r="L36" s="509"/>
      <c r="M36" s="664"/>
      <c r="N36" s="449">
        <v>3</v>
      </c>
      <c r="O36" s="450"/>
      <c r="P36" s="62"/>
    </row>
    <row r="37" spans="1:16" s="49" customFormat="1" ht="15.75">
      <c r="A37" s="319"/>
      <c r="B37" s="664"/>
      <c r="C37" s="664"/>
      <c r="D37" s="436" t="str">
        <f>IF(ROUNDDOWN(D33,0)=$N$5,$P$5,$O$5)</f>
        <v>　レベル　4</v>
      </c>
      <c r="E37" s="466" t="s">
        <v>1316</v>
      </c>
      <c r="F37" s="502"/>
      <c r="G37" s="502"/>
      <c r="H37" s="502"/>
      <c r="I37" s="502"/>
      <c r="J37" s="502"/>
      <c r="K37" s="502"/>
      <c r="L37" s="510"/>
      <c r="M37" s="62"/>
      <c r="N37" s="449">
        <v>4</v>
      </c>
      <c r="O37" s="450"/>
      <c r="P37" s="62"/>
    </row>
    <row r="38" spans="1:16" s="49" customFormat="1" ht="15.75">
      <c r="A38" s="319"/>
      <c r="B38" s="664"/>
      <c r="C38" s="664"/>
      <c r="D38" s="437" t="str">
        <f>IF(ROUNDDOWN(D33,0)=$N$6,$P$6,$O$6)</f>
        <v>　レベル　5</v>
      </c>
      <c r="E38" s="469" t="s">
        <v>1317</v>
      </c>
      <c r="F38" s="480"/>
      <c r="G38" s="480"/>
      <c r="H38" s="480"/>
      <c r="I38" s="480"/>
      <c r="J38" s="480"/>
      <c r="K38" s="480"/>
      <c r="L38" s="511"/>
      <c r="M38" s="664"/>
      <c r="N38" s="449">
        <v>5</v>
      </c>
      <c r="O38" s="450"/>
      <c r="P38" s="62"/>
    </row>
    <row r="39" spans="1:16" s="49" customFormat="1" ht="15.75">
      <c r="A39" s="664"/>
      <c r="B39" s="163"/>
      <c r="C39" s="668"/>
      <c r="D39" s="438" t="s">
        <v>341</v>
      </c>
      <c r="E39" s="1002"/>
      <c r="F39" s="494"/>
      <c r="G39" s="494"/>
      <c r="H39" s="679"/>
      <c r="I39" s="737" t="s">
        <v>715</v>
      </c>
      <c r="J39" s="664"/>
      <c r="K39" s="664"/>
      <c r="L39" s="664"/>
      <c r="M39" s="62"/>
      <c r="N39" s="451">
        <v>0</v>
      </c>
      <c r="O39" s="452"/>
      <c r="P39" s="62"/>
    </row>
    <row r="40" spans="1:16" customFormat="1" ht="13.5">
      <c r="F40" s="306"/>
      <c r="G40" s="306"/>
      <c r="H40" s="306"/>
      <c r="I40" s="306"/>
    </row>
    <row r="41" spans="1:16" s="50" customFormat="1" ht="15.75">
      <c r="A41" s="120"/>
      <c r="B41" s="120"/>
      <c r="C41" s="666" t="s">
        <v>743</v>
      </c>
      <c r="D41" s="672"/>
      <c r="E41" s="120"/>
      <c r="F41" s="80"/>
      <c r="G41" s="80"/>
      <c r="H41" s="678"/>
      <c r="I41" s="80"/>
      <c r="J41" s="62"/>
      <c r="K41" s="62"/>
      <c r="L41" s="62"/>
      <c r="M41" s="62"/>
      <c r="N41" s="62"/>
      <c r="O41" s="62"/>
      <c r="P41" s="62"/>
    </row>
    <row r="42" spans="1:16" s="49" customFormat="1" ht="16.5" thickBot="1">
      <c r="A42" s="664"/>
      <c r="B42" s="163"/>
      <c r="C42" s="668"/>
      <c r="D42" s="163" t="s">
        <v>343</v>
      </c>
      <c r="E42" s="664"/>
      <c r="F42" s="675"/>
      <c r="G42" s="675"/>
      <c r="H42" s="675"/>
      <c r="I42" s="459"/>
      <c r="J42" s="664"/>
      <c r="K42" s="664"/>
      <c r="L42" s="676"/>
      <c r="M42" s="664"/>
      <c r="N42" s="62"/>
      <c r="O42" s="62"/>
      <c r="P42" s="62"/>
    </row>
    <row r="43" spans="1:16" s="49" customFormat="1" ht="16.5" thickBot="1">
      <c r="A43" s="319"/>
      <c r="B43" s="664"/>
      <c r="C43" s="664"/>
      <c r="D43" s="434">
        <v>3</v>
      </c>
      <c r="E43" s="453" t="s">
        <v>1229</v>
      </c>
      <c r="F43" s="453"/>
      <c r="G43" s="453"/>
      <c r="H43" s="453"/>
      <c r="I43" s="453"/>
      <c r="J43" s="453"/>
      <c r="K43" s="453"/>
      <c r="L43" s="454"/>
      <c r="M43" s="62"/>
      <c r="N43" s="448" t="s">
        <v>336</v>
      </c>
      <c r="O43" s="448" t="s">
        <v>337</v>
      </c>
      <c r="P43" s="62"/>
    </row>
    <row r="44" spans="1:16" s="49" customFormat="1" ht="15.75">
      <c r="A44" s="319"/>
      <c r="B44" s="664"/>
      <c r="C44" s="664"/>
      <c r="D44" s="435" t="str">
        <f>IF(ROUNDDOWN(D43,0)=$N$2,$P$2,$O$2)</f>
        <v>　レベル　1</v>
      </c>
      <c r="E44" s="460" t="s">
        <v>1232</v>
      </c>
      <c r="F44" s="500"/>
      <c r="G44" s="500"/>
      <c r="H44" s="500"/>
      <c r="I44" s="500"/>
      <c r="J44" s="500"/>
      <c r="K44" s="500"/>
      <c r="L44" s="508"/>
      <c r="M44" s="664"/>
      <c r="N44" s="449">
        <v>1</v>
      </c>
      <c r="O44" s="450"/>
      <c r="P44" s="62"/>
    </row>
    <row r="45" spans="1:16" s="49" customFormat="1" ht="15.75">
      <c r="A45" s="319"/>
      <c r="B45" s="664"/>
      <c r="C45" s="664"/>
      <c r="D45" s="436" t="str">
        <f>IF(ROUNDDOWN(D43,0)=$N$3,$P$3,$O$3)</f>
        <v>　レベル　2</v>
      </c>
      <c r="E45" s="463" t="s">
        <v>1233</v>
      </c>
      <c r="F45" s="501"/>
      <c r="G45" s="501"/>
      <c r="H45" s="501"/>
      <c r="I45" s="501"/>
      <c r="J45" s="501"/>
      <c r="K45" s="501"/>
      <c r="L45" s="509"/>
      <c r="M45" s="62"/>
      <c r="N45" s="449">
        <v>2</v>
      </c>
      <c r="O45" s="450"/>
      <c r="P45" s="62"/>
    </row>
    <row r="46" spans="1:16" s="49" customFormat="1" ht="15.75">
      <c r="A46" s="319"/>
      <c r="B46" s="664"/>
      <c r="C46" s="664"/>
      <c r="D46" s="436" t="str">
        <f>IF(ROUNDDOWN(D43,0)=$N$4,$P$4,$O$4)</f>
        <v>■レベル　3</v>
      </c>
      <c r="E46" s="463" t="s">
        <v>1234</v>
      </c>
      <c r="F46" s="501"/>
      <c r="G46" s="501"/>
      <c r="H46" s="501"/>
      <c r="I46" s="501"/>
      <c r="J46" s="501"/>
      <c r="K46" s="501"/>
      <c r="L46" s="509"/>
      <c r="M46" s="664"/>
      <c r="N46" s="449">
        <v>3</v>
      </c>
      <c r="O46" s="450"/>
      <c r="P46" s="62"/>
    </row>
    <row r="47" spans="1:16" s="49" customFormat="1" ht="15.75">
      <c r="A47" s="319"/>
      <c r="B47" s="664"/>
      <c r="C47" s="664"/>
      <c r="D47" s="436" t="str">
        <f>IF(ROUNDDOWN(D43,0)=$N$5,$P$5,$O$5)</f>
        <v>　レベル　4</v>
      </c>
      <c r="E47" s="466" t="s">
        <v>1235</v>
      </c>
      <c r="F47" s="502"/>
      <c r="G47" s="502"/>
      <c r="H47" s="502"/>
      <c r="I47" s="502"/>
      <c r="J47" s="502"/>
      <c r="K47" s="502"/>
      <c r="L47" s="510"/>
      <c r="M47" s="62"/>
      <c r="N47" s="449">
        <v>4</v>
      </c>
      <c r="O47" s="450"/>
      <c r="P47" s="62"/>
    </row>
    <row r="48" spans="1:16" s="49" customFormat="1" ht="15.75">
      <c r="A48" s="319"/>
      <c r="B48" s="664"/>
      <c r="C48" s="664"/>
      <c r="D48" s="437" t="str">
        <f>IF(ROUNDDOWN(D43,0)=$N$6,$P$6,$O$6)</f>
        <v>　レベル　5</v>
      </c>
      <c r="E48" s="469" t="s">
        <v>1320</v>
      </c>
      <c r="F48" s="480"/>
      <c r="G48" s="480"/>
      <c r="H48" s="480"/>
      <c r="I48" s="480"/>
      <c r="J48" s="480"/>
      <c r="K48" s="480"/>
      <c r="L48" s="511"/>
      <c r="M48" s="664"/>
      <c r="N48" s="449">
        <v>5</v>
      </c>
      <c r="O48" s="450"/>
      <c r="P48" s="62"/>
    </row>
    <row r="49" spans="1:16" s="49" customFormat="1" ht="15.75">
      <c r="A49" s="319"/>
      <c r="B49" s="664"/>
      <c r="C49" s="664"/>
      <c r="D49" s="438" t="s">
        <v>341</v>
      </c>
      <c r="E49" s="1002"/>
      <c r="F49" s="494"/>
      <c r="G49" s="494"/>
      <c r="H49" s="679"/>
      <c r="I49"/>
      <c r="J49" s="664"/>
      <c r="K49" s="664"/>
      <c r="L49" s="664"/>
      <c r="M49" s="62"/>
      <c r="N49" s="449" t="s">
        <v>312</v>
      </c>
      <c r="O49" s="452"/>
      <c r="P49" s="62"/>
    </row>
    <row r="50" spans="1:16" customFormat="1" ht="13.5">
      <c r="F50" s="306"/>
      <c r="G50" s="306"/>
      <c r="H50" s="306"/>
      <c r="I50" s="306"/>
    </row>
    <row r="51" spans="1:16" s="49" customFormat="1" ht="15.75">
      <c r="A51" s="664"/>
      <c r="B51" s="163"/>
      <c r="C51" s="668"/>
      <c r="D51" s="163" t="s">
        <v>344</v>
      </c>
      <c r="E51" s="664"/>
      <c r="F51" s="675"/>
      <c r="G51" s="675"/>
      <c r="H51" s="675"/>
      <c r="I51" s="675"/>
      <c r="J51" s="664"/>
      <c r="K51" s="664"/>
      <c r="L51" s="676"/>
      <c r="M51" s="664"/>
      <c r="N51" s="62"/>
      <c r="O51" s="62"/>
      <c r="P51" s="62"/>
    </row>
    <row r="52" spans="1:16" s="49" customFormat="1" ht="16.5" thickBot="1">
      <c r="A52" s="664"/>
      <c r="B52" s="163"/>
      <c r="C52" s="668"/>
      <c r="D52" s="163" t="s">
        <v>345</v>
      </c>
      <c r="E52" s="664"/>
      <c r="F52" s="675"/>
      <c r="G52" s="675"/>
      <c r="H52" s="675"/>
      <c r="I52" s="459"/>
      <c r="J52" s="664"/>
      <c r="K52" s="664"/>
      <c r="L52" s="676"/>
      <c r="M52" s="664"/>
      <c r="N52" s="62"/>
      <c r="O52" s="62"/>
      <c r="P52" s="62"/>
    </row>
    <row r="53" spans="1:16" s="49" customFormat="1" ht="16.5" thickBot="1">
      <c r="A53" s="319"/>
      <c r="B53" s="664"/>
      <c r="C53" s="664"/>
      <c r="D53" s="434">
        <v>3</v>
      </c>
      <c r="E53" s="453" t="s">
        <v>1229</v>
      </c>
      <c r="F53" s="453"/>
      <c r="G53" s="453"/>
      <c r="H53" s="453"/>
      <c r="I53" s="453"/>
      <c r="J53" s="453"/>
      <c r="K53" s="453"/>
      <c r="L53" s="454"/>
      <c r="M53" s="62"/>
      <c r="N53" s="448" t="s">
        <v>336</v>
      </c>
      <c r="O53" s="448" t="s">
        <v>337</v>
      </c>
      <c r="P53" s="62"/>
    </row>
    <row r="54" spans="1:16" s="49" customFormat="1" ht="15.75">
      <c r="A54" s="319"/>
      <c r="B54" s="664"/>
      <c r="C54" s="664"/>
      <c r="D54" s="435" t="str">
        <f>IF(ROUNDDOWN(D53,0)=$N$2,$P$2,$O$2)</f>
        <v>　レベル　1</v>
      </c>
      <c r="E54" s="460" t="s">
        <v>346</v>
      </c>
      <c r="F54" s="500"/>
      <c r="G54" s="500"/>
      <c r="H54" s="500"/>
      <c r="I54" s="500"/>
      <c r="J54" s="500"/>
      <c r="K54" s="500"/>
      <c r="L54" s="508"/>
      <c r="M54" s="664"/>
      <c r="N54" s="449">
        <v>1</v>
      </c>
      <c r="O54" s="450"/>
      <c r="P54" s="62"/>
    </row>
    <row r="55" spans="1:16" s="49" customFormat="1" ht="15.75">
      <c r="A55" s="319"/>
      <c r="B55" s="664"/>
      <c r="C55" s="664"/>
      <c r="D55" s="436" t="str">
        <f>IF(ROUNDDOWN(D53,0)=$N$3,$P$3,$O$3)</f>
        <v>　レベル　2</v>
      </c>
      <c r="E55" s="463" t="s">
        <v>342</v>
      </c>
      <c r="F55" s="501"/>
      <c r="G55" s="501"/>
      <c r="H55" s="501"/>
      <c r="I55" s="501"/>
      <c r="J55" s="501"/>
      <c r="K55" s="501"/>
      <c r="L55" s="509"/>
      <c r="M55" s="62"/>
      <c r="N55" s="449" t="s">
        <v>312</v>
      </c>
      <c r="O55" s="450"/>
      <c r="P55" s="62"/>
    </row>
    <row r="56" spans="1:16" s="49" customFormat="1" ht="15.75">
      <c r="A56" s="319"/>
      <c r="B56" s="664"/>
      <c r="C56" s="664"/>
      <c r="D56" s="436" t="str">
        <f>IF(ROUNDDOWN(D53,0)=$N$4,$P$4,$O$4)</f>
        <v>■レベル　3</v>
      </c>
      <c r="E56" s="463" t="s">
        <v>347</v>
      </c>
      <c r="F56" s="501"/>
      <c r="G56" s="501"/>
      <c r="H56" s="501"/>
      <c r="I56" s="501"/>
      <c r="J56" s="501"/>
      <c r="K56" s="501"/>
      <c r="L56" s="509"/>
      <c r="M56" s="664"/>
      <c r="N56" s="449">
        <v>3</v>
      </c>
      <c r="O56" s="450"/>
      <c r="P56" s="62"/>
    </row>
    <row r="57" spans="1:16" s="49" customFormat="1" ht="15.75">
      <c r="A57" s="319"/>
      <c r="B57" s="664"/>
      <c r="C57" s="664"/>
      <c r="D57" s="436" t="str">
        <f>IF(ROUNDDOWN(D53,0)=$N$5,$P$5,$O$5)</f>
        <v>　レベル　4</v>
      </c>
      <c r="E57" s="466" t="s">
        <v>348</v>
      </c>
      <c r="F57" s="502"/>
      <c r="G57" s="502"/>
      <c r="H57" s="502"/>
      <c r="I57" s="502"/>
      <c r="J57" s="502"/>
      <c r="K57" s="502"/>
      <c r="L57" s="510"/>
      <c r="M57" s="62"/>
      <c r="N57" s="449">
        <v>4</v>
      </c>
      <c r="O57" s="450"/>
      <c r="P57" s="62"/>
    </row>
    <row r="58" spans="1:16" s="49" customFormat="1" ht="15.75">
      <c r="A58" s="319"/>
      <c r="B58" s="664"/>
      <c r="C58" s="664"/>
      <c r="D58" s="437" t="str">
        <f>IF(ROUNDDOWN(D53,0)=$N$6,$P$6,$O$6)</f>
        <v>　レベル　5</v>
      </c>
      <c r="E58" s="469" t="s">
        <v>349</v>
      </c>
      <c r="F58" s="480"/>
      <c r="G58" s="480"/>
      <c r="H58" s="480"/>
      <c r="I58" s="480"/>
      <c r="J58" s="480"/>
      <c r="K58" s="480"/>
      <c r="L58" s="511"/>
      <c r="M58" s="664"/>
      <c r="N58" s="449">
        <v>5</v>
      </c>
      <c r="O58" s="450"/>
      <c r="P58" s="62"/>
    </row>
    <row r="59" spans="1:16" ht="15.75">
      <c r="A59" s="62"/>
      <c r="B59" s="62"/>
      <c r="C59" s="120"/>
      <c r="D59" s="438" t="s">
        <v>341</v>
      </c>
      <c r="E59" s="1002"/>
      <c r="F59" s="494"/>
      <c r="G59" s="494"/>
      <c r="H59" s="679"/>
      <c r="I59"/>
      <c r="J59" s="664"/>
      <c r="K59" s="664"/>
      <c r="L59" s="664"/>
      <c r="M59" s="62"/>
      <c r="N59" s="449" t="s">
        <v>312</v>
      </c>
      <c r="O59" s="452"/>
      <c r="P59" s="62"/>
    </row>
    <row r="60" spans="1:16" s="49" customFormat="1" ht="16.5" thickBot="1">
      <c r="A60" s="664"/>
      <c r="B60" s="163"/>
      <c r="C60" s="668"/>
      <c r="D60" s="163" t="s">
        <v>350</v>
      </c>
      <c r="E60" s="664"/>
      <c r="F60" s="675"/>
      <c r="G60" s="675"/>
      <c r="H60" s="675"/>
      <c r="I60" s="459"/>
      <c r="J60" s="664"/>
      <c r="K60" s="664"/>
      <c r="L60" s="676"/>
      <c r="M60" s="664"/>
      <c r="N60" s="62"/>
      <c r="O60" s="62"/>
      <c r="P60" s="62"/>
    </row>
    <row r="61" spans="1:16" s="49" customFormat="1" ht="16.5" thickBot="1">
      <c r="A61" s="319"/>
      <c r="B61" s="664"/>
      <c r="C61" s="664"/>
      <c r="D61" s="434">
        <v>3</v>
      </c>
      <c r="E61" s="453" t="s">
        <v>1229</v>
      </c>
      <c r="F61" s="453"/>
      <c r="G61" s="453"/>
      <c r="H61" s="453"/>
      <c r="I61" s="453"/>
      <c r="J61" s="453"/>
      <c r="K61" s="453"/>
      <c r="L61" s="454"/>
      <c r="M61" s="62"/>
      <c r="N61" s="448" t="s">
        <v>336</v>
      </c>
      <c r="O61" s="448" t="s">
        <v>337</v>
      </c>
      <c r="P61" s="62"/>
    </row>
    <row r="62" spans="1:16" s="49" customFormat="1" ht="15.75">
      <c r="A62" s="319"/>
      <c r="B62" s="664"/>
      <c r="C62" s="664"/>
      <c r="D62" s="435" t="str">
        <f>IF(ROUNDDOWN(D61,0)=$N$2,$P$2,$O$2)</f>
        <v>　レベル　1</v>
      </c>
      <c r="E62" s="460" t="s">
        <v>351</v>
      </c>
      <c r="F62" s="500"/>
      <c r="G62" s="500"/>
      <c r="H62" s="500"/>
      <c r="I62" s="500"/>
      <c r="J62" s="500"/>
      <c r="K62" s="500"/>
      <c r="L62" s="508"/>
      <c r="M62" s="664"/>
      <c r="N62" s="449">
        <v>1</v>
      </c>
      <c r="O62" s="450"/>
      <c r="P62" s="62"/>
    </row>
    <row r="63" spans="1:16" s="49" customFormat="1" ht="15.75">
      <c r="A63" s="319"/>
      <c r="B63" s="664"/>
      <c r="C63" s="664"/>
      <c r="D63" s="436" t="str">
        <f>IF(ROUNDDOWN(D61,0)=$N$3,$P$3,$O$3)</f>
        <v>　レベル　2</v>
      </c>
      <c r="E63" s="463" t="s">
        <v>342</v>
      </c>
      <c r="F63" s="501"/>
      <c r="G63" s="501"/>
      <c r="H63" s="501"/>
      <c r="I63" s="501"/>
      <c r="J63" s="501"/>
      <c r="K63" s="501"/>
      <c r="L63" s="509"/>
      <c r="M63" s="62"/>
      <c r="N63" s="449" t="s">
        <v>312</v>
      </c>
      <c r="O63" s="450"/>
      <c r="P63" s="62"/>
    </row>
    <row r="64" spans="1:16" s="49" customFormat="1" ht="15.75">
      <c r="A64" s="319"/>
      <c r="B64" s="664"/>
      <c r="C64" s="664"/>
      <c r="D64" s="436" t="str">
        <f>IF(ROUNDDOWN(D61,0)=$N$4,$P$4,$O$4)</f>
        <v>■レベル　3</v>
      </c>
      <c r="E64" s="463" t="s">
        <v>352</v>
      </c>
      <c r="F64" s="501"/>
      <c r="G64" s="501"/>
      <c r="H64" s="501"/>
      <c r="I64" s="501"/>
      <c r="J64" s="501"/>
      <c r="K64" s="501"/>
      <c r="L64" s="509"/>
      <c r="M64" s="664"/>
      <c r="N64" s="449">
        <v>3</v>
      </c>
      <c r="O64" s="450"/>
      <c r="P64" s="62"/>
    </row>
    <row r="65" spans="1:16" s="49" customFormat="1" ht="15.75">
      <c r="A65" s="319"/>
      <c r="B65" s="664"/>
      <c r="C65" s="664"/>
      <c r="D65" s="436" t="str">
        <f>IF(ROUNDDOWN(D61,0)=$N$5,$P$5,$O$5)</f>
        <v>　レベル　4</v>
      </c>
      <c r="E65" s="466" t="s">
        <v>353</v>
      </c>
      <c r="F65" s="502"/>
      <c r="G65" s="502"/>
      <c r="H65" s="502"/>
      <c r="I65" s="502"/>
      <c r="J65" s="502"/>
      <c r="K65" s="502"/>
      <c r="L65" s="510"/>
      <c r="M65" s="62"/>
      <c r="N65" s="449">
        <v>4</v>
      </c>
      <c r="O65" s="450"/>
      <c r="P65" s="62"/>
    </row>
    <row r="66" spans="1:16" s="49" customFormat="1" ht="15.75">
      <c r="A66" s="319"/>
      <c r="B66" s="664"/>
      <c r="C66" s="664"/>
      <c r="D66" s="437" t="str">
        <f>IF(ROUNDDOWN(D61,0)=$N$6,$P$6,$O$6)</f>
        <v>　レベル　5</v>
      </c>
      <c r="E66" s="469" t="s">
        <v>354</v>
      </c>
      <c r="F66" s="480"/>
      <c r="G66" s="480"/>
      <c r="H66" s="480"/>
      <c r="I66" s="480"/>
      <c r="J66" s="480"/>
      <c r="K66" s="480"/>
      <c r="L66" s="511"/>
      <c r="M66" s="664"/>
      <c r="N66" s="449">
        <v>5</v>
      </c>
      <c r="O66" s="450"/>
      <c r="P66" s="62"/>
    </row>
    <row r="67" spans="1:16" ht="15.75">
      <c r="A67" s="62"/>
      <c r="B67" s="62"/>
      <c r="C67" s="120"/>
      <c r="D67" s="438" t="s">
        <v>341</v>
      </c>
      <c r="E67" s="1002"/>
      <c r="F67" s="494"/>
      <c r="G67" s="494"/>
      <c r="H67" s="679"/>
      <c r="I67"/>
      <c r="J67" s="664"/>
      <c r="K67" s="664"/>
      <c r="L67" s="664"/>
      <c r="M67" s="62"/>
      <c r="N67" s="449" t="s">
        <v>312</v>
      </c>
      <c r="O67" s="452"/>
      <c r="P67" s="62"/>
    </row>
    <row r="68" spans="1:16" s="49" customFormat="1" ht="16.5" thickBot="1">
      <c r="A68" s="664"/>
      <c r="B68" s="163"/>
      <c r="C68" s="668"/>
      <c r="D68" s="163" t="s">
        <v>355</v>
      </c>
      <c r="E68" s="664"/>
      <c r="F68" s="675"/>
      <c r="G68" s="675"/>
      <c r="H68" s="675"/>
      <c r="I68" s="459"/>
      <c r="J68" s="664"/>
      <c r="K68" s="664"/>
      <c r="L68" s="676"/>
      <c r="M68" s="664"/>
      <c r="N68" s="62"/>
      <c r="O68" s="62"/>
      <c r="P68" s="62"/>
    </row>
    <row r="69" spans="1:16" s="49" customFormat="1" ht="16.5" thickBot="1">
      <c r="A69" s="319"/>
      <c r="B69" s="664"/>
      <c r="C69" s="664"/>
      <c r="D69" s="434">
        <v>3</v>
      </c>
      <c r="E69" s="453" t="s">
        <v>1229</v>
      </c>
      <c r="F69" s="453"/>
      <c r="G69" s="453"/>
      <c r="H69" s="453"/>
      <c r="I69" s="453"/>
      <c r="J69" s="453"/>
      <c r="K69" s="453"/>
      <c r="L69" s="454"/>
      <c r="M69" s="62"/>
      <c r="N69" s="448" t="s">
        <v>336</v>
      </c>
      <c r="O69" s="448" t="s">
        <v>337</v>
      </c>
      <c r="P69" s="62"/>
    </row>
    <row r="70" spans="1:16" s="49" customFormat="1" ht="15.75">
      <c r="A70" s="319"/>
      <c r="B70" s="664"/>
      <c r="C70" s="664"/>
      <c r="D70" s="435" t="str">
        <f>IF(ROUNDDOWN(D69,0)=$N$2,$P$2,$O$2)</f>
        <v>　レベル　1</v>
      </c>
      <c r="E70" s="460" t="s">
        <v>356</v>
      </c>
      <c r="F70" s="500"/>
      <c r="G70" s="500"/>
      <c r="H70" s="500"/>
      <c r="I70" s="500"/>
      <c r="J70" s="500"/>
      <c r="K70" s="500"/>
      <c r="L70" s="508"/>
      <c r="M70" s="664"/>
      <c r="N70" s="449">
        <v>1</v>
      </c>
      <c r="O70" s="450"/>
      <c r="P70" s="62"/>
    </row>
    <row r="71" spans="1:16" s="49" customFormat="1" ht="15.75">
      <c r="A71" s="319"/>
      <c r="B71" s="664"/>
      <c r="C71" s="664"/>
      <c r="D71" s="436" t="str">
        <f>IF(ROUNDDOWN(D69,0)=$N$3,$P$3,$O$3)</f>
        <v>　レベル　2</v>
      </c>
      <c r="E71" s="463" t="s">
        <v>357</v>
      </c>
      <c r="F71" s="501"/>
      <c r="G71" s="501"/>
      <c r="H71" s="501"/>
      <c r="I71" s="501"/>
      <c r="J71" s="501"/>
      <c r="K71" s="501"/>
      <c r="L71" s="509"/>
      <c r="M71" s="62"/>
      <c r="N71" s="449">
        <v>2</v>
      </c>
      <c r="O71" s="450"/>
      <c r="P71" s="62"/>
    </row>
    <row r="72" spans="1:16" s="49" customFormat="1" ht="15.75">
      <c r="A72" s="319"/>
      <c r="B72" s="664"/>
      <c r="C72" s="664"/>
      <c r="D72" s="436" t="str">
        <f>IF(ROUNDDOWN(D69,0)=$N$4,$P$4,$O$4)</f>
        <v>■レベル　3</v>
      </c>
      <c r="E72" s="463" t="s">
        <v>358</v>
      </c>
      <c r="F72" s="501"/>
      <c r="G72" s="501"/>
      <c r="H72" s="501"/>
      <c r="I72" s="501"/>
      <c r="J72" s="501"/>
      <c r="K72" s="501"/>
      <c r="L72" s="509"/>
      <c r="M72" s="664"/>
      <c r="N72" s="449">
        <v>3</v>
      </c>
      <c r="O72" s="450"/>
      <c r="P72" s="62"/>
    </row>
    <row r="73" spans="1:16" s="49" customFormat="1" ht="15.75">
      <c r="A73" s="319"/>
      <c r="B73" s="664"/>
      <c r="C73" s="664"/>
      <c r="D73" s="436" t="str">
        <f>IF(ROUNDDOWN(D69,0)=$N$5,$P$5,$O$5)</f>
        <v>　レベル　4</v>
      </c>
      <c r="E73" s="466" t="s">
        <v>359</v>
      </c>
      <c r="F73" s="502"/>
      <c r="G73" s="502"/>
      <c r="H73" s="502"/>
      <c r="I73" s="502"/>
      <c r="J73" s="502"/>
      <c r="K73" s="502"/>
      <c r="L73" s="510"/>
      <c r="M73" s="62"/>
      <c r="N73" s="449">
        <v>4</v>
      </c>
      <c r="O73" s="450"/>
      <c r="P73" s="62"/>
    </row>
    <row r="74" spans="1:16" s="49" customFormat="1" ht="15.75">
      <c r="A74" s="319"/>
      <c r="B74" s="664"/>
      <c r="C74" s="664"/>
      <c r="D74" s="437" t="str">
        <f>IF(ROUNDDOWN(D69,0)=$N$6,$P$6,$O$6)</f>
        <v>　レベル　5</v>
      </c>
      <c r="E74" s="469" t="s">
        <v>360</v>
      </c>
      <c r="F74" s="480"/>
      <c r="G74" s="480"/>
      <c r="H74" s="480"/>
      <c r="I74" s="480"/>
      <c r="J74" s="480"/>
      <c r="K74" s="480"/>
      <c r="L74" s="511"/>
      <c r="M74" s="664"/>
      <c r="N74" s="449">
        <v>5</v>
      </c>
      <c r="O74" s="450"/>
      <c r="P74" s="62"/>
    </row>
    <row r="75" spans="1:16" ht="15.75">
      <c r="A75" s="62"/>
      <c r="B75" s="62"/>
      <c r="C75" s="120"/>
      <c r="D75" s="438" t="s">
        <v>341</v>
      </c>
      <c r="E75" s="1002"/>
      <c r="F75" s="494"/>
      <c r="G75" s="494"/>
      <c r="H75" s="679"/>
      <c r="I75"/>
      <c r="J75" s="664"/>
      <c r="K75" s="664"/>
      <c r="L75" s="664"/>
      <c r="M75" s="62"/>
      <c r="N75" s="449" t="s">
        <v>312</v>
      </c>
      <c r="O75" s="452"/>
      <c r="P75" s="62"/>
    </row>
    <row r="76" spans="1:16" customFormat="1" ht="13.5">
      <c r="F76" s="306"/>
      <c r="G76" s="306"/>
      <c r="H76" s="306"/>
      <c r="I76" s="306"/>
    </row>
    <row r="77" spans="1:16" s="49" customFormat="1" ht="15.75">
      <c r="A77" s="664"/>
      <c r="B77" s="163"/>
      <c r="C77" s="668"/>
      <c r="D77" s="163" t="s">
        <v>361</v>
      </c>
      <c r="E77" s="664"/>
      <c r="F77" s="675"/>
      <c r="G77" s="675"/>
      <c r="H77" s="675"/>
      <c r="I77" s="675"/>
      <c r="J77" s="664"/>
      <c r="K77" s="664"/>
      <c r="L77" s="676"/>
      <c r="M77" s="664"/>
      <c r="N77" s="62"/>
      <c r="O77" s="62"/>
      <c r="P77" s="62"/>
    </row>
    <row r="78" spans="1:16" s="49" customFormat="1" ht="16.5" thickBot="1">
      <c r="A78" s="664"/>
      <c r="B78" s="163"/>
      <c r="C78" s="668"/>
      <c r="D78" s="163" t="s">
        <v>362</v>
      </c>
      <c r="E78" s="664"/>
      <c r="F78" s="675"/>
      <c r="G78" s="675"/>
      <c r="H78" s="675"/>
      <c r="I78" s="459"/>
      <c r="J78" s="664"/>
      <c r="K78" s="664"/>
      <c r="L78" s="676"/>
      <c r="M78" s="664"/>
      <c r="N78" s="62"/>
      <c r="O78" s="62"/>
      <c r="P78" s="62"/>
    </row>
    <row r="79" spans="1:16" s="49" customFormat="1" ht="16.5" thickBot="1">
      <c r="A79" s="319"/>
      <c r="B79" s="664"/>
      <c r="C79" s="664"/>
      <c r="D79" s="434">
        <v>3</v>
      </c>
      <c r="E79" s="453" t="s">
        <v>1229</v>
      </c>
      <c r="F79" s="453"/>
      <c r="G79" s="453"/>
      <c r="H79" s="453"/>
      <c r="I79" s="453"/>
      <c r="J79" s="453"/>
      <c r="K79" s="453"/>
      <c r="L79" s="454"/>
      <c r="M79" s="62"/>
      <c r="N79" s="448" t="s">
        <v>336</v>
      </c>
      <c r="O79" s="448" t="s">
        <v>337</v>
      </c>
      <c r="P79" s="62"/>
    </row>
    <row r="80" spans="1:16" s="49" customFormat="1" ht="15.75">
      <c r="A80" s="319"/>
      <c r="B80" s="664"/>
      <c r="C80" s="664"/>
      <c r="D80" s="435" t="str">
        <f>IF(ROUNDDOWN(D79,0)=$N$2,$P$2,$O$2)</f>
        <v>　レベル　1</v>
      </c>
      <c r="E80" s="460" t="s">
        <v>363</v>
      </c>
      <c r="F80" s="500"/>
      <c r="G80" s="500"/>
      <c r="H80" s="500"/>
      <c r="I80" s="500"/>
      <c r="J80" s="500"/>
      <c r="K80" s="500"/>
      <c r="L80" s="508"/>
      <c r="M80" s="664"/>
      <c r="N80" s="449">
        <v>1</v>
      </c>
      <c r="O80" s="450"/>
      <c r="P80" s="62"/>
    </row>
    <row r="81" spans="1:16" s="49" customFormat="1" ht="15.75">
      <c r="A81" s="319"/>
      <c r="B81" s="664"/>
      <c r="C81" s="664"/>
      <c r="D81" s="436" t="str">
        <f>IF(ROUNDDOWN(D79,0)=$N$3,$P$3,$O$3)</f>
        <v>　レベル　2</v>
      </c>
      <c r="E81" s="463" t="s">
        <v>342</v>
      </c>
      <c r="F81" s="501"/>
      <c r="G81" s="501"/>
      <c r="H81" s="501"/>
      <c r="I81" s="501"/>
      <c r="J81" s="501"/>
      <c r="K81" s="501"/>
      <c r="L81" s="509"/>
      <c r="M81" s="62"/>
      <c r="N81" s="449" t="s">
        <v>312</v>
      </c>
      <c r="O81" s="450"/>
      <c r="P81" s="62"/>
    </row>
    <row r="82" spans="1:16" s="49" customFormat="1" ht="15.75">
      <c r="A82" s="319"/>
      <c r="B82" s="664"/>
      <c r="C82" s="664"/>
      <c r="D82" s="436" t="str">
        <f>IF(ROUNDDOWN(D79,0)=$N$4,$P$4,$O$4)</f>
        <v>■レベル　3</v>
      </c>
      <c r="E82" s="463" t="s">
        <v>364</v>
      </c>
      <c r="F82" s="501"/>
      <c r="G82" s="501"/>
      <c r="H82" s="501"/>
      <c r="I82" s="501"/>
      <c r="J82" s="501"/>
      <c r="K82" s="501"/>
      <c r="L82" s="509"/>
      <c r="M82" s="664"/>
      <c r="N82" s="449">
        <v>3</v>
      </c>
      <c r="O82" s="450"/>
      <c r="P82" s="62"/>
    </row>
    <row r="83" spans="1:16" s="49" customFormat="1" ht="15.75">
      <c r="A83" s="319"/>
      <c r="B83" s="664"/>
      <c r="C83" s="664"/>
      <c r="D83" s="436" t="str">
        <f>IF(ROUNDDOWN(D79,0)=$N$5,$P$5,$O$5)</f>
        <v>　レベル　4</v>
      </c>
      <c r="E83" s="466" t="s">
        <v>365</v>
      </c>
      <c r="F83" s="502"/>
      <c r="G83" s="502"/>
      <c r="H83" s="502"/>
      <c r="I83" s="502"/>
      <c r="J83" s="502"/>
      <c r="K83" s="502"/>
      <c r="L83" s="510"/>
      <c r="M83" s="62"/>
      <c r="N83" s="449">
        <v>4</v>
      </c>
      <c r="O83" s="450"/>
      <c r="P83" s="62"/>
    </row>
    <row r="84" spans="1:16" s="49" customFormat="1" ht="15.75">
      <c r="A84" s="319"/>
      <c r="B84" s="664"/>
      <c r="C84" s="664"/>
      <c r="D84" s="437" t="str">
        <f>IF(ROUNDDOWN(D79,0)=$N$6,$P$6,$O$6)</f>
        <v>　レベル　5</v>
      </c>
      <c r="E84" s="469" t="s">
        <v>366</v>
      </c>
      <c r="F84" s="480"/>
      <c r="G84" s="480"/>
      <c r="H84" s="480"/>
      <c r="I84" s="480"/>
      <c r="J84" s="480"/>
      <c r="K84" s="480"/>
      <c r="L84" s="511"/>
      <c r="M84" s="664"/>
      <c r="N84" s="449">
        <v>5</v>
      </c>
      <c r="O84" s="450"/>
      <c r="P84" s="62"/>
    </row>
    <row r="85" spans="1:16" ht="15.75">
      <c r="A85" s="62"/>
      <c r="B85" s="62"/>
      <c r="C85" s="120"/>
      <c r="D85" s="438" t="s">
        <v>341</v>
      </c>
      <c r="E85" s="1002"/>
      <c r="F85" s="494"/>
      <c r="G85" s="494"/>
      <c r="H85" s="679"/>
      <c r="I85"/>
      <c r="J85" s="664"/>
      <c r="K85" s="664"/>
      <c r="L85" s="664"/>
      <c r="M85" s="62"/>
      <c r="N85" s="449" t="s">
        <v>312</v>
      </c>
      <c r="O85" s="452"/>
      <c r="P85" s="62"/>
    </row>
    <row r="86" spans="1:16" s="49" customFormat="1" ht="16.5" thickBot="1">
      <c r="A86" s="664"/>
      <c r="B86" s="163"/>
      <c r="C86" s="668"/>
      <c r="D86" s="163" t="s">
        <v>367</v>
      </c>
      <c r="E86" s="664"/>
      <c r="F86" s="675"/>
      <c r="G86" s="675"/>
      <c r="H86" s="675"/>
      <c r="I86" s="459"/>
      <c r="J86" s="664"/>
      <c r="K86" s="664"/>
      <c r="L86" s="676"/>
      <c r="M86" s="664"/>
      <c r="N86" s="62"/>
      <c r="O86" s="62"/>
      <c r="P86" s="62"/>
    </row>
    <row r="87" spans="1:16" s="49" customFormat="1" ht="16.5" thickBot="1">
      <c r="A87" s="319"/>
      <c r="B87" s="664"/>
      <c r="C87" s="664"/>
      <c r="D87" s="434">
        <v>3</v>
      </c>
      <c r="E87" s="453" t="s">
        <v>1229</v>
      </c>
      <c r="F87" s="453"/>
      <c r="G87" s="453"/>
      <c r="H87" s="453"/>
      <c r="I87" s="453"/>
      <c r="J87" s="453"/>
      <c r="K87" s="453"/>
      <c r="L87" s="454"/>
      <c r="M87" s="62"/>
      <c r="N87" s="448" t="s">
        <v>336</v>
      </c>
      <c r="O87" s="448" t="s">
        <v>337</v>
      </c>
      <c r="P87" s="62"/>
    </row>
    <row r="88" spans="1:16" s="49" customFormat="1" ht="15.75">
      <c r="A88" s="319"/>
      <c r="B88" s="664"/>
      <c r="C88" s="664"/>
      <c r="D88" s="435" t="str">
        <f>IF(ROUNDDOWN(D87,0)=$N$2,$P$2,$O$2)</f>
        <v>　レベル　1</v>
      </c>
      <c r="E88" s="460" t="s">
        <v>363</v>
      </c>
      <c r="F88" s="500"/>
      <c r="G88" s="500"/>
      <c r="H88" s="500"/>
      <c r="I88" s="500"/>
      <c r="J88" s="500"/>
      <c r="K88" s="500"/>
      <c r="L88" s="508"/>
      <c r="M88" s="664"/>
      <c r="N88" s="449">
        <v>1</v>
      </c>
      <c r="O88" s="450"/>
      <c r="P88" s="62"/>
    </row>
    <row r="89" spans="1:16" s="49" customFormat="1" ht="15.75">
      <c r="A89" s="319"/>
      <c r="B89" s="664"/>
      <c r="C89" s="664"/>
      <c r="D89" s="436" t="str">
        <f>IF(ROUNDDOWN(D87,0)=$N$3,$P$3,$O$3)</f>
        <v>　レベル　2</v>
      </c>
      <c r="E89" s="463" t="s">
        <v>342</v>
      </c>
      <c r="F89" s="501"/>
      <c r="G89" s="501"/>
      <c r="H89" s="501"/>
      <c r="I89" s="501"/>
      <c r="J89" s="501"/>
      <c r="K89" s="501"/>
      <c r="L89" s="509"/>
      <c r="M89" s="62"/>
      <c r="N89" s="449" t="s">
        <v>312</v>
      </c>
      <c r="O89" s="450"/>
      <c r="P89" s="62"/>
    </row>
    <row r="90" spans="1:16" s="49" customFormat="1" ht="15.75">
      <c r="A90" s="319"/>
      <c r="B90" s="664"/>
      <c r="C90" s="664"/>
      <c r="D90" s="436" t="str">
        <f>IF(ROUNDDOWN(D87,0)=$N$4,$P$4,$O$4)</f>
        <v>■レベル　3</v>
      </c>
      <c r="E90" s="463" t="s">
        <v>364</v>
      </c>
      <c r="F90" s="501"/>
      <c r="G90" s="501"/>
      <c r="H90" s="501"/>
      <c r="I90" s="501"/>
      <c r="J90" s="501"/>
      <c r="K90" s="501"/>
      <c r="L90" s="509"/>
      <c r="M90" s="664"/>
      <c r="N90" s="449">
        <v>3</v>
      </c>
      <c r="O90" s="450"/>
      <c r="P90" s="62"/>
    </row>
    <row r="91" spans="1:16" s="49" customFormat="1" ht="15.75">
      <c r="A91" s="319"/>
      <c r="B91" s="664"/>
      <c r="C91" s="664"/>
      <c r="D91" s="436" t="str">
        <f>IF(ROUNDDOWN(D87,0)=$N$5,$P$5,$O$5)</f>
        <v>　レベル　4</v>
      </c>
      <c r="E91" s="466" t="s">
        <v>368</v>
      </c>
      <c r="F91" s="502"/>
      <c r="G91" s="502"/>
      <c r="H91" s="502"/>
      <c r="I91" s="502"/>
      <c r="J91" s="502"/>
      <c r="K91" s="502"/>
      <c r="L91" s="510"/>
      <c r="M91" s="62"/>
      <c r="N91" s="449">
        <v>4</v>
      </c>
      <c r="O91" s="450"/>
      <c r="P91" s="62"/>
    </row>
    <row r="92" spans="1:16" s="49" customFormat="1" ht="15.75">
      <c r="A92" s="319"/>
      <c r="B92" s="664"/>
      <c r="C92" s="664"/>
      <c r="D92" s="437" t="str">
        <f>IF(ROUNDDOWN(D87,0)=$N$6,$P$6,$O$6)</f>
        <v>　レベル　5</v>
      </c>
      <c r="E92" s="469" t="s">
        <v>369</v>
      </c>
      <c r="F92" s="480"/>
      <c r="G92" s="480"/>
      <c r="H92" s="480"/>
      <c r="I92" s="480"/>
      <c r="J92" s="480"/>
      <c r="K92" s="480"/>
      <c r="L92" s="511"/>
      <c r="M92" s="664"/>
      <c r="N92" s="449">
        <v>5</v>
      </c>
      <c r="O92" s="450"/>
      <c r="P92" s="62"/>
    </row>
    <row r="93" spans="1:16" ht="15.75">
      <c r="A93" s="62"/>
      <c r="B93" s="62"/>
      <c r="C93" s="120"/>
      <c r="D93" s="438" t="s">
        <v>341</v>
      </c>
      <c r="E93" s="1002"/>
      <c r="F93" s="494"/>
      <c r="G93" s="494"/>
      <c r="H93" s="679"/>
      <c r="I93"/>
      <c r="J93" s="664"/>
      <c r="K93" s="664"/>
      <c r="L93" s="664"/>
      <c r="M93" s="62"/>
      <c r="N93" s="449" t="s">
        <v>312</v>
      </c>
      <c r="O93" s="452"/>
      <c r="P93" s="62"/>
    </row>
    <row r="94" spans="1:16" customFormat="1" ht="13.5">
      <c r="F94" s="306"/>
      <c r="G94" s="306"/>
      <c r="H94" s="306"/>
      <c r="I94" s="306"/>
    </row>
    <row r="95" spans="1:16" s="49" customFormat="1" ht="16.5" thickBot="1">
      <c r="A95" s="664"/>
      <c r="B95" s="163"/>
      <c r="C95" s="668"/>
      <c r="D95" s="163" t="s">
        <v>370</v>
      </c>
      <c r="E95" s="664"/>
      <c r="F95" s="675"/>
      <c r="G95" s="675"/>
      <c r="H95" s="675"/>
      <c r="I95" s="459"/>
      <c r="J95" s="664"/>
      <c r="K95" s="664"/>
      <c r="L95" s="676"/>
      <c r="M95" s="664"/>
      <c r="N95" s="62"/>
      <c r="O95" s="62"/>
      <c r="P95" s="62"/>
    </row>
    <row r="96" spans="1:16" s="49" customFormat="1" ht="16.5" thickBot="1">
      <c r="A96" s="319"/>
      <c r="B96" s="664"/>
      <c r="C96" s="664"/>
      <c r="D96" s="434">
        <v>3</v>
      </c>
      <c r="E96" s="453" t="s">
        <v>1229</v>
      </c>
      <c r="F96" s="453"/>
      <c r="G96" s="453"/>
      <c r="H96" s="453"/>
      <c r="I96" s="453"/>
      <c r="J96" s="453"/>
      <c r="K96" s="453"/>
      <c r="L96" s="454"/>
      <c r="M96" s="62"/>
      <c r="N96" s="448" t="s">
        <v>336</v>
      </c>
      <c r="O96" s="448" t="s">
        <v>337</v>
      </c>
      <c r="P96" s="62"/>
    </row>
    <row r="97" spans="1:16" s="49" customFormat="1" ht="15.75">
      <c r="A97" s="319"/>
      <c r="B97" s="664"/>
      <c r="C97" s="664"/>
      <c r="D97" s="435" t="str">
        <f>IF(ROUNDDOWN(D96,0)=$N$2,$P$2,$O$2)</f>
        <v>　レベル　1</v>
      </c>
      <c r="E97" s="460" t="s">
        <v>371</v>
      </c>
      <c r="F97" s="500"/>
      <c r="G97" s="500"/>
      <c r="H97" s="500"/>
      <c r="I97" s="500"/>
      <c r="J97" s="500"/>
      <c r="K97" s="500"/>
      <c r="L97" s="508"/>
      <c r="M97" s="664"/>
      <c r="N97" s="449">
        <v>1</v>
      </c>
      <c r="O97" s="450"/>
      <c r="P97" s="62"/>
    </row>
    <row r="98" spans="1:16" s="49" customFormat="1" ht="15.75">
      <c r="A98" s="319"/>
      <c r="B98" s="664"/>
      <c r="C98" s="664"/>
      <c r="D98" s="436" t="str">
        <f>IF(ROUNDDOWN(D96,0)=$N$3,$P$3,$O$3)</f>
        <v>　レベル　2</v>
      </c>
      <c r="E98" s="463" t="s">
        <v>342</v>
      </c>
      <c r="F98" s="501"/>
      <c r="G98" s="501"/>
      <c r="H98" s="501"/>
      <c r="I98" s="501"/>
      <c r="J98" s="501"/>
      <c r="K98" s="501"/>
      <c r="L98" s="509"/>
      <c r="M98" s="62"/>
      <c r="N98" s="449" t="s">
        <v>312</v>
      </c>
      <c r="O98" s="450"/>
      <c r="P98" s="62"/>
    </row>
    <row r="99" spans="1:16" s="49" customFormat="1" ht="15.75">
      <c r="A99" s="319"/>
      <c r="B99" s="664"/>
      <c r="C99" s="664"/>
      <c r="D99" s="436" t="str">
        <f>IF(ROUNDDOWN(D96,0)=$N$4,$P$4,$O$4)</f>
        <v>■レベル　3</v>
      </c>
      <c r="E99" s="463" t="s">
        <v>372</v>
      </c>
      <c r="F99" s="501"/>
      <c r="G99" s="501"/>
      <c r="H99" s="501"/>
      <c r="I99" s="501"/>
      <c r="J99" s="501"/>
      <c r="K99" s="501"/>
      <c r="L99" s="509"/>
      <c r="M99" s="664"/>
      <c r="N99" s="449">
        <v>3</v>
      </c>
      <c r="O99" s="450"/>
      <c r="P99" s="62"/>
    </row>
    <row r="100" spans="1:16" s="49" customFormat="1" ht="15.75">
      <c r="A100" s="319"/>
      <c r="B100" s="664"/>
      <c r="C100" s="664"/>
      <c r="D100" s="436" t="str">
        <f>IF(ROUNDDOWN(D96,0)=$N$5,$P$5,$O$5)</f>
        <v>　レベル　4</v>
      </c>
      <c r="E100" s="466" t="s">
        <v>342</v>
      </c>
      <c r="F100" s="502"/>
      <c r="G100" s="502"/>
      <c r="H100" s="502"/>
      <c r="I100" s="502"/>
      <c r="J100" s="502"/>
      <c r="K100" s="502"/>
      <c r="L100" s="510"/>
      <c r="M100" s="62"/>
      <c r="N100" s="449" t="s">
        <v>312</v>
      </c>
      <c r="O100" s="450"/>
      <c r="P100" s="62"/>
    </row>
    <row r="101" spans="1:16" s="49" customFormat="1" ht="15.75">
      <c r="A101" s="319"/>
      <c r="B101" s="664"/>
      <c r="C101" s="664"/>
      <c r="D101" s="437" t="str">
        <f>IF(ROUNDDOWN(D96,0)=$N$6,$P$6,$O$6)</f>
        <v>　レベル　5</v>
      </c>
      <c r="E101" s="469" t="s">
        <v>373</v>
      </c>
      <c r="F101" s="480"/>
      <c r="G101" s="480"/>
      <c r="H101" s="480"/>
      <c r="I101" s="480"/>
      <c r="J101" s="480"/>
      <c r="K101" s="480"/>
      <c r="L101" s="511"/>
      <c r="M101" s="664"/>
      <c r="N101" s="449">
        <v>5</v>
      </c>
      <c r="O101" s="450"/>
      <c r="P101" s="62"/>
    </row>
    <row r="102" spans="1:16" s="49" customFormat="1" ht="15.75">
      <c r="A102" s="319"/>
      <c r="B102" s="664"/>
      <c r="C102" s="664"/>
      <c r="D102" s="438" t="s">
        <v>341</v>
      </c>
      <c r="E102" s="1002"/>
      <c r="F102" s="494"/>
      <c r="G102" s="494"/>
      <c r="H102" s="679"/>
      <c r="I102"/>
      <c r="J102" s="664"/>
      <c r="K102" s="664"/>
      <c r="L102" s="664"/>
      <c r="M102" s="62"/>
      <c r="N102" s="449" t="s">
        <v>312</v>
      </c>
      <c r="O102" s="452"/>
      <c r="P102" s="62"/>
    </row>
    <row r="103" spans="1:16" customFormat="1" ht="13.5">
      <c r="F103" s="306"/>
      <c r="G103" s="306"/>
      <c r="H103" s="306"/>
      <c r="I103" s="306"/>
    </row>
    <row r="104" spans="1:16" s="50" customFormat="1" ht="15.75">
      <c r="A104" s="120"/>
      <c r="B104" s="666" t="s">
        <v>374</v>
      </c>
      <c r="C104" s="666"/>
      <c r="D104" s="672"/>
      <c r="E104" s="120"/>
      <c r="F104" s="80"/>
      <c r="G104" s="80"/>
      <c r="H104" s="678"/>
      <c r="I104" s="80"/>
      <c r="J104" s="62"/>
      <c r="K104" s="62"/>
      <c r="L104" s="62"/>
      <c r="M104" s="62"/>
      <c r="N104" s="62"/>
      <c r="O104" s="62"/>
      <c r="P104" s="62"/>
    </row>
    <row r="105" spans="1:16" s="50" customFormat="1" ht="15.75">
      <c r="A105" s="120"/>
      <c r="B105" s="120"/>
      <c r="C105" s="666" t="s">
        <v>740</v>
      </c>
      <c r="D105" s="672"/>
      <c r="E105" s="120"/>
      <c r="F105" s="80"/>
      <c r="G105" s="80"/>
      <c r="H105" s="678"/>
      <c r="I105" s="80"/>
      <c r="J105" s="62"/>
      <c r="K105" s="62"/>
      <c r="L105" s="62"/>
      <c r="M105" s="62"/>
      <c r="N105" s="62"/>
      <c r="O105" s="62"/>
      <c r="P105" s="62"/>
    </row>
    <row r="106" spans="1:16" s="49" customFormat="1" ht="16.5" thickBot="1">
      <c r="A106" s="664"/>
      <c r="B106" s="163"/>
      <c r="C106" s="668"/>
      <c r="D106" s="163" t="s">
        <v>741</v>
      </c>
      <c r="E106" s="664"/>
      <c r="F106" s="675"/>
      <c r="G106" s="675"/>
      <c r="H106" s="675"/>
      <c r="I106" s="459"/>
      <c r="J106" s="664"/>
      <c r="K106" s="664"/>
      <c r="L106" s="676"/>
      <c r="M106" s="664"/>
      <c r="N106" s="62"/>
      <c r="O106" s="62"/>
      <c r="P106" s="62"/>
    </row>
    <row r="107" spans="1:16" s="49" customFormat="1" ht="16.5" thickBot="1">
      <c r="A107" s="319"/>
      <c r="B107" s="664"/>
      <c r="C107" s="664"/>
      <c r="D107" s="434">
        <v>3</v>
      </c>
      <c r="E107" s="453" t="s">
        <v>1229</v>
      </c>
      <c r="F107" s="453"/>
      <c r="G107" s="453"/>
      <c r="H107" s="453"/>
      <c r="I107" s="453"/>
      <c r="J107" s="453"/>
      <c r="K107" s="453"/>
      <c r="L107" s="454"/>
      <c r="M107" s="62"/>
      <c r="N107" s="448" t="s">
        <v>336</v>
      </c>
      <c r="O107" s="448" t="s">
        <v>337</v>
      </c>
      <c r="P107" s="62"/>
    </row>
    <row r="108" spans="1:16" s="49" customFormat="1" ht="15.75">
      <c r="A108" s="319"/>
      <c r="B108" s="664"/>
      <c r="C108" s="664"/>
      <c r="D108" s="435" t="str">
        <f>IF(ROUNDDOWN(D107,0)=$N$2,$P$2,$O$2)</f>
        <v>　レベル　1</v>
      </c>
      <c r="E108" s="460" t="s">
        <v>1260</v>
      </c>
      <c r="F108" s="500"/>
      <c r="G108" s="500"/>
      <c r="H108" s="500"/>
      <c r="I108" s="500"/>
      <c r="J108" s="500"/>
      <c r="K108" s="500"/>
      <c r="L108" s="508"/>
      <c r="M108" s="664"/>
      <c r="N108" s="449">
        <v>1</v>
      </c>
      <c r="O108" s="450"/>
      <c r="P108" s="62"/>
    </row>
    <row r="109" spans="1:16" s="49" customFormat="1" ht="15.75">
      <c r="A109" s="319"/>
      <c r="B109" s="664"/>
      <c r="C109" s="664"/>
      <c r="D109" s="436" t="str">
        <f>IF(ROUNDDOWN(D107,0)=$N$3,$P$3,$O$3)</f>
        <v>　レベル　2</v>
      </c>
      <c r="E109" s="463" t="s">
        <v>1261</v>
      </c>
      <c r="F109" s="501"/>
      <c r="G109" s="501"/>
      <c r="H109" s="501"/>
      <c r="I109" s="501"/>
      <c r="J109" s="501"/>
      <c r="K109" s="501"/>
      <c r="L109" s="509"/>
      <c r="M109" s="62"/>
      <c r="N109" s="449">
        <v>2</v>
      </c>
      <c r="O109" s="450"/>
      <c r="P109" s="62"/>
    </row>
    <row r="110" spans="1:16" s="49" customFormat="1" ht="15.75">
      <c r="A110" s="319"/>
      <c r="B110" s="664"/>
      <c r="C110" s="664"/>
      <c r="D110" s="436" t="str">
        <f>IF(ROUNDDOWN(D107,0)=$N$4,$P$4,$O$4)</f>
        <v>■レベル　3</v>
      </c>
      <c r="E110" s="463" t="s">
        <v>1262</v>
      </c>
      <c r="F110" s="501"/>
      <c r="G110" s="501"/>
      <c r="H110" s="501"/>
      <c r="I110" s="501"/>
      <c r="J110" s="501"/>
      <c r="K110" s="501"/>
      <c r="L110" s="509"/>
      <c r="M110" s="664"/>
      <c r="N110" s="449">
        <v>3</v>
      </c>
      <c r="O110" s="450"/>
      <c r="P110" s="62"/>
    </row>
    <row r="111" spans="1:16" s="49" customFormat="1" ht="15.75">
      <c r="A111" s="319"/>
      <c r="B111" s="664"/>
      <c r="C111" s="664"/>
      <c r="D111" s="436" t="str">
        <f>IF(ROUNDDOWN(D107,0)=$N$5,$P$5,$O$5)</f>
        <v>　レベル　4</v>
      </c>
      <c r="E111" s="466" t="s">
        <v>1263</v>
      </c>
      <c r="F111" s="502"/>
      <c r="G111" s="502"/>
      <c r="H111" s="502"/>
      <c r="I111" s="502"/>
      <c r="J111" s="502"/>
      <c r="K111" s="502"/>
      <c r="L111" s="510"/>
      <c r="M111" s="62"/>
      <c r="N111" s="449">
        <v>4</v>
      </c>
      <c r="O111" s="450"/>
      <c r="P111" s="62"/>
    </row>
    <row r="112" spans="1:16" s="49" customFormat="1" ht="15.75">
      <c r="A112" s="319"/>
      <c r="B112" s="664"/>
      <c r="C112" s="664"/>
      <c r="D112" s="437" t="str">
        <f>IF(ROUNDDOWN(D107,0)=$N$6,$P$6,$O$6)</f>
        <v>　レベル　5</v>
      </c>
      <c r="E112" s="469" t="s">
        <v>1264</v>
      </c>
      <c r="F112" s="480"/>
      <c r="G112" s="480"/>
      <c r="H112" s="480"/>
      <c r="I112" s="480"/>
      <c r="J112" s="480"/>
      <c r="K112" s="480"/>
      <c r="L112" s="511"/>
      <c r="M112" s="664"/>
      <c r="N112" s="449">
        <v>5</v>
      </c>
      <c r="O112" s="450"/>
      <c r="P112" s="62"/>
    </row>
    <row r="113" spans="1:16" s="49" customFormat="1" ht="15.75">
      <c r="A113" s="319"/>
      <c r="B113" s="664"/>
      <c r="C113" s="664"/>
      <c r="D113" s="438" t="s">
        <v>341</v>
      </c>
      <c r="E113" s="1002"/>
      <c r="F113" s="494"/>
      <c r="G113" s="494"/>
      <c r="H113" s="679"/>
      <c r="I113"/>
      <c r="J113" s="664"/>
      <c r="K113" s="664"/>
      <c r="L113" s="664"/>
      <c r="M113" s="62"/>
      <c r="N113" s="449" t="s">
        <v>312</v>
      </c>
      <c r="O113" s="452"/>
      <c r="P113" s="62"/>
    </row>
    <row r="114" spans="1:16" customFormat="1" ht="13.5">
      <c r="F114" s="306"/>
      <c r="G114" s="306"/>
      <c r="H114" s="306"/>
      <c r="I114" s="306"/>
    </row>
    <row r="115" spans="1:16" s="49" customFormat="1" ht="15.75">
      <c r="A115" s="664"/>
      <c r="B115" s="163"/>
      <c r="C115" s="668"/>
      <c r="D115" s="163" t="s">
        <v>742</v>
      </c>
      <c r="E115" s="664"/>
      <c r="F115" s="675"/>
      <c r="G115" s="675"/>
      <c r="H115" s="675"/>
      <c r="I115" s="675"/>
      <c r="J115" s="664"/>
      <c r="K115" s="664"/>
      <c r="L115" s="676"/>
      <c r="M115" s="664"/>
      <c r="N115" s="62"/>
      <c r="O115" s="62"/>
      <c r="P115" s="62"/>
    </row>
    <row r="116" spans="1:16" s="49" customFormat="1" ht="16.5" thickBot="1">
      <c r="A116" s="664"/>
      <c r="B116" s="163"/>
      <c r="C116" s="668"/>
      <c r="D116" s="163" t="s">
        <v>376</v>
      </c>
      <c r="E116" s="664"/>
      <c r="F116" s="675"/>
      <c r="G116" s="675"/>
      <c r="H116" s="675"/>
      <c r="I116" s="459"/>
      <c r="J116" s="664"/>
      <c r="K116" s="664"/>
      <c r="L116" s="676"/>
      <c r="M116" s="664"/>
      <c r="N116" s="62"/>
      <c r="O116" s="62"/>
      <c r="P116" s="62"/>
    </row>
    <row r="117" spans="1:16" s="49" customFormat="1" ht="16.5" thickBot="1">
      <c r="A117" s="319"/>
      <c r="B117" s="664"/>
      <c r="C117" s="664"/>
      <c r="D117" s="434">
        <v>3</v>
      </c>
      <c r="E117" s="453" t="s">
        <v>1229</v>
      </c>
      <c r="F117" s="453"/>
      <c r="G117" s="453"/>
      <c r="H117" s="453"/>
      <c r="I117" s="453"/>
      <c r="J117" s="453"/>
      <c r="K117" s="453"/>
      <c r="L117" s="454"/>
      <c r="M117" s="62"/>
      <c r="N117" s="448" t="s">
        <v>336</v>
      </c>
      <c r="O117" s="448" t="s">
        <v>337</v>
      </c>
      <c r="P117" s="62"/>
    </row>
    <row r="118" spans="1:16" s="49" customFormat="1" ht="15.75">
      <c r="A118" s="319"/>
      <c r="B118" s="664"/>
      <c r="C118" s="664"/>
      <c r="D118" s="435" t="str">
        <f>IF(ROUNDDOWN(D117,0)=$N$2,$P$2,$O$2)</f>
        <v>　レベル　1</v>
      </c>
      <c r="E118" s="460" t="s">
        <v>1259</v>
      </c>
      <c r="F118" s="500"/>
      <c r="G118" s="500"/>
      <c r="H118" s="500"/>
      <c r="I118" s="500"/>
      <c r="J118" s="500"/>
      <c r="K118" s="500"/>
      <c r="L118" s="508"/>
      <c r="M118" s="664"/>
      <c r="N118" s="449">
        <v>1</v>
      </c>
      <c r="O118" s="450"/>
      <c r="P118" s="62"/>
    </row>
    <row r="119" spans="1:16" s="49" customFormat="1" ht="15.75">
      <c r="A119" s="319"/>
      <c r="B119" s="664"/>
      <c r="C119" s="664"/>
      <c r="D119" s="436" t="str">
        <f>IF(ROUNDDOWN(D117,0)=$N$3,$P$3,$O$3)</f>
        <v>　レベル　2</v>
      </c>
      <c r="E119" s="463" t="s">
        <v>1265</v>
      </c>
      <c r="F119" s="501"/>
      <c r="G119" s="501"/>
      <c r="H119" s="501"/>
      <c r="I119" s="501"/>
      <c r="J119" s="501"/>
      <c r="K119" s="501"/>
      <c r="L119" s="509"/>
      <c r="M119" s="62"/>
      <c r="N119" s="449">
        <v>2</v>
      </c>
      <c r="O119" s="450"/>
      <c r="P119" s="62"/>
    </row>
    <row r="120" spans="1:16" s="49" customFormat="1" ht="15.75">
      <c r="A120" s="319"/>
      <c r="B120" s="664"/>
      <c r="C120" s="664"/>
      <c r="D120" s="436" t="str">
        <f>IF(ROUNDDOWN(D117,0)=$N$4,$P$4,$O$4)</f>
        <v>■レベル　3</v>
      </c>
      <c r="E120" s="463" t="s">
        <v>1262</v>
      </c>
      <c r="F120" s="501"/>
      <c r="G120" s="501"/>
      <c r="H120" s="501"/>
      <c r="I120" s="501"/>
      <c r="J120" s="501"/>
      <c r="K120" s="501"/>
      <c r="L120" s="509"/>
      <c r="M120" s="664"/>
      <c r="N120" s="449">
        <v>3</v>
      </c>
      <c r="O120" s="450"/>
      <c r="P120" s="62"/>
    </row>
    <row r="121" spans="1:16" s="49" customFormat="1" ht="15.75">
      <c r="A121" s="319"/>
      <c r="B121" s="664"/>
      <c r="C121" s="664"/>
      <c r="D121" s="436" t="str">
        <f>IF(ROUNDDOWN(D117,0)=$N$5,$P$5,$O$5)</f>
        <v>　レベル　4</v>
      </c>
      <c r="E121" s="466" t="s">
        <v>1263</v>
      </c>
      <c r="F121" s="502"/>
      <c r="G121" s="502"/>
      <c r="H121" s="502"/>
      <c r="I121" s="502"/>
      <c r="J121" s="502"/>
      <c r="K121" s="502"/>
      <c r="L121" s="510"/>
      <c r="M121" s="62"/>
      <c r="N121" s="449">
        <v>4</v>
      </c>
      <c r="O121" s="450"/>
      <c r="P121" s="62"/>
    </row>
    <row r="122" spans="1:16" s="49" customFormat="1" ht="15.75">
      <c r="A122" s="319"/>
      <c r="B122" s="664"/>
      <c r="C122" s="664"/>
      <c r="D122" s="437" t="str">
        <f>IF(ROUNDDOWN(D117,0)=$N$6,$P$6,$O$6)</f>
        <v>　レベル　5</v>
      </c>
      <c r="E122" s="469" t="s">
        <v>375</v>
      </c>
      <c r="F122" s="480"/>
      <c r="G122" s="480"/>
      <c r="H122" s="480"/>
      <c r="I122" s="480"/>
      <c r="J122" s="480"/>
      <c r="K122" s="480"/>
      <c r="L122" s="511"/>
      <c r="M122" s="664"/>
      <c r="N122" s="449">
        <v>5</v>
      </c>
      <c r="O122" s="450"/>
      <c r="P122" s="62"/>
    </row>
    <row r="123" spans="1:16" s="49" customFormat="1" ht="15.75">
      <c r="A123" s="319"/>
      <c r="B123" s="664"/>
      <c r="C123" s="664"/>
      <c r="D123" s="438" t="s">
        <v>341</v>
      </c>
      <c r="E123" s="1002"/>
      <c r="F123" s="494"/>
      <c r="G123" s="494"/>
      <c r="H123" s="679"/>
      <c r="I123"/>
      <c r="J123" s="664"/>
      <c r="K123" s="664"/>
      <c r="L123" s="664"/>
      <c r="M123" s="62"/>
      <c r="N123" s="449" t="s">
        <v>312</v>
      </c>
      <c r="O123" s="452"/>
      <c r="P123" s="62"/>
    </row>
    <row r="124" spans="1:16" s="49" customFormat="1" ht="16.5" thickBot="1">
      <c r="A124" s="664"/>
      <c r="B124" s="163"/>
      <c r="C124" s="668"/>
      <c r="D124" s="163" t="s">
        <v>377</v>
      </c>
      <c r="E124" s="664"/>
      <c r="F124" s="675"/>
      <c r="G124" s="675"/>
      <c r="H124" s="675"/>
      <c r="I124" s="459"/>
      <c r="J124" s="664"/>
      <c r="K124" s="664"/>
      <c r="L124" s="676"/>
      <c r="M124" s="664"/>
      <c r="N124" s="62"/>
      <c r="O124" s="62"/>
      <c r="P124" s="62"/>
    </row>
    <row r="125" spans="1:16" s="49" customFormat="1" ht="16.5" thickBot="1">
      <c r="A125" s="319"/>
      <c r="B125" s="664"/>
      <c r="C125" s="664"/>
      <c r="D125" s="434">
        <v>3</v>
      </c>
      <c r="E125" s="453" t="s">
        <v>1229</v>
      </c>
      <c r="F125" s="453"/>
      <c r="G125" s="453"/>
      <c r="H125" s="453"/>
      <c r="I125" s="453"/>
      <c r="J125" s="453"/>
      <c r="K125" s="453"/>
      <c r="L125" s="454"/>
      <c r="M125" s="62"/>
      <c r="N125" s="448" t="s">
        <v>336</v>
      </c>
      <c r="O125" s="448" t="s">
        <v>337</v>
      </c>
      <c r="P125" s="62"/>
    </row>
    <row r="126" spans="1:16" s="49" customFormat="1" ht="15.75">
      <c r="A126" s="319"/>
      <c r="B126" s="664"/>
      <c r="C126" s="664"/>
      <c r="D126" s="435" t="str">
        <f>IF(ROUNDDOWN(D125,0)=$N$2,$P$2,$O$2)</f>
        <v>　レベル　1</v>
      </c>
      <c r="E126" s="460" t="s">
        <v>378</v>
      </c>
      <c r="F126" s="500"/>
      <c r="G126" s="500"/>
      <c r="H126" s="500"/>
      <c r="I126" s="500"/>
      <c r="J126" s="500"/>
      <c r="K126" s="500"/>
      <c r="L126" s="508"/>
      <c r="M126" s="664"/>
      <c r="N126" s="449" t="s">
        <v>312</v>
      </c>
      <c r="O126" s="450"/>
      <c r="P126" s="62"/>
    </row>
    <row r="127" spans="1:16" s="49" customFormat="1" ht="15.75">
      <c r="A127" s="319"/>
      <c r="B127" s="664"/>
      <c r="C127" s="664"/>
      <c r="D127" s="436" t="str">
        <f>IF(ROUNDDOWN(D125,0)=$N$3,$P$3,$O$3)</f>
        <v>　レベル　2</v>
      </c>
      <c r="E127" s="463" t="s">
        <v>342</v>
      </c>
      <c r="F127" s="501"/>
      <c r="G127" s="501"/>
      <c r="H127" s="501"/>
      <c r="I127" s="501"/>
      <c r="J127" s="501"/>
      <c r="K127" s="501"/>
      <c r="L127" s="509"/>
      <c r="M127" s="62"/>
      <c r="N127" s="449" t="s">
        <v>312</v>
      </c>
      <c r="O127" s="450"/>
      <c r="P127" s="62"/>
    </row>
    <row r="128" spans="1:16" s="49" customFormat="1" ht="15.75">
      <c r="A128" s="319"/>
      <c r="B128" s="664"/>
      <c r="C128" s="664"/>
      <c r="D128" s="436" t="str">
        <f>IF(ROUNDDOWN(D125,0)=$N$4,$P$4,$O$4)</f>
        <v>■レベル　3</v>
      </c>
      <c r="E128" s="463" t="s">
        <v>379</v>
      </c>
      <c r="F128" s="501"/>
      <c r="G128" s="501"/>
      <c r="H128" s="501"/>
      <c r="I128" s="501"/>
      <c r="J128" s="501"/>
      <c r="K128" s="501"/>
      <c r="L128" s="509"/>
      <c r="M128" s="664"/>
      <c r="N128" s="449">
        <v>3</v>
      </c>
      <c r="O128" s="450"/>
      <c r="P128" s="62"/>
    </row>
    <row r="129" spans="1:26" s="49" customFormat="1" ht="15.75">
      <c r="A129" s="319"/>
      <c r="B129" s="664"/>
      <c r="C129" s="664"/>
      <c r="D129" s="436" t="str">
        <f>IF(ROUNDDOWN(D125,0)=$N$5,$P$5,$O$5)</f>
        <v>　レベル　4</v>
      </c>
      <c r="E129" s="466" t="s">
        <v>380</v>
      </c>
      <c r="F129" s="502"/>
      <c r="G129" s="502"/>
      <c r="H129" s="502"/>
      <c r="I129" s="502"/>
      <c r="J129" s="502"/>
      <c r="K129" s="502"/>
      <c r="L129" s="510"/>
      <c r="M129" s="62"/>
      <c r="N129" s="449">
        <v>4</v>
      </c>
      <c r="O129" s="450"/>
      <c r="P129" s="62"/>
    </row>
    <row r="130" spans="1:26" s="49" customFormat="1" ht="15.75">
      <c r="A130" s="319"/>
      <c r="B130" s="664"/>
      <c r="C130" s="664"/>
      <c r="D130" s="437" t="str">
        <f>IF(ROUNDDOWN(D125,0)=$N$6,$P$6,$O$6)</f>
        <v>　レベル　5</v>
      </c>
      <c r="E130" s="469" t="s">
        <v>381</v>
      </c>
      <c r="F130" s="480"/>
      <c r="G130" s="480"/>
      <c r="H130" s="480"/>
      <c r="I130" s="480"/>
      <c r="J130" s="480"/>
      <c r="K130" s="480"/>
      <c r="L130" s="511"/>
      <c r="M130" s="664"/>
      <c r="N130" s="449">
        <v>5</v>
      </c>
      <c r="O130" s="450"/>
      <c r="P130" s="62"/>
    </row>
    <row r="131" spans="1:26" s="49" customFormat="1" ht="15.75">
      <c r="A131" s="319"/>
      <c r="B131" s="664"/>
      <c r="C131" s="664"/>
      <c r="D131" s="438" t="s">
        <v>341</v>
      </c>
      <c r="E131" s="1002"/>
      <c r="F131" s="494"/>
      <c r="G131" s="494"/>
      <c r="H131" s="679"/>
      <c r="I131"/>
      <c r="J131" s="664"/>
      <c r="K131" s="664"/>
      <c r="L131" s="664"/>
      <c r="M131" s="62"/>
      <c r="N131" s="449" t="s">
        <v>312</v>
      </c>
      <c r="O131" s="452"/>
      <c r="P131" s="62"/>
    </row>
    <row r="132" spans="1:26" customFormat="1" ht="13.5">
      <c r="F132" s="306"/>
      <c r="G132" s="306"/>
      <c r="H132" s="306"/>
      <c r="I132" s="306"/>
    </row>
    <row r="133" spans="1:26" s="50" customFormat="1" ht="15.75">
      <c r="A133" s="120"/>
      <c r="B133" s="120"/>
      <c r="C133" s="666" t="s">
        <v>382</v>
      </c>
      <c r="D133" s="672"/>
      <c r="E133" s="120"/>
      <c r="F133" s="80"/>
      <c r="G133" s="80"/>
      <c r="H133" s="678"/>
      <c r="I133" s="80"/>
      <c r="J133" s="62"/>
      <c r="K133" s="62"/>
      <c r="L133" s="62"/>
      <c r="M133" s="62"/>
      <c r="N133" s="62"/>
      <c r="O133" s="62"/>
      <c r="P133" s="62"/>
    </row>
    <row r="134" spans="1:26" s="49" customFormat="1" ht="16.5" thickBot="1">
      <c r="A134" s="664"/>
      <c r="B134" s="163"/>
      <c r="C134" s="668"/>
      <c r="D134" s="163" t="s">
        <v>383</v>
      </c>
      <c r="E134" s="447"/>
      <c r="F134" s="495"/>
      <c r="G134" s="495"/>
      <c r="H134" s="495"/>
      <c r="I134" s="459"/>
      <c r="J134" s="447"/>
      <c r="K134" s="447"/>
      <c r="L134" s="447"/>
      <c r="M134" s="447"/>
      <c r="N134" s="447"/>
      <c r="O134" s="62"/>
      <c r="P134" s="62"/>
    </row>
    <row r="135" spans="1:26" s="49" customFormat="1" ht="16.5" thickBot="1">
      <c r="A135" s="319"/>
      <c r="B135" s="664"/>
      <c r="C135" s="664"/>
      <c r="D135" s="1031">
        <f>IF(E143&gt;=O140,N140,IF(E143&gt;=O139,N139,IF(E143&gt;=O138,N138,IF(E143&gt;=O137,N137,N136))))</f>
        <v>5</v>
      </c>
      <c r="E135" s="453" t="s">
        <v>1229</v>
      </c>
      <c r="F135" s="453"/>
      <c r="G135" s="453"/>
      <c r="H135" s="453"/>
      <c r="I135" s="453"/>
      <c r="J135" s="453"/>
      <c r="K135" s="453"/>
      <c r="L135" s="454"/>
      <c r="M135" s="62"/>
      <c r="N135" s="448" t="s">
        <v>336</v>
      </c>
      <c r="O135" s="448" t="s">
        <v>337</v>
      </c>
      <c r="P135" s="62"/>
    </row>
    <row r="136" spans="1:26" s="49" customFormat="1" ht="15.75">
      <c r="A136" s="319"/>
      <c r="B136" s="664"/>
      <c r="C136" s="664"/>
      <c r="D136" s="435" t="str">
        <f>IF(ROUNDDOWN(D135,0)=$N$2,$P$2,$O$2)</f>
        <v>　レベル　1</v>
      </c>
      <c r="E136" s="460" t="s">
        <v>900</v>
      </c>
      <c r="F136" s="461"/>
      <c r="G136" s="461"/>
      <c r="H136" s="461"/>
      <c r="I136" s="461"/>
      <c r="J136" s="461"/>
      <c r="K136" s="461"/>
      <c r="L136" s="462"/>
      <c r="M136" s="664"/>
      <c r="N136" s="449">
        <v>1</v>
      </c>
      <c r="O136" s="448">
        <v>0</v>
      </c>
      <c r="P136" s="62"/>
    </row>
    <row r="137" spans="1:26" s="49" customFormat="1" ht="15.75">
      <c r="A137" s="319"/>
      <c r="B137" s="664"/>
      <c r="C137" s="664"/>
      <c r="D137" s="436" t="str">
        <f>IF(ROUNDDOWN(D135,0)=$N$3,$P$3,$O$3)</f>
        <v>　レベル　2</v>
      </c>
      <c r="E137" s="463" t="s">
        <v>342</v>
      </c>
      <c r="F137" s="464"/>
      <c r="G137" s="464"/>
      <c r="H137" s="464"/>
      <c r="I137" s="464"/>
      <c r="J137" s="464"/>
      <c r="K137" s="464"/>
      <c r="L137" s="465"/>
      <c r="M137" s="62"/>
      <c r="N137" s="449" t="s">
        <v>312</v>
      </c>
      <c r="O137" s="448" t="s">
        <v>312</v>
      </c>
      <c r="P137" s="62"/>
    </row>
    <row r="138" spans="1:26" s="49" customFormat="1" ht="15.75">
      <c r="A138" s="319"/>
      <c r="B138" s="664"/>
      <c r="C138" s="664"/>
      <c r="D138" s="436" t="str">
        <f>IF(ROUNDDOWN(D135,0)=$N$4,$P$4,$O$4)</f>
        <v>　レベル　3</v>
      </c>
      <c r="E138" s="463" t="s">
        <v>1277</v>
      </c>
      <c r="F138" s="464"/>
      <c r="G138" s="464"/>
      <c r="H138" s="464"/>
      <c r="I138" s="464"/>
      <c r="J138" s="464"/>
      <c r="K138" s="464"/>
      <c r="L138" s="465"/>
      <c r="M138" s="664"/>
      <c r="N138" s="449">
        <v>3</v>
      </c>
      <c r="O138" s="448">
        <v>1</v>
      </c>
      <c r="P138" s="62"/>
    </row>
    <row r="139" spans="1:26" s="49" customFormat="1" ht="15.75">
      <c r="A139" s="319"/>
      <c r="B139" s="664"/>
      <c r="C139" s="664"/>
      <c r="D139" s="436" t="str">
        <f>IF(ROUNDDOWN(D135,0)=$N$5,$P$5,$O$5)</f>
        <v>　レベル　4</v>
      </c>
      <c r="E139" s="466" t="s">
        <v>342</v>
      </c>
      <c r="F139" s="467"/>
      <c r="G139" s="467"/>
      <c r="H139" s="467"/>
      <c r="I139" s="467"/>
      <c r="J139" s="467"/>
      <c r="K139" s="467"/>
      <c r="L139" s="468"/>
      <c r="M139" s="62"/>
      <c r="N139" s="449" t="s">
        <v>312</v>
      </c>
      <c r="O139" s="448" t="s">
        <v>312</v>
      </c>
      <c r="P139" s="62"/>
    </row>
    <row r="140" spans="1:26" s="49" customFormat="1" ht="15.75">
      <c r="A140" s="319"/>
      <c r="B140" s="664"/>
      <c r="C140" s="664"/>
      <c r="D140" s="437" t="str">
        <f>IF(ROUNDDOWN(D135,0)=$N$6,$P$6,$O$6)</f>
        <v>■レベル　5</v>
      </c>
      <c r="E140" s="469" t="s">
        <v>1278</v>
      </c>
      <c r="F140" s="470"/>
      <c r="G140" s="470"/>
      <c r="H140" s="470"/>
      <c r="I140" s="470"/>
      <c r="J140" s="470"/>
      <c r="K140" s="470"/>
      <c r="L140" s="471"/>
      <c r="M140" s="664"/>
      <c r="N140" s="449">
        <v>5</v>
      </c>
      <c r="O140" s="448">
        <v>2</v>
      </c>
      <c r="P140" s="62"/>
    </row>
    <row r="141" spans="1:26" s="49" customFormat="1" ht="15.75">
      <c r="A141" s="319"/>
      <c r="B141" s="664"/>
      <c r="C141" s="664"/>
      <c r="D141" s="438" t="s">
        <v>341</v>
      </c>
      <c r="E141" s="1002"/>
      <c r="F141" s="494"/>
      <c r="G141" s="494"/>
      <c r="H141" s="679"/>
      <c r="I141"/>
      <c r="J141" s="664"/>
      <c r="K141" s="664"/>
      <c r="L141" s="664"/>
      <c r="M141" s="664"/>
      <c r="N141" s="449" t="s">
        <v>312</v>
      </c>
      <c r="O141" s="452"/>
      <c r="P141" s="62"/>
    </row>
    <row r="142" spans="1:26" s="49" customFormat="1" ht="15.75">
      <c r="A142" s="319"/>
      <c r="B142" s="664"/>
      <c r="C142" s="664"/>
      <c r="D142" s="438" t="s">
        <v>384</v>
      </c>
      <c r="E142" s="447"/>
      <c r="F142" s="495"/>
      <c r="G142" s="495"/>
      <c r="H142" s="495"/>
      <c r="I142" s="495"/>
      <c r="J142" s="447"/>
      <c r="K142" s="447"/>
      <c r="L142" s="447"/>
      <c r="M142" s="447"/>
      <c r="P142" s="62"/>
    </row>
    <row r="143" spans="1:26" s="164" customFormat="1" ht="15.75" thickBot="1">
      <c r="A143" s="62"/>
      <c r="B143" s="62"/>
      <c r="C143" s="120"/>
      <c r="D143" s="174" t="s">
        <v>385</v>
      </c>
      <c r="E143" s="472">
        <f>COUNTIF(E144:E145,$R$3)</f>
        <v>2</v>
      </c>
      <c r="F143" s="1388" t="s">
        <v>830</v>
      </c>
      <c r="G143" s="1380"/>
      <c r="H143" s="1378" t="s">
        <v>831</v>
      </c>
      <c r="I143" s="1379"/>
      <c r="J143" s="1379"/>
      <c r="K143" s="1379"/>
      <c r="L143" s="1380"/>
      <c r="M143" s="447"/>
      <c r="N143" s="447"/>
      <c r="O143" s="447"/>
      <c r="P143" s="62"/>
      <c r="Q143" s="140"/>
      <c r="R143" s="140"/>
      <c r="S143" s="140"/>
      <c r="T143" s="140"/>
      <c r="U143" s="140"/>
      <c r="V143" s="140"/>
      <c r="W143" s="140"/>
      <c r="X143" s="140"/>
      <c r="Y143" s="96"/>
      <c r="Z143" s="96"/>
    </row>
    <row r="144" spans="1:26" s="164" customFormat="1" ht="15">
      <c r="A144" s="62"/>
      <c r="B144" s="62"/>
      <c r="C144" s="120"/>
      <c r="D144" s="439" t="s">
        <v>300</v>
      </c>
      <c r="E144" s="486" t="s">
        <v>390</v>
      </c>
      <c r="F144" s="487" t="s">
        <v>386</v>
      </c>
      <c r="G144" s="487"/>
      <c r="H144" s="488" t="s">
        <v>387</v>
      </c>
      <c r="I144" s="487"/>
      <c r="J144" s="489"/>
      <c r="K144" s="489"/>
      <c r="L144" s="490"/>
      <c r="M144" s="447"/>
      <c r="N144" s="447"/>
      <c r="O144" s="447"/>
      <c r="P144" s="62"/>
      <c r="Q144" s="140"/>
      <c r="R144" s="140"/>
      <c r="S144" s="140"/>
      <c r="T144" s="140"/>
      <c r="U144" s="140"/>
      <c r="V144" s="140"/>
      <c r="W144" s="140"/>
      <c r="X144" s="140"/>
      <c r="Y144" s="96"/>
      <c r="Z144" s="96"/>
    </row>
    <row r="145" spans="1:26" s="164" customFormat="1" ht="15.75" thickBot="1">
      <c r="A145" s="62"/>
      <c r="B145" s="62"/>
      <c r="C145" s="120"/>
      <c r="D145" s="439" t="s">
        <v>301</v>
      </c>
      <c r="E145" s="491" t="s">
        <v>390</v>
      </c>
      <c r="F145" s="487" t="s">
        <v>389</v>
      </c>
      <c r="G145" s="487"/>
      <c r="H145" s="446" t="s">
        <v>972</v>
      </c>
      <c r="I145" s="487"/>
      <c r="J145" s="489"/>
      <c r="K145" s="489"/>
      <c r="L145" s="490"/>
      <c r="M145" s="447"/>
      <c r="N145" s="447"/>
      <c r="O145" s="447"/>
      <c r="P145" s="62"/>
      <c r="Q145" s="140"/>
      <c r="R145" s="140"/>
      <c r="S145" s="140"/>
      <c r="T145" s="140"/>
      <c r="U145" s="140"/>
      <c r="V145" s="140"/>
      <c r="W145" s="140"/>
      <c r="X145" s="140"/>
      <c r="Y145" s="96"/>
      <c r="Z145" s="96"/>
    </row>
    <row r="146" spans="1:26" customFormat="1" ht="13.5">
      <c r="F146" s="306"/>
      <c r="G146" s="306"/>
      <c r="H146" s="306"/>
      <c r="I146" s="306"/>
    </row>
    <row r="147" spans="1:26" s="49" customFormat="1" ht="16.5" thickBot="1">
      <c r="A147" s="664"/>
      <c r="B147" s="163"/>
      <c r="C147" s="668"/>
      <c r="D147" s="163" t="s">
        <v>744</v>
      </c>
      <c r="E147" s="447"/>
      <c r="F147" s="495"/>
      <c r="G147" s="495"/>
      <c r="H147" s="495"/>
      <c r="I147" s="459"/>
      <c r="J147" s="447"/>
      <c r="K147" s="447"/>
      <c r="L147" s="447"/>
      <c r="M147" s="447"/>
      <c r="N147" s="447"/>
      <c r="O147" s="62"/>
      <c r="P147" s="447"/>
    </row>
    <row r="148" spans="1:26" s="49" customFormat="1" ht="16.5" thickBot="1">
      <c r="A148" s="319"/>
      <c r="B148" s="664"/>
      <c r="C148" s="664"/>
      <c r="D148" s="1031">
        <f>IF(E156&gt;=O153,N153,IF(E156&gt;=O152,N152,IF(E156&gt;=O151,N151,IF(E156&gt;=O150,N150,N149))))</f>
        <v>3</v>
      </c>
      <c r="E148" s="453" t="s">
        <v>1229</v>
      </c>
      <c r="F148" s="453"/>
      <c r="G148" s="453"/>
      <c r="H148" s="453"/>
      <c r="I148" s="453"/>
      <c r="J148" s="453"/>
      <c r="K148" s="453"/>
      <c r="L148" s="454"/>
      <c r="M148" s="62"/>
      <c r="N148" s="448" t="s">
        <v>336</v>
      </c>
      <c r="O148" s="448" t="s">
        <v>337</v>
      </c>
      <c r="P148" s="447"/>
    </row>
    <row r="149" spans="1:26" s="49" customFormat="1" ht="15.75">
      <c r="A149" s="319"/>
      <c r="B149" s="664"/>
      <c r="C149" s="664"/>
      <c r="D149" s="435" t="str">
        <f>IF(ROUNDDOWN(D148,0)=$N$2,$P$2,$O$2)</f>
        <v>　レベル　1</v>
      </c>
      <c r="E149" s="460" t="s">
        <v>900</v>
      </c>
      <c r="F149" s="461"/>
      <c r="G149" s="461"/>
      <c r="H149" s="461"/>
      <c r="I149" s="461"/>
      <c r="J149" s="461"/>
      <c r="K149" s="461"/>
      <c r="L149" s="462"/>
      <c r="M149" s="664"/>
      <c r="N149" s="449">
        <v>1</v>
      </c>
      <c r="O149" s="448">
        <v>0</v>
      </c>
      <c r="P149" s="447"/>
    </row>
    <row r="150" spans="1:26" s="49" customFormat="1" ht="15.75">
      <c r="A150" s="319"/>
      <c r="B150" s="664"/>
      <c r="C150" s="664"/>
      <c r="D150" s="436" t="str">
        <f>IF(ROUNDDOWN(D148,0)=$N$3,$P$3,$O$3)</f>
        <v>　レベル　2</v>
      </c>
      <c r="E150" s="463" t="s">
        <v>342</v>
      </c>
      <c r="F150" s="464"/>
      <c r="G150" s="464"/>
      <c r="H150" s="464"/>
      <c r="I150" s="464"/>
      <c r="J150" s="464"/>
      <c r="K150" s="464"/>
      <c r="L150" s="465"/>
      <c r="M150" s="62"/>
      <c r="N150" s="449" t="s">
        <v>312</v>
      </c>
      <c r="O150" s="448" t="s">
        <v>312</v>
      </c>
      <c r="P150" s="447"/>
    </row>
    <row r="151" spans="1:26" s="49" customFormat="1" ht="15.75">
      <c r="A151" s="319"/>
      <c r="B151" s="664"/>
      <c r="C151" s="664"/>
      <c r="D151" s="436" t="str">
        <f>IF(ROUNDDOWN(D148,0)=$N$4,$P$4,$O$4)</f>
        <v>■レベル　3</v>
      </c>
      <c r="E151" s="463" t="s">
        <v>1277</v>
      </c>
      <c r="F151" s="464"/>
      <c r="G151" s="464"/>
      <c r="H151" s="464"/>
      <c r="I151" s="464"/>
      <c r="J151" s="464"/>
      <c r="K151" s="464"/>
      <c r="L151" s="465"/>
      <c r="M151" s="664"/>
      <c r="N151" s="449">
        <v>3</v>
      </c>
      <c r="O151" s="448">
        <v>1</v>
      </c>
      <c r="P151" s="447"/>
    </row>
    <row r="152" spans="1:26" s="49" customFormat="1" ht="15.75">
      <c r="A152" s="319"/>
      <c r="B152" s="664"/>
      <c r="C152" s="664"/>
      <c r="D152" s="436" t="str">
        <f>IF(ROUNDDOWN(D148,0)=$N$5,$P$5,$O$5)</f>
        <v>　レベル　4</v>
      </c>
      <c r="E152" s="466" t="s">
        <v>342</v>
      </c>
      <c r="F152" s="467"/>
      <c r="G152" s="467"/>
      <c r="H152" s="467"/>
      <c r="I152" s="467"/>
      <c r="J152" s="467"/>
      <c r="K152" s="467"/>
      <c r="L152" s="468"/>
      <c r="M152" s="62"/>
      <c r="N152" s="449" t="s">
        <v>312</v>
      </c>
      <c r="O152" s="448" t="s">
        <v>312</v>
      </c>
      <c r="P152" s="447"/>
    </row>
    <row r="153" spans="1:26" s="49" customFormat="1" ht="15.75">
      <c r="A153" s="319"/>
      <c r="B153" s="664"/>
      <c r="C153" s="664"/>
      <c r="D153" s="437" t="str">
        <f>IF(ROUNDDOWN(D148,0)=$N$6,$P$6,$O$6)</f>
        <v>　レベル　5</v>
      </c>
      <c r="E153" s="469" t="s">
        <v>1278</v>
      </c>
      <c r="F153" s="470"/>
      <c r="G153" s="470"/>
      <c r="H153" s="470"/>
      <c r="I153" s="470"/>
      <c r="J153" s="470"/>
      <c r="K153" s="470"/>
      <c r="L153" s="471"/>
      <c r="M153" s="664"/>
      <c r="N153" s="449">
        <v>5</v>
      </c>
      <c r="O153" s="448">
        <v>2</v>
      </c>
      <c r="P153" s="447"/>
    </row>
    <row r="154" spans="1:26" s="49" customFormat="1" ht="15.75">
      <c r="A154" s="319"/>
      <c r="B154" s="664"/>
      <c r="C154" s="664"/>
      <c r="D154" s="438" t="s">
        <v>341</v>
      </c>
      <c r="E154" s="1002"/>
      <c r="F154" s="494"/>
      <c r="G154" s="494"/>
      <c r="H154" s="679"/>
      <c r="I154"/>
      <c r="J154" s="664"/>
      <c r="K154" s="664"/>
      <c r="L154" s="664"/>
      <c r="M154" s="664"/>
      <c r="N154" s="449" t="s">
        <v>312</v>
      </c>
      <c r="O154" s="448"/>
      <c r="P154" s="447"/>
    </row>
    <row r="155" spans="1:26" s="49" customFormat="1" ht="15.75">
      <c r="A155" s="319"/>
      <c r="B155" s="664"/>
      <c r="C155" s="664"/>
      <c r="D155" s="438" t="s">
        <v>384</v>
      </c>
      <c r="E155" s="447"/>
      <c r="F155" s="495"/>
      <c r="G155" s="495"/>
      <c r="H155" s="495"/>
      <c r="I155" s="495"/>
      <c r="J155" s="447"/>
      <c r="K155" s="447"/>
      <c r="L155" s="447"/>
      <c r="M155" s="447"/>
      <c r="P155" s="443"/>
      <c r="Q155" s="56"/>
    </row>
    <row r="156" spans="1:26" s="164" customFormat="1" ht="15.75" thickBot="1">
      <c r="A156" s="62"/>
      <c r="B156" s="62"/>
      <c r="C156" s="120"/>
      <c r="D156" s="174" t="s">
        <v>385</v>
      </c>
      <c r="E156" s="472">
        <f>COUNTIF(E157:E158,$R$3)</f>
        <v>1</v>
      </c>
      <c r="F156" s="1388" t="s">
        <v>830</v>
      </c>
      <c r="G156" s="1380"/>
      <c r="H156" s="1378" t="s">
        <v>831</v>
      </c>
      <c r="I156" s="1379"/>
      <c r="J156" s="1379"/>
      <c r="K156" s="1379"/>
      <c r="L156" s="1380"/>
      <c r="M156" s="62"/>
      <c r="N156" s="447"/>
      <c r="O156" s="62"/>
      <c r="P156" s="62"/>
      <c r="Q156" s="140"/>
      <c r="R156" s="140"/>
      <c r="S156" s="140"/>
      <c r="T156" s="140"/>
      <c r="U156" s="140"/>
      <c r="V156" s="140"/>
      <c r="W156" s="140"/>
      <c r="X156" s="140"/>
      <c r="Y156" s="96"/>
      <c r="Z156" s="96"/>
    </row>
    <row r="157" spans="1:26" s="164" customFormat="1" ht="15">
      <c r="A157" s="62"/>
      <c r="B157" s="62"/>
      <c r="C157" s="120"/>
      <c r="D157" s="439" t="s">
        <v>300</v>
      </c>
      <c r="E157" s="486" t="s">
        <v>390</v>
      </c>
      <c r="F157" s="487" t="s">
        <v>386</v>
      </c>
      <c r="G157" s="487"/>
      <c r="H157" s="488" t="s">
        <v>391</v>
      </c>
      <c r="I157" s="487"/>
      <c r="J157" s="489"/>
      <c r="K157" s="489"/>
      <c r="L157" s="490"/>
      <c r="M157" s="62"/>
      <c r="N157" s="447"/>
      <c r="O157" s="62"/>
      <c r="P157" s="62"/>
      <c r="Q157" s="140"/>
      <c r="R157" s="140"/>
      <c r="S157" s="140"/>
      <c r="T157" s="140"/>
      <c r="U157" s="140"/>
      <c r="V157" s="140"/>
      <c r="W157" s="140"/>
      <c r="X157" s="140"/>
      <c r="Y157" s="96"/>
      <c r="Z157" s="96"/>
    </row>
    <row r="158" spans="1:26" s="164" customFormat="1" ht="15.75" thickBot="1">
      <c r="A158" s="62"/>
      <c r="B158" s="62"/>
      <c r="C158" s="120"/>
      <c r="D158" s="439" t="s">
        <v>301</v>
      </c>
      <c r="E158" s="491"/>
      <c r="F158" s="487" t="s">
        <v>389</v>
      </c>
      <c r="G158" s="487"/>
      <c r="H158" s="488" t="s">
        <v>391</v>
      </c>
      <c r="I158" s="487"/>
      <c r="J158" s="489"/>
      <c r="K158" s="489"/>
      <c r="L158" s="490"/>
      <c r="M158" s="62"/>
      <c r="N158" s="447"/>
      <c r="O158" s="62"/>
      <c r="P158" s="62"/>
      <c r="Q158" s="140"/>
      <c r="R158" s="140"/>
      <c r="S158" s="140"/>
      <c r="T158" s="140"/>
      <c r="U158" s="140"/>
      <c r="V158" s="140"/>
      <c r="W158" s="140"/>
      <c r="X158" s="140"/>
      <c r="Y158" s="96"/>
      <c r="Z158" s="96"/>
    </row>
    <row r="159" spans="1:26" customFormat="1" ht="13.5">
      <c r="F159" s="306"/>
      <c r="G159" s="306"/>
      <c r="H159" s="306"/>
      <c r="I159" s="306"/>
    </row>
    <row r="160" spans="1:26" s="164" customFormat="1" ht="15.75" thickBot="1">
      <c r="A160" s="62"/>
      <c r="B160" s="62"/>
      <c r="C160" s="120"/>
      <c r="D160" s="163" t="s">
        <v>392</v>
      </c>
      <c r="E160" s="447"/>
      <c r="F160" s="495"/>
      <c r="G160" s="495"/>
      <c r="H160" s="495"/>
      <c r="I160" s="459"/>
      <c r="J160" s="447"/>
      <c r="K160" s="447"/>
      <c r="L160" s="447"/>
      <c r="M160" s="447"/>
      <c r="N160" s="447"/>
      <c r="O160" s="62"/>
      <c r="P160" s="62"/>
      <c r="Q160" s="140"/>
      <c r="R160" s="140"/>
      <c r="S160" s="140"/>
      <c r="T160" s="140"/>
      <c r="U160" s="140"/>
      <c r="V160" s="140"/>
      <c r="W160" s="140"/>
      <c r="X160" s="140"/>
      <c r="Y160" s="96"/>
      <c r="Z160" s="96"/>
    </row>
    <row r="161" spans="1:26" s="49" customFormat="1" ht="16.5" thickBot="1">
      <c r="A161" s="319"/>
      <c r="B161" s="664"/>
      <c r="C161" s="664"/>
      <c r="D161" s="1031">
        <f>IF(E169&gt;=O166,N166,IF(E169&gt;=O165,N165,IF(E169&gt;=O164,N164,IF(E169&gt;=O163,N163,N162))))</f>
        <v>3</v>
      </c>
      <c r="E161" s="453" t="s">
        <v>1229</v>
      </c>
      <c r="F161" s="453"/>
      <c r="G161" s="453"/>
      <c r="H161" s="453"/>
      <c r="I161" s="453"/>
      <c r="J161" s="453"/>
      <c r="K161" s="453"/>
      <c r="L161" s="454"/>
      <c r="M161" s="62"/>
      <c r="N161" s="448" t="s">
        <v>336</v>
      </c>
      <c r="O161" s="448" t="s">
        <v>337</v>
      </c>
      <c r="P161" s="447"/>
    </row>
    <row r="162" spans="1:26" s="49" customFormat="1" ht="15.75">
      <c r="A162" s="319"/>
      <c r="B162" s="664"/>
      <c r="C162" s="664"/>
      <c r="D162" s="435" t="str">
        <f>IF(ROUNDDOWN(D161,0)=$N$2,$P$2,$O$2)</f>
        <v>　レベル　1</v>
      </c>
      <c r="E162" s="460" t="s">
        <v>900</v>
      </c>
      <c r="F162" s="461"/>
      <c r="G162" s="461"/>
      <c r="H162" s="461"/>
      <c r="I162" s="461"/>
      <c r="J162" s="461"/>
      <c r="K162" s="461"/>
      <c r="L162" s="462"/>
      <c r="M162" s="664"/>
      <c r="N162" s="449">
        <v>1</v>
      </c>
      <c r="O162" s="448">
        <v>0</v>
      </c>
      <c r="P162" s="447"/>
    </row>
    <row r="163" spans="1:26" s="49" customFormat="1" ht="15.75">
      <c r="A163" s="319"/>
      <c r="B163" s="664"/>
      <c r="C163" s="664"/>
      <c r="D163" s="436" t="str">
        <f>IF(ROUNDDOWN(D161,0)=$N$3,$P$3,$O$3)</f>
        <v>　レベル　2</v>
      </c>
      <c r="E163" s="463" t="s">
        <v>1277</v>
      </c>
      <c r="F163" s="464"/>
      <c r="G163" s="464"/>
      <c r="H163" s="464"/>
      <c r="I163" s="464"/>
      <c r="J163" s="464"/>
      <c r="K163" s="464"/>
      <c r="L163" s="465"/>
      <c r="M163" s="62"/>
      <c r="N163" s="449">
        <v>2</v>
      </c>
      <c r="O163" s="448">
        <v>1</v>
      </c>
      <c r="P163" s="447"/>
    </row>
    <row r="164" spans="1:26" s="49" customFormat="1" ht="15.75">
      <c r="A164" s="319"/>
      <c r="B164" s="664"/>
      <c r="C164" s="664"/>
      <c r="D164" s="436" t="str">
        <f>IF(ROUNDDOWN(D161,0)=$N$4,$P$4,$O$4)</f>
        <v>■レベル　3</v>
      </c>
      <c r="E164" s="463" t="s">
        <v>1278</v>
      </c>
      <c r="F164" s="464"/>
      <c r="G164" s="464"/>
      <c r="H164" s="464"/>
      <c r="I164" s="464"/>
      <c r="J164" s="464"/>
      <c r="K164" s="464"/>
      <c r="L164" s="465"/>
      <c r="M164" s="664"/>
      <c r="N164" s="449">
        <v>3</v>
      </c>
      <c r="O164" s="448">
        <v>2</v>
      </c>
      <c r="P164" s="447"/>
    </row>
    <row r="165" spans="1:26" s="49" customFormat="1" ht="15.75">
      <c r="A165" s="319"/>
      <c r="B165" s="664"/>
      <c r="C165" s="664"/>
      <c r="D165" s="436" t="str">
        <f>IF(ROUNDDOWN(D161,0)=$N$5,$P$5,$O$5)</f>
        <v>　レベル　4</v>
      </c>
      <c r="E165" s="466" t="s">
        <v>342</v>
      </c>
      <c r="F165" s="467"/>
      <c r="G165" s="467"/>
      <c r="H165" s="467"/>
      <c r="I165" s="467"/>
      <c r="J165" s="467"/>
      <c r="K165" s="467"/>
      <c r="L165" s="468"/>
      <c r="M165" s="62"/>
      <c r="N165" s="449" t="s">
        <v>312</v>
      </c>
      <c r="O165" s="448" t="s">
        <v>312</v>
      </c>
      <c r="P165" s="447"/>
    </row>
    <row r="166" spans="1:26" s="49" customFormat="1" ht="15.75">
      <c r="A166" s="319"/>
      <c r="B166" s="664"/>
      <c r="C166" s="664"/>
      <c r="D166" s="437" t="str">
        <f>IF(ROUNDDOWN(D161,0)=$N$6,$P$6,$O$6)</f>
        <v>　レベル　5</v>
      </c>
      <c r="E166" s="469" t="s">
        <v>1279</v>
      </c>
      <c r="F166" s="470"/>
      <c r="G166" s="470"/>
      <c r="H166" s="470"/>
      <c r="I166" s="470"/>
      <c r="J166" s="470"/>
      <c r="K166" s="470"/>
      <c r="L166" s="471"/>
      <c r="M166" s="664"/>
      <c r="N166" s="449">
        <v>5</v>
      </c>
      <c r="O166" s="448">
        <v>3</v>
      </c>
      <c r="P166" s="447"/>
    </row>
    <row r="167" spans="1:26" s="49" customFormat="1" ht="15.75">
      <c r="A167" s="319"/>
      <c r="B167" s="664"/>
      <c r="C167" s="664"/>
      <c r="D167" s="438" t="s">
        <v>341</v>
      </c>
      <c r="E167" s="1002"/>
      <c r="F167" s="494"/>
      <c r="G167" s="494"/>
      <c r="H167" s="679"/>
      <c r="I167"/>
      <c r="J167" s="664"/>
      <c r="K167" s="664"/>
      <c r="L167" s="664"/>
      <c r="M167" s="664"/>
      <c r="N167" s="449" t="s">
        <v>312</v>
      </c>
      <c r="O167" s="448"/>
      <c r="P167" s="447"/>
    </row>
    <row r="168" spans="1:26" s="49" customFormat="1" ht="15.75">
      <c r="A168" s="319"/>
      <c r="B168" s="664"/>
      <c r="C168" s="669"/>
      <c r="D168" s="438" t="s">
        <v>384</v>
      </c>
      <c r="E168" s="447"/>
      <c r="F168" s="495"/>
      <c r="G168" s="495"/>
      <c r="H168" s="495"/>
      <c r="I168" s="495"/>
      <c r="J168" s="447"/>
      <c r="K168" s="447"/>
      <c r="L168" s="447"/>
      <c r="M168" s="447"/>
      <c r="P168" s="443"/>
    </row>
    <row r="169" spans="1:26" s="164" customFormat="1" ht="15.75" thickBot="1">
      <c r="A169" s="62"/>
      <c r="B169" s="62"/>
      <c r="C169" s="120"/>
      <c r="D169" s="174" t="s">
        <v>385</v>
      </c>
      <c r="E169" s="472">
        <f>COUNTIF(E170:E172,$R$3)</f>
        <v>2</v>
      </c>
      <c r="F169" s="456" t="s">
        <v>830</v>
      </c>
      <c r="G169" s="456" t="s">
        <v>831</v>
      </c>
      <c r="H169" s="457"/>
      <c r="I169" s="457"/>
      <c r="J169" s="457"/>
      <c r="K169" s="457"/>
      <c r="L169" s="458"/>
      <c r="M169" s="62"/>
      <c r="N169" s="447"/>
      <c r="O169" s="62"/>
      <c r="P169" s="62"/>
      <c r="Q169" s="140"/>
      <c r="R169" s="140"/>
      <c r="S169" s="140"/>
      <c r="T169" s="140"/>
      <c r="U169" s="140"/>
      <c r="V169" s="140"/>
      <c r="W169" s="140"/>
      <c r="X169" s="140"/>
      <c r="Y169" s="96"/>
      <c r="Z169" s="96"/>
    </row>
    <row r="170" spans="1:26" s="164" customFormat="1" ht="15">
      <c r="A170" s="62"/>
      <c r="B170" s="62"/>
      <c r="C170" s="120"/>
      <c r="D170" s="439" t="s">
        <v>300</v>
      </c>
      <c r="E170" s="486" t="s">
        <v>388</v>
      </c>
      <c r="F170" s="784" t="s">
        <v>832</v>
      </c>
      <c r="G170" s="488" t="s">
        <v>833</v>
      </c>
      <c r="H170" s="497"/>
      <c r="I170" s="487"/>
      <c r="J170" s="489"/>
      <c r="K170" s="489"/>
      <c r="L170" s="490"/>
      <c r="M170" s="62"/>
      <c r="N170" s="447"/>
      <c r="O170" s="62"/>
      <c r="P170" s="62"/>
      <c r="Q170" s="140"/>
      <c r="R170" s="140"/>
      <c r="S170" s="140"/>
      <c r="T170" s="140"/>
      <c r="U170" s="140"/>
      <c r="V170" s="140"/>
      <c r="W170" s="140"/>
      <c r="X170" s="140"/>
      <c r="Y170" s="96"/>
      <c r="Z170" s="96"/>
    </row>
    <row r="171" spans="1:26" s="164" customFormat="1" ht="15">
      <c r="A171" s="62"/>
      <c r="B171" s="62"/>
      <c r="C171" s="120"/>
      <c r="D171" s="439" t="s">
        <v>301</v>
      </c>
      <c r="E171" s="492"/>
      <c r="F171" s="784" t="s">
        <v>834</v>
      </c>
      <c r="G171" s="488" t="s">
        <v>835</v>
      </c>
      <c r="H171" s="497"/>
      <c r="I171" s="487"/>
      <c r="J171" s="489"/>
      <c r="K171" s="489"/>
      <c r="L171" s="490"/>
      <c r="M171" s="62"/>
      <c r="N171" s="447"/>
      <c r="O171" s="62"/>
      <c r="P171" s="62"/>
      <c r="Q171" s="140"/>
      <c r="R171" s="140"/>
      <c r="S171" s="140"/>
      <c r="T171" s="140"/>
      <c r="U171" s="140"/>
      <c r="V171" s="140"/>
      <c r="W171" s="140"/>
      <c r="X171" s="140"/>
      <c r="Y171" s="96"/>
      <c r="Z171" s="96"/>
    </row>
    <row r="172" spans="1:26" s="164" customFormat="1" ht="15.75" thickBot="1">
      <c r="A172" s="62"/>
      <c r="B172" s="62"/>
      <c r="C172" s="120"/>
      <c r="D172" s="439" t="s">
        <v>302</v>
      </c>
      <c r="E172" s="491" t="s">
        <v>390</v>
      </c>
      <c r="F172" s="784" t="s">
        <v>836</v>
      </c>
      <c r="G172" s="488" t="s">
        <v>837</v>
      </c>
      <c r="H172" s="497"/>
      <c r="I172" s="487"/>
      <c r="J172" s="489"/>
      <c r="K172" s="489"/>
      <c r="L172" s="490"/>
      <c r="M172" s="62"/>
      <c r="N172" s="447"/>
      <c r="O172" s="62"/>
      <c r="P172" s="62"/>
      <c r="Q172" s="140"/>
      <c r="R172" s="140"/>
      <c r="S172" s="140"/>
      <c r="T172" s="140"/>
      <c r="U172" s="140"/>
      <c r="V172" s="140"/>
      <c r="W172" s="140"/>
      <c r="X172" s="140"/>
      <c r="Y172" s="96"/>
      <c r="Z172" s="96"/>
    </row>
    <row r="173" spans="1:26" customFormat="1" ht="13.5">
      <c r="F173" s="306"/>
      <c r="G173" s="306"/>
      <c r="H173" s="306"/>
      <c r="I173" s="306"/>
    </row>
    <row r="174" spans="1:26" s="50" customFormat="1" ht="15.75">
      <c r="A174" s="120"/>
      <c r="B174" s="120"/>
      <c r="C174" s="666" t="s">
        <v>978</v>
      </c>
      <c r="D174" s="672"/>
      <c r="E174" s="120"/>
      <c r="F174" s="80"/>
      <c r="G174" s="80"/>
      <c r="H174" s="678"/>
      <c r="I174" s="80"/>
      <c r="J174" s="62"/>
      <c r="K174" s="62"/>
      <c r="L174" s="62"/>
      <c r="M174" s="62"/>
      <c r="N174" s="447"/>
      <c r="O174" s="62"/>
      <c r="P174" s="62"/>
    </row>
    <row r="175" spans="1:26" s="164" customFormat="1" ht="15.75" thickBot="1">
      <c r="A175" s="62"/>
      <c r="B175" s="62"/>
      <c r="C175" s="120"/>
      <c r="D175" s="163" t="s">
        <v>1230</v>
      </c>
      <c r="E175" s="447"/>
      <c r="F175" s="495"/>
      <c r="G175" s="495"/>
      <c r="H175" s="495"/>
      <c r="I175" s="459"/>
      <c r="J175" s="447"/>
      <c r="K175" s="447"/>
      <c r="L175" s="447"/>
      <c r="M175" s="447"/>
      <c r="N175" s="447"/>
      <c r="O175" s="62"/>
      <c r="P175" s="62"/>
      <c r="Q175" s="140"/>
      <c r="R175" s="140"/>
      <c r="S175" s="140"/>
      <c r="T175" s="140"/>
      <c r="U175" s="140"/>
      <c r="V175" s="140"/>
      <c r="W175" s="140"/>
      <c r="X175" s="140"/>
      <c r="Y175" s="96"/>
      <c r="Z175" s="96"/>
    </row>
    <row r="176" spans="1:26" s="49" customFormat="1" ht="16.5" thickBot="1">
      <c r="A176" s="319"/>
      <c r="B176" s="664"/>
      <c r="C176" s="664"/>
      <c r="D176" s="1031">
        <f>IF(E184&gt;=O181,N181,IF(E184&gt;=O180,N180,IF(E184&gt;=O179,N179,IF(E184&gt;=O178,N178,N177))))</f>
        <v>3</v>
      </c>
      <c r="E176" s="453" t="s">
        <v>1229</v>
      </c>
      <c r="F176" s="453"/>
      <c r="G176" s="453"/>
      <c r="H176" s="453"/>
      <c r="I176" s="453"/>
      <c r="J176" s="453"/>
      <c r="K176" s="453"/>
      <c r="L176" s="454"/>
      <c r="M176" s="62"/>
      <c r="N176" s="448" t="s">
        <v>336</v>
      </c>
      <c r="O176" s="448" t="s">
        <v>337</v>
      </c>
      <c r="P176" s="447"/>
    </row>
    <row r="177" spans="1:18" s="49" customFormat="1" ht="15.75">
      <c r="A177" s="319"/>
      <c r="B177" s="664"/>
      <c r="C177" s="664"/>
      <c r="D177" s="435" t="str">
        <f>IF(ROUNDDOWN(D176,0)=$N$2,$P$2,$O$2)</f>
        <v>　レベル　1</v>
      </c>
      <c r="E177" s="460" t="s">
        <v>900</v>
      </c>
      <c r="F177" s="461"/>
      <c r="G177" s="461"/>
      <c r="H177" s="461"/>
      <c r="I177" s="461"/>
      <c r="J177" s="461"/>
      <c r="K177" s="461"/>
      <c r="L177" s="462"/>
      <c r="M177" s="664"/>
      <c r="N177" s="449">
        <v>1</v>
      </c>
      <c r="O177" s="448">
        <v>0</v>
      </c>
      <c r="P177" s="447"/>
    </row>
    <row r="178" spans="1:18" s="49" customFormat="1" ht="15.75">
      <c r="A178" s="319"/>
      <c r="B178" s="664"/>
      <c r="C178" s="664"/>
      <c r="D178" s="436" t="str">
        <f>IF(ROUNDDOWN(D176,0)=$N$3,$P$3,$O$3)</f>
        <v>　レベル　2</v>
      </c>
      <c r="E178" s="463" t="s">
        <v>1280</v>
      </c>
      <c r="F178" s="464"/>
      <c r="G178" s="464"/>
      <c r="H178" s="464"/>
      <c r="I178" s="464"/>
      <c r="J178" s="464"/>
      <c r="K178" s="464"/>
      <c r="L178" s="465"/>
      <c r="M178" s="62"/>
      <c r="N178" s="449">
        <v>2</v>
      </c>
      <c r="O178" s="448">
        <v>1</v>
      </c>
      <c r="P178" s="447"/>
    </row>
    <row r="179" spans="1:18" s="49" customFormat="1" ht="15.75">
      <c r="A179" s="319"/>
      <c r="B179" s="664"/>
      <c r="C179" s="664"/>
      <c r="D179" s="436" t="str">
        <f>IF(ROUNDDOWN(D176,0)=$N$4,$P$4,$O$4)</f>
        <v>■レベル　3</v>
      </c>
      <c r="E179" s="463" t="s">
        <v>1281</v>
      </c>
      <c r="F179" s="464"/>
      <c r="G179" s="464"/>
      <c r="H179" s="464"/>
      <c r="I179" s="464"/>
      <c r="J179" s="464"/>
      <c r="K179" s="464"/>
      <c r="L179" s="465"/>
      <c r="M179" s="664"/>
      <c r="N179" s="449">
        <v>3</v>
      </c>
      <c r="O179" s="448">
        <v>3</v>
      </c>
      <c r="P179" s="447"/>
    </row>
    <row r="180" spans="1:18" s="49" customFormat="1" ht="15.75">
      <c r="A180" s="319"/>
      <c r="B180" s="664"/>
      <c r="C180" s="664"/>
      <c r="D180" s="436" t="str">
        <f>IF(ROUNDDOWN(D176,0)=$N$5,$P$5,$O$5)</f>
        <v>　レベル　4</v>
      </c>
      <c r="E180" s="466" t="s">
        <v>1282</v>
      </c>
      <c r="F180" s="467"/>
      <c r="G180" s="467"/>
      <c r="H180" s="467"/>
      <c r="I180" s="467"/>
      <c r="J180" s="467"/>
      <c r="K180" s="467"/>
      <c r="L180" s="468"/>
      <c r="M180" s="62"/>
      <c r="N180" s="449">
        <v>4</v>
      </c>
      <c r="O180" s="448">
        <v>5</v>
      </c>
      <c r="P180" s="447"/>
    </row>
    <row r="181" spans="1:18" s="49" customFormat="1" ht="15.75">
      <c r="A181" s="319"/>
      <c r="B181" s="664"/>
      <c r="C181" s="664"/>
      <c r="D181" s="437" t="str">
        <f>IF(ROUNDDOWN(D176,0)=$N$6,$P$6,$O$6)</f>
        <v>　レベル　5</v>
      </c>
      <c r="E181" s="469" t="s">
        <v>1283</v>
      </c>
      <c r="F181" s="470"/>
      <c r="G181" s="470"/>
      <c r="H181" s="470"/>
      <c r="I181" s="470"/>
      <c r="J181" s="470"/>
      <c r="K181" s="470"/>
      <c r="L181" s="471"/>
      <c r="M181" s="664"/>
      <c r="N181" s="449">
        <v>5</v>
      </c>
      <c r="O181" s="448">
        <v>7</v>
      </c>
      <c r="P181" s="447"/>
    </row>
    <row r="182" spans="1:18" s="49" customFormat="1" ht="15.75">
      <c r="A182" s="319"/>
      <c r="B182" s="664"/>
      <c r="C182" s="664"/>
      <c r="D182" s="438" t="s">
        <v>341</v>
      </c>
      <c r="E182" s="1002"/>
      <c r="F182" s="494"/>
      <c r="G182" s="494"/>
      <c r="H182" s="679"/>
      <c r="I182"/>
      <c r="J182" s="664"/>
      <c r="K182" s="664"/>
      <c r="L182" s="664"/>
      <c r="M182" s="664"/>
      <c r="N182" s="449" t="s">
        <v>312</v>
      </c>
      <c r="O182" s="448"/>
      <c r="P182" s="447"/>
    </row>
    <row r="183" spans="1:18" s="49" customFormat="1" ht="15">
      <c r="A183" s="319"/>
      <c r="B183" s="447"/>
      <c r="C183" s="669"/>
      <c r="D183" s="438" t="s">
        <v>384</v>
      </c>
      <c r="E183" s="447"/>
      <c r="F183" s="495"/>
      <c r="G183" s="495"/>
      <c r="H183" s="495"/>
      <c r="I183" s="495"/>
      <c r="J183" s="447"/>
      <c r="K183" s="447"/>
      <c r="L183" s="447"/>
      <c r="M183" s="447"/>
      <c r="P183" s="443"/>
    </row>
    <row r="184" spans="1:18" ht="15.75" thickBot="1">
      <c r="A184" s="62"/>
      <c r="B184" s="62"/>
      <c r="C184" s="120"/>
      <c r="D184" s="174" t="s">
        <v>385</v>
      </c>
      <c r="E184" s="472">
        <f>COUNTIF(E185:E192,$R$3)</f>
        <v>4</v>
      </c>
      <c r="F184" s="1388" t="s">
        <v>830</v>
      </c>
      <c r="G184" s="1389"/>
      <c r="H184" s="1390"/>
      <c r="I184" s="1388" t="s">
        <v>831</v>
      </c>
      <c r="J184" s="1389"/>
      <c r="K184" s="1389"/>
      <c r="L184" s="1390"/>
      <c r="M184" s="62"/>
      <c r="N184" s="447"/>
      <c r="O184" s="62"/>
      <c r="P184" s="62"/>
      <c r="Q184" s="140"/>
      <c r="R184" s="140"/>
    </row>
    <row r="185" spans="1:18" ht="27.6" customHeight="1">
      <c r="A185" s="62"/>
      <c r="B185" s="62"/>
      <c r="C185" s="120"/>
      <c r="D185" s="439" t="s">
        <v>300</v>
      </c>
      <c r="E185" s="486"/>
      <c r="F185" s="1394" t="s">
        <v>394</v>
      </c>
      <c r="G185" s="1386"/>
      <c r="H185" s="1387"/>
      <c r="I185" s="1395" t="s">
        <v>393</v>
      </c>
      <c r="J185" s="1395"/>
      <c r="K185" s="1395"/>
      <c r="L185" s="1396"/>
      <c r="M185" s="62"/>
      <c r="N185" s="447"/>
      <c r="O185" s="62"/>
      <c r="P185" s="62"/>
      <c r="Q185" s="96"/>
      <c r="R185" s="96"/>
    </row>
    <row r="186" spans="1:18" ht="27.6" customHeight="1">
      <c r="A186" s="62"/>
      <c r="B186" s="62"/>
      <c r="C186" s="120"/>
      <c r="D186" s="439" t="s">
        <v>301</v>
      </c>
      <c r="E186" s="492" t="s">
        <v>388</v>
      </c>
      <c r="F186" s="1394" t="s">
        <v>395</v>
      </c>
      <c r="G186" s="1386"/>
      <c r="H186" s="1387"/>
      <c r="I186" s="1397"/>
      <c r="J186" s="1397"/>
      <c r="K186" s="1397"/>
      <c r="L186" s="1398"/>
      <c r="M186" s="62"/>
      <c r="N186" s="447"/>
      <c r="O186" s="62"/>
      <c r="P186" s="62"/>
      <c r="Q186" s="96"/>
      <c r="R186" s="96"/>
    </row>
    <row r="187" spans="1:18" ht="27.6" customHeight="1">
      <c r="A187" s="62"/>
      <c r="B187" s="62"/>
      <c r="C187" s="120"/>
      <c r="D187" s="439" t="s">
        <v>302</v>
      </c>
      <c r="E187" s="492" t="s">
        <v>388</v>
      </c>
      <c r="F187" s="1401" t="s">
        <v>839</v>
      </c>
      <c r="G187" s="1402"/>
      <c r="H187" s="1403"/>
      <c r="I187" s="1397"/>
      <c r="J187" s="1397"/>
      <c r="K187" s="1397"/>
      <c r="L187" s="1398"/>
      <c r="M187" s="62"/>
      <c r="N187" s="447"/>
      <c r="O187" s="62"/>
      <c r="P187" s="62"/>
      <c r="Q187" s="96"/>
      <c r="R187" s="96"/>
    </row>
    <row r="188" spans="1:18" ht="27.6" customHeight="1">
      <c r="A188" s="62"/>
      <c r="B188" s="62"/>
      <c r="C188" s="120"/>
      <c r="D188" s="439" t="s">
        <v>303</v>
      </c>
      <c r="E188" s="492"/>
      <c r="F188" s="1394" t="s">
        <v>396</v>
      </c>
      <c r="G188" s="1386"/>
      <c r="H188" s="1387"/>
      <c r="I188" s="1397"/>
      <c r="J188" s="1397"/>
      <c r="K188" s="1397"/>
      <c r="L188" s="1398"/>
      <c r="M188" s="62"/>
      <c r="N188" s="447"/>
      <c r="O188" s="62"/>
      <c r="P188" s="62"/>
      <c r="Q188" s="96"/>
      <c r="R188" s="96"/>
    </row>
    <row r="189" spans="1:18" ht="27.6" customHeight="1">
      <c r="A189" s="62"/>
      <c r="B189" s="62"/>
      <c r="C189" s="120"/>
      <c r="D189" s="439" t="s">
        <v>304</v>
      </c>
      <c r="E189" s="492" t="s">
        <v>390</v>
      </c>
      <c r="F189" s="1394" t="s">
        <v>397</v>
      </c>
      <c r="G189" s="1386"/>
      <c r="H189" s="1387"/>
      <c r="I189" s="1399"/>
      <c r="J189" s="1399"/>
      <c r="K189" s="1399"/>
      <c r="L189" s="1400"/>
      <c r="M189" s="62"/>
      <c r="N189" s="447"/>
      <c r="O189" s="62"/>
      <c r="P189" s="62"/>
      <c r="Q189" s="96"/>
      <c r="R189" s="96"/>
    </row>
    <row r="190" spans="1:18" ht="27.6" customHeight="1">
      <c r="A190" s="62"/>
      <c r="B190" s="62"/>
      <c r="C190" s="120"/>
      <c r="D190" s="439" t="s">
        <v>305</v>
      </c>
      <c r="E190" s="492"/>
      <c r="F190" s="1394" t="s">
        <v>399</v>
      </c>
      <c r="G190" s="1386"/>
      <c r="H190" s="1387"/>
      <c r="I190" s="1395" t="s">
        <v>398</v>
      </c>
      <c r="J190" s="1395"/>
      <c r="K190" s="1395"/>
      <c r="L190" s="1396"/>
      <c r="M190" s="62"/>
      <c r="N190" s="447"/>
      <c r="O190" s="62"/>
      <c r="P190" s="62"/>
      <c r="Q190" s="96"/>
      <c r="R190" s="96"/>
    </row>
    <row r="191" spans="1:18" ht="27.6" customHeight="1">
      <c r="A191" s="62"/>
      <c r="B191" s="62"/>
      <c r="C191" s="120"/>
      <c r="D191" s="439" t="s">
        <v>306</v>
      </c>
      <c r="E191" s="492"/>
      <c r="F191" s="1394" t="s">
        <v>400</v>
      </c>
      <c r="G191" s="1386"/>
      <c r="H191" s="1387"/>
      <c r="I191" s="1397"/>
      <c r="J191" s="1397"/>
      <c r="K191" s="1397"/>
      <c r="L191" s="1398"/>
      <c r="M191" s="62"/>
      <c r="N191" s="447"/>
      <c r="O191" s="62"/>
      <c r="P191" s="62"/>
      <c r="Q191" s="96"/>
      <c r="R191" s="96"/>
    </row>
    <row r="192" spans="1:18" ht="27.6" customHeight="1" thickBot="1">
      <c r="A192" s="62"/>
      <c r="B192" s="62"/>
      <c r="C192" s="120"/>
      <c r="D192" s="439" t="s">
        <v>307</v>
      </c>
      <c r="E192" s="491" t="s">
        <v>388</v>
      </c>
      <c r="F192" s="1394" t="s">
        <v>401</v>
      </c>
      <c r="G192" s="1386"/>
      <c r="H192" s="1387"/>
      <c r="I192" s="1399"/>
      <c r="J192" s="1399"/>
      <c r="K192" s="1399"/>
      <c r="L192" s="1400"/>
      <c r="M192" s="62"/>
      <c r="N192" s="447"/>
      <c r="O192" s="62"/>
      <c r="P192" s="62"/>
      <c r="Q192" s="96"/>
      <c r="R192" s="96"/>
    </row>
    <row r="193" spans="1:26">
      <c r="A193" s="62"/>
      <c r="B193" s="62"/>
      <c r="C193" s="62"/>
      <c r="D193" s="62"/>
      <c r="E193" s="62"/>
      <c r="F193" s="62"/>
      <c r="G193" s="62"/>
      <c r="H193" s="62"/>
      <c r="I193" s="62"/>
      <c r="J193" s="62"/>
      <c r="K193" s="62"/>
      <c r="L193" s="62"/>
      <c r="M193" s="62"/>
      <c r="N193" s="62"/>
      <c r="O193" s="62"/>
      <c r="P193" s="62"/>
      <c r="Q193" s="62"/>
      <c r="R193" s="62"/>
    </row>
    <row r="194" spans="1:26" ht="15.75" thickBot="1">
      <c r="A194" s="62"/>
      <c r="B194" s="62"/>
      <c r="C194" s="120"/>
      <c r="D194" s="163" t="s">
        <v>838</v>
      </c>
      <c r="E194" s="447"/>
      <c r="F194" s="495"/>
      <c r="G194" s="495"/>
      <c r="H194" s="495"/>
      <c r="I194" s="459"/>
      <c r="J194" s="447"/>
      <c r="K194" s="447"/>
      <c r="L194" s="447"/>
      <c r="M194" s="447"/>
      <c r="N194" s="447"/>
      <c r="O194" s="62"/>
      <c r="P194" s="62"/>
      <c r="Q194" s="140"/>
      <c r="R194" s="140"/>
    </row>
    <row r="195" spans="1:26" s="49" customFormat="1" ht="16.5" thickBot="1">
      <c r="A195" s="319"/>
      <c r="B195" s="664"/>
      <c r="C195" s="664"/>
      <c r="D195" s="1031">
        <f>IF(E203&gt;=O200,N200,IF(E203&gt;=O199,N199,IF(E203&gt;=O198,N198,IF(E203&gt;=O197,N197,N196))))</f>
        <v>3</v>
      </c>
      <c r="E195" s="453" t="s">
        <v>1229</v>
      </c>
      <c r="F195" s="453"/>
      <c r="G195" s="453"/>
      <c r="H195" s="453"/>
      <c r="I195" s="453"/>
      <c r="J195" s="453"/>
      <c r="K195" s="453"/>
      <c r="L195" s="454"/>
      <c r="M195" s="62"/>
      <c r="N195" s="448" t="s">
        <v>336</v>
      </c>
      <c r="O195" s="448" t="s">
        <v>337</v>
      </c>
      <c r="P195" s="447"/>
    </row>
    <row r="196" spans="1:26" s="49" customFormat="1" ht="15.75">
      <c r="A196" s="319"/>
      <c r="B196" s="664"/>
      <c r="C196" s="664"/>
      <c r="D196" s="435" t="str">
        <f>IF(ROUNDDOWN(D195,0)=$N$2,$P$2,$O$2)</f>
        <v>　レベル　1</v>
      </c>
      <c r="E196" s="460" t="s">
        <v>900</v>
      </c>
      <c r="F196" s="461"/>
      <c r="G196" s="461"/>
      <c r="H196" s="461"/>
      <c r="I196" s="461"/>
      <c r="J196" s="461"/>
      <c r="K196" s="461"/>
      <c r="L196" s="462"/>
      <c r="M196" s="664"/>
      <c r="N196" s="449">
        <v>1</v>
      </c>
      <c r="O196" s="448">
        <v>0</v>
      </c>
      <c r="P196" s="447"/>
    </row>
    <row r="197" spans="1:26" s="49" customFormat="1" ht="15.75">
      <c r="A197" s="319"/>
      <c r="B197" s="664"/>
      <c r="C197" s="664"/>
      <c r="D197" s="436" t="str">
        <f>IF(ROUNDDOWN(D195,0)=$N$3,$P$3,$O$3)</f>
        <v>　レベル　2</v>
      </c>
      <c r="E197" s="463" t="s">
        <v>342</v>
      </c>
      <c r="F197" s="464"/>
      <c r="G197" s="464"/>
      <c r="H197" s="464"/>
      <c r="I197" s="464"/>
      <c r="J197" s="464"/>
      <c r="K197" s="464"/>
      <c r="L197" s="465"/>
      <c r="M197" s="62"/>
      <c r="N197" s="449" t="s">
        <v>312</v>
      </c>
      <c r="O197" s="448" t="s">
        <v>312</v>
      </c>
      <c r="P197" s="447"/>
    </row>
    <row r="198" spans="1:26" s="49" customFormat="1" ht="15.75">
      <c r="A198" s="319"/>
      <c r="B198" s="664"/>
      <c r="C198" s="664"/>
      <c r="D198" s="436" t="str">
        <f>IF(ROUNDDOWN(D195,0)=$N$4,$P$4,$O$4)</f>
        <v>■レベル　3</v>
      </c>
      <c r="E198" s="463" t="s">
        <v>1277</v>
      </c>
      <c r="F198" s="464"/>
      <c r="G198" s="464"/>
      <c r="H198" s="464"/>
      <c r="I198" s="464"/>
      <c r="J198" s="464"/>
      <c r="K198" s="464"/>
      <c r="L198" s="465"/>
      <c r="M198" s="664"/>
      <c r="N198" s="449">
        <v>3</v>
      </c>
      <c r="O198" s="448">
        <v>1</v>
      </c>
      <c r="P198" s="447"/>
    </row>
    <row r="199" spans="1:26" s="49" customFormat="1" ht="15.75">
      <c r="A199" s="319"/>
      <c r="B199" s="664"/>
      <c r="C199" s="664"/>
      <c r="D199" s="436" t="str">
        <f>IF(ROUNDDOWN(D195,0)=$N$5,$P$5,$O$5)</f>
        <v>　レベル　4</v>
      </c>
      <c r="E199" s="466" t="s">
        <v>1278</v>
      </c>
      <c r="F199" s="467"/>
      <c r="G199" s="467"/>
      <c r="H199" s="467"/>
      <c r="I199" s="467"/>
      <c r="J199" s="467"/>
      <c r="K199" s="467"/>
      <c r="L199" s="468"/>
      <c r="M199" s="62"/>
      <c r="N199" s="449">
        <v>4</v>
      </c>
      <c r="O199" s="448">
        <v>2</v>
      </c>
      <c r="P199" s="447"/>
    </row>
    <row r="200" spans="1:26" s="49" customFormat="1" ht="15.75">
      <c r="A200" s="319"/>
      <c r="B200" s="664"/>
      <c r="C200" s="664"/>
      <c r="D200" s="437" t="str">
        <f>IF(ROUNDDOWN(D195,0)=$N$6,$P$6,$O$6)</f>
        <v>　レベル　5</v>
      </c>
      <c r="E200" s="469" t="s">
        <v>1279</v>
      </c>
      <c r="F200" s="470"/>
      <c r="G200" s="470"/>
      <c r="H200" s="470"/>
      <c r="I200" s="470"/>
      <c r="J200" s="470"/>
      <c r="K200" s="470"/>
      <c r="L200" s="471"/>
      <c r="M200" s="664"/>
      <c r="N200" s="449">
        <v>5</v>
      </c>
      <c r="O200" s="448">
        <v>3</v>
      </c>
      <c r="P200" s="447"/>
    </row>
    <row r="201" spans="1:26" s="49" customFormat="1" ht="15.75">
      <c r="A201" s="319"/>
      <c r="B201" s="664"/>
      <c r="C201" s="664"/>
      <c r="D201" s="438" t="s">
        <v>341</v>
      </c>
      <c r="E201" s="1002"/>
      <c r="F201" s="494"/>
      <c r="G201" s="494"/>
      <c r="H201" s="679"/>
      <c r="I201"/>
      <c r="J201" s="664"/>
      <c r="K201" s="664"/>
      <c r="L201" s="664"/>
      <c r="M201" s="664"/>
      <c r="N201" s="449" t="s">
        <v>312</v>
      </c>
      <c r="O201" s="448"/>
      <c r="P201" s="447"/>
    </row>
    <row r="202" spans="1:26" s="49" customFormat="1" ht="15.75">
      <c r="A202" s="319"/>
      <c r="B202" s="664"/>
      <c r="C202" s="664"/>
      <c r="D202" s="438" t="s">
        <v>384</v>
      </c>
      <c r="E202" s="447"/>
      <c r="F202" s="495"/>
      <c r="G202" s="495"/>
      <c r="H202" s="495"/>
      <c r="I202" s="495"/>
      <c r="J202" s="447"/>
      <c r="K202" s="447"/>
      <c r="L202" s="447"/>
      <c r="M202" s="447"/>
      <c r="P202" s="443"/>
    </row>
    <row r="203" spans="1:26" s="164" customFormat="1" ht="15.75" thickBot="1">
      <c r="A203" s="62"/>
      <c r="B203" s="62"/>
      <c r="C203" s="120"/>
      <c r="D203" s="174" t="s">
        <v>385</v>
      </c>
      <c r="E203" s="472">
        <f>COUNTIF(E204:E206,$R$3)</f>
        <v>1</v>
      </c>
      <c r="F203" s="1388" t="s">
        <v>830</v>
      </c>
      <c r="G203" s="1389"/>
      <c r="H203" s="1390"/>
      <c r="I203" s="1404" t="s">
        <v>831</v>
      </c>
      <c r="J203" s="1379"/>
      <c r="K203" s="1379"/>
      <c r="L203" s="1380"/>
      <c r="M203" s="62"/>
      <c r="N203" s="447"/>
      <c r="O203" s="62"/>
      <c r="P203" s="62"/>
      <c r="Q203" s="140"/>
      <c r="R203" s="140"/>
      <c r="S203" s="140"/>
      <c r="T203" s="140"/>
      <c r="U203" s="140"/>
      <c r="V203" s="140"/>
      <c r="W203" s="140"/>
      <c r="X203" s="140"/>
      <c r="Y203" s="96"/>
      <c r="Z203" s="96"/>
    </row>
    <row r="204" spans="1:26" s="164" customFormat="1" ht="15">
      <c r="A204" s="62"/>
      <c r="B204" s="62"/>
      <c r="C204" s="120"/>
      <c r="D204" s="439" t="s">
        <v>300</v>
      </c>
      <c r="E204" s="486"/>
      <c r="F204" s="785" t="s">
        <v>402</v>
      </c>
      <c r="G204" s="786"/>
      <c r="H204" s="787"/>
      <c r="I204" s="1405" t="s">
        <v>398</v>
      </c>
      <c r="J204" s="1405"/>
      <c r="K204" s="1405"/>
      <c r="L204" s="1406"/>
      <c r="M204" s="62"/>
      <c r="N204" s="447"/>
      <c r="O204" s="62"/>
      <c r="P204" s="62"/>
      <c r="Q204" s="140"/>
      <c r="R204" s="140"/>
      <c r="S204" s="140"/>
      <c r="T204" s="140"/>
      <c r="U204" s="140"/>
      <c r="V204" s="140"/>
      <c r="W204" s="140"/>
      <c r="X204" s="140"/>
      <c r="Y204" s="96"/>
      <c r="Z204" s="96"/>
    </row>
    <row r="205" spans="1:26" s="164" customFormat="1" ht="15">
      <c r="A205" s="62"/>
      <c r="B205" s="62"/>
      <c r="C205" s="120"/>
      <c r="D205" s="439" t="s">
        <v>301</v>
      </c>
      <c r="E205" s="492" t="s">
        <v>388</v>
      </c>
      <c r="F205" s="785" t="s">
        <v>403</v>
      </c>
      <c r="G205" s="786"/>
      <c r="H205" s="787"/>
      <c r="I205" s="1405"/>
      <c r="J205" s="1405"/>
      <c r="K205" s="1405"/>
      <c r="L205" s="1406"/>
      <c r="M205" s="62"/>
      <c r="N205" s="447"/>
      <c r="O205" s="62"/>
      <c r="P205" s="62"/>
      <c r="Q205" s="140"/>
      <c r="R205" s="140"/>
      <c r="S205" s="140"/>
      <c r="T205" s="140"/>
      <c r="U205" s="140"/>
      <c r="V205" s="140"/>
      <c r="W205" s="140"/>
      <c r="X205" s="140"/>
      <c r="Y205" s="96"/>
      <c r="Z205" s="96"/>
    </row>
    <row r="206" spans="1:26" s="164" customFormat="1" ht="30.6" customHeight="1" thickBot="1">
      <c r="A206" s="62"/>
      <c r="B206" s="62"/>
      <c r="C206" s="120"/>
      <c r="D206" s="439" t="s">
        <v>302</v>
      </c>
      <c r="E206" s="491"/>
      <c r="F206" s="785" t="s">
        <v>404</v>
      </c>
      <c r="G206" s="786"/>
      <c r="H206" s="787"/>
      <c r="I206" s="1386" t="s">
        <v>393</v>
      </c>
      <c r="J206" s="1386"/>
      <c r="K206" s="1386"/>
      <c r="L206" s="1387"/>
      <c r="M206" s="62"/>
      <c r="N206" s="447"/>
      <c r="O206" s="62"/>
      <c r="P206" s="62"/>
      <c r="Q206" s="140"/>
      <c r="R206" s="140"/>
      <c r="S206" s="140"/>
      <c r="T206" s="140"/>
      <c r="U206" s="140"/>
      <c r="V206" s="140"/>
      <c r="W206" s="140"/>
      <c r="X206" s="140"/>
      <c r="Y206" s="96"/>
      <c r="Z206" s="96"/>
    </row>
    <row r="207" spans="1:26" customFormat="1" ht="13.15" customHeight="1">
      <c r="F207" s="306"/>
      <c r="G207" s="306"/>
      <c r="H207" s="306"/>
      <c r="I207" s="306"/>
    </row>
    <row r="208" spans="1:26" s="50" customFormat="1" ht="16.5" thickBot="1">
      <c r="A208" s="120"/>
      <c r="B208" s="666" t="s">
        <v>405</v>
      </c>
      <c r="C208" s="666"/>
      <c r="D208" s="163"/>
      <c r="E208" s="664"/>
      <c r="F208" s="675"/>
      <c r="G208" s="675"/>
      <c r="H208" s="675"/>
      <c r="I208" s="459"/>
      <c r="J208" s="664"/>
      <c r="K208" s="664"/>
      <c r="L208" s="676"/>
      <c r="M208" s="664"/>
      <c r="N208" s="62"/>
      <c r="O208" s="62"/>
      <c r="P208" s="62"/>
    </row>
    <row r="209" spans="1:25" s="49" customFormat="1" ht="16.5" thickBot="1">
      <c r="A209" s="319"/>
      <c r="B209" s="664"/>
      <c r="C209" s="664"/>
      <c r="D209" s="434">
        <v>3</v>
      </c>
      <c r="E209" s="453" t="s">
        <v>1229</v>
      </c>
      <c r="F209" s="453"/>
      <c r="G209" s="453"/>
      <c r="H209" s="453"/>
      <c r="I209" s="453"/>
      <c r="J209" s="453"/>
      <c r="K209" s="453"/>
      <c r="L209" s="454"/>
      <c r="M209" s="62"/>
      <c r="N209" s="448" t="s">
        <v>336</v>
      </c>
      <c r="O209" s="448" t="s">
        <v>337</v>
      </c>
      <c r="P209" s="62"/>
    </row>
    <row r="210" spans="1:25" s="49" customFormat="1" ht="15.75">
      <c r="A210" s="319"/>
      <c r="B210" s="664"/>
      <c r="C210" s="664"/>
      <c r="D210" s="435" t="str">
        <f>IF(ROUNDDOWN(D209,0)=$N$2,$P$2,$O$2)</f>
        <v>　レベル　1</v>
      </c>
      <c r="E210" s="460" t="s">
        <v>406</v>
      </c>
      <c r="F210" s="500"/>
      <c r="G210" s="500"/>
      <c r="H210" s="500"/>
      <c r="I210" s="500"/>
      <c r="J210" s="500"/>
      <c r="K210" s="500"/>
      <c r="L210" s="508"/>
      <c r="M210" s="664"/>
      <c r="N210" s="449">
        <v>1</v>
      </c>
      <c r="O210" s="450"/>
      <c r="P210" s="62"/>
    </row>
    <row r="211" spans="1:25" s="49" customFormat="1" ht="15.75">
      <c r="A211" s="319"/>
      <c r="B211" s="664"/>
      <c r="C211" s="664"/>
      <c r="D211" s="436" t="str">
        <f>IF(ROUNDDOWN(D209,0)=$N$3,$P$3,$O$3)</f>
        <v>　レベル　2</v>
      </c>
      <c r="E211" s="463" t="s">
        <v>342</v>
      </c>
      <c r="F211" s="501"/>
      <c r="G211" s="501"/>
      <c r="H211" s="501"/>
      <c r="I211" s="501"/>
      <c r="J211" s="501"/>
      <c r="K211" s="501"/>
      <c r="L211" s="509"/>
      <c r="M211" s="62"/>
      <c r="N211" s="449" t="s">
        <v>312</v>
      </c>
      <c r="O211" s="450"/>
      <c r="P211" s="62"/>
    </row>
    <row r="212" spans="1:25" s="49" customFormat="1" ht="15.75">
      <c r="A212" s="319"/>
      <c r="B212" s="664"/>
      <c r="C212" s="664"/>
      <c r="D212" s="436" t="str">
        <f>IF(ROUNDDOWN(D209,0)=$N$4,$P$4,$O$4)</f>
        <v>■レベル　3</v>
      </c>
      <c r="E212" s="463" t="s">
        <v>407</v>
      </c>
      <c r="F212" s="501"/>
      <c r="G212" s="501"/>
      <c r="H212" s="501"/>
      <c r="I212" s="501"/>
      <c r="J212" s="501"/>
      <c r="K212" s="501"/>
      <c r="L212" s="509"/>
      <c r="M212" s="664"/>
      <c r="N212" s="449">
        <v>3</v>
      </c>
      <c r="O212" s="450"/>
      <c r="P212" s="62"/>
    </row>
    <row r="213" spans="1:25" s="49" customFormat="1" ht="15.75">
      <c r="A213" s="319"/>
      <c r="B213" s="664"/>
      <c r="C213" s="664"/>
      <c r="D213" s="436" t="str">
        <f>IF(ROUNDDOWN(D209,0)=$N$5,$P$5,$O$5)</f>
        <v>　レベル　4</v>
      </c>
      <c r="E213" s="466" t="s">
        <v>408</v>
      </c>
      <c r="F213" s="502"/>
      <c r="G213" s="502"/>
      <c r="H213" s="502"/>
      <c r="I213" s="502"/>
      <c r="J213" s="502"/>
      <c r="K213" s="502"/>
      <c r="L213" s="510"/>
      <c r="M213" s="62"/>
      <c r="N213" s="449">
        <v>4</v>
      </c>
      <c r="O213" s="450"/>
      <c r="P213" s="62"/>
    </row>
    <row r="214" spans="1:25" s="49" customFormat="1" ht="31.9" customHeight="1">
      <c r="A214" s="319"/>
      <c r="B214" s="664"/>
      <c r="C214" s="664"/>
      <c r="D214" s="437" t="str">
        <f>IF(ROUNDDOWN(D209,0)=$N$6,$P$6,$O$6)</f>
        <v>　レベル　5</v>
      </c>
      <c r="E214" s="1391" t="s">
        <v>409</v>
      </c>
      <c r="F214" s="1392"/>
      <c r="G214" s="1392"/>
      <c r="H214" s="1392"/>
      <c r="I214" s="1392"/>
      <c r="J214" s="1392"/>
      <c r="K214" s="1392"/>
      <c r="L214" s="1393"/>
      <c r="M214" s="664"/>
      <c r="N214" s="449">
        <v>5</v>
      </c>
      <c r="O214" s="450"/>
      <c r="P214" s="62"/>
    </row>
    <row r="215" spans="1:25" ht="15.75">
      <c r="A215" s="62"/>
      <c r="B215" s="62"/>
      <c r="C215" s="120"/>
      <c r="D215" s="438" t="s">
        <v>341</v>
      </c>
      <c r="E215" s="1002"/>
      <c r="F215" s="703" t="s">
        <v>410</v>
      </c>
      <c r="G215" s="494"/>
      <c r="H215" s="679"/>
      <c r="I215"/>
      <c r="J215" s="664"/>
      <c r="K215" s="664"/>
      <c r="L215" s="664"/>
      <c r="M215" s="62"/>
      <c r="N215" s="449" t="s">
        <v>312</v>
      </c>
      <c r="O215" s="452"/>
      <c r="P215" s="62"/>
      <c r="Q215" s="140"/>
      <c r="R215" s="140"/>
      <c r="S215" s="140"/>
      <c r="T215" s="140"/>
      <c r="U215" s="140"/>
      <c r="V215" s="140"/>
      <c r="W215" s="140"/>
      <c r="X215" s="140"/>
      <c r="Y215" s="140"/>
    </row>
    <row r="216" spans="1:25" customFormat="1" ht="13.5">
      <c r="F216" s="306"/>
      <c r="G216" s="306"/>
      <c r="H216" s="306"/>
      <c r="I216" s="306"/>
    </row>
    <row r="217" spans="1:25" s="50" customFormat="1" ht="16.5" thickBot="1">
      <c r="A217" s="120"/>
      <c r="B217" s="666" t="s">
        <v>411</v>
      </c>
      <c r="C217" s="666"/>
      <c r="D217" s="163"/>
      <c r="E217" s="447"/>
      <c r="F217" s="495"/>
      <c r="G217" s="495"/>
      <c r="H217" s="495"/>
      <c r="I217" s="459"/>
      <c r="J217" s="447"/>
      <c r="K217" s="447"/>
      <c r="L217" s="447"/>
      <c r="M217" s="447"/>
      <c r="N217" s="447"/>
      <c r="O217" s="62"/>
      <c r="P217" s="62"/>
    </row>
    <row r="218" spans="1:25" s="49" customFormat="1" ht="16.5" thickBot="1">
      <c r="A218" s="319"/>
      <c r="B218" s="664"/>
      <c r="C218" s="664"/>
      <c r="D218" s="1031">
        <f>IF(E226&gt;=O223,N223,IF(E226&gt;=O222,N222,IF(E226&gt;=O221,N221,IF(E226&gt;=O220,N220,N219))))</f>
        <v>3</v>
      </c>
      <c r="E218" s="453" t="s">
        <v>1229</v>
      </c>
      <c r="F218" s="453"/>
      <c r="G218" s="453"/>
      <c r="H218" s="453"/>
      <c r="I218" s="453"/>
      <c r="J218" s="453"/>
      <c r="K218" s="453"/>
      <c r="L218" s="454"/>
      <c r="M218" s="62"/>
      <c r="N218" s="448" t="s">
        <v>336</v>
      </c>
      <c r="O218" s="448" t="s">
        <v>337</v>
      </c>
      <c r="P218" s="62"/>
    </row>
    <row r="219" spans="1:25" s="49" customFormat="1" ht="15.75">
      <c r="A219" s="319"/>
      <c r="B219" s="664"/>
      <c r="C219" s="664"/>
      <c r="D219" s="435" t="str">
        <f>IF(ROUNDDOWN(D218,0)=$N$2,$P$2,$O$2)</f>
        <v>　レベル　1</v>
      </c>
      <c r="E219" s="460" t="s">
        <v>900</v>
      </c>
      <c r="F219" s="461"/>
      <c r="G219" s="461"/>
      <c r="H219" s="461"/>
      <c r="I219" s="461"/>
      <c r="J219" s="461"/>
      <c r="K219" s="461"/>
      <c r="L219" s="462"/>
      <c r="M219" s="664"/>
      <c r="N219" s="449">
        <v>1</v>
      </c>
      <c r="O219" s="448">
        <v>0</v>
      </c>
      <c r="P219" s="62"/>
    </row>
    <row r="220" spans="1:25" s="49" customFormat="1" ht="15.75">
      <c r="A220" s="319"/>
      <c r="B220" s="664"/>
      <c r="C220" s="664"/>
      <c r="D220" s="436" t="str">
        <f>IF(ROUNDDOWN(D218,0)=$N$3,$P$3,$O$3)</f>
        <v>　レベル　2</v>
      </c>
      <c r="E220" s="463" t="s">
        <v>338</v>
      </c>
      <c r="F220" s="464"/>
      <c r="G220" s="464"/>
      <c r="H220" s="464"/>
      <c r="I220" s="464"/>
      <c r="J220" s="464"/>
      <c r="K220" s="464"/>
      <c r="L220" s="465"/>
      <c r="M220" s="62"/>
      <c r="N220" s="449" t="s">
        <v>312</v>
      </c>
      <c r="O220" s="448" t="s">
        <v>312</v>
      </c>
      <c r="P220" s="62"/>
    </row>
    <row r="221" spans="1:25" s="49" customFormat="1" ht="15.75">
      <c r="A221" s="319"/>
      <c r="B221" s="664"/>
      <c r="C221" s="664"/>
      <c r="D221" s="436" t="str">
        <f>IF(ROUNDDOWN(D218,0)=$N$4,$P$4,$O$4)</f>
        <v>■レベル　3</v>
      </c>
      <c r="E221" s="463" t="s">
        <v>1277</v>
      </c>
      <c r="F221" s="464"/>
      <c r="G221" s="464"/>
      <c r="H221" s="464"/>
      <c r="I221" s="464"/>
      <c r="J221" s="464"/>
      <c r="K221" s="464"/>
      <c r="L221" s="465"/>
      <c r="M221" s="664"/>
      <c r="N221" s="449">
        <v>3</v>
      </c>
      <c r="O221" s="448">
        <v>1</v>
      </c>
      <c r="P221" s="62"/>
    </row>
    <row r="222" spans="1:25" s="49" customFormat="1" ht="15.75">
      <c r="A222" s="319"/>
      <c r="B222" s="664"/>
      <c r="C222" s="664"/>
      <c r="D222" s="436" t="str">
        <f>IF(ROUNDDOWN(D218,0)=$N$5,$P$5,$O$5)</f>
        <v>　レベル　4</v>
      </c>
      <c r="E222" s="466" t="s">
        <v>1278</v>
      </c>
      <c r="F222" s="467"/>
      <c r="G222" s="467"/>
      <c r="H222" s="467"/>
      <c r="I222" s="467"/>
      <c r="J222" s="467"/>
      <c r="K222" s="467"/>
      <c r="L222" s="468"/>
      <c r="M222" s="62"/>
      <c r="N222" s="449">
        <v>4</v>
      </c>
      <c r="O222" s="448">
        <v>2</v>
      </c>
      <c r="P222" s="62"/>
    </row>
    <row r="223" spans="1:25" s="49" customFormat="1" ht="15.75">
      <c r="A223" s="319"/>
      <c r="B223" s="664"/>
      <c r="C223" s="664"/>
      <c r="D223" s="437" t="str">
        <f>IF(ROUNDDOWN(D218,0)=$N$6,$P$6,$O$6)</f>
        <v>　レベル　5</v>
      </c>
      <c r="E223" s="469" t="s">
        <v>1284</v>
      </c>
      <c r="F223" s="470"/>
      <c r="G223" s="470"/>
      <c r="H223" s="470"/>
      <c r="I223" s="470"/>
      <c r="J223" s="470"/>
      <c r="K223" s="470"/>
      <c r="L223" s="471"/>
      <c r="M223" s="664"/>
      <c r="N223" s="449">
        <v>5</v>
      </c>
      <c r="O223" s="448">
        <v>3</v>
      </c>
      <c r="P223" s="62"/>
    </row>
    <row r="224" spans="1:25" s="49" customFormat="1" ht="15.75">
      <c r="A224" s="319"/>
      <c r="B224" s="664"/>
      <c r="C224" s="664"/>
      <c r="D224" s="438" t="s">
        <v>341</v>
      </c>
      <c r="E224" s="1002"/>
      <c r="F224" s="494"/>
      <c r="G224" s="494"/>
      <c r="H224" s="679"/>
      <c r="I224"/>
      <c r="J224" s="664"/>
      <c r="K224" s="664"/>
      <c r="L224" s="664"/>
      <c r="M224" s="664"/>
      <c r="N224" s="449" t="s">
        <v>312</v>
      </c>
      <c r="O224" s="448"/>
      <c r="P224" s="62"/>
    </row>
    <row r="225" spans="1:26" s="49" customFormat="1" ht="15.75">
      <c r="A225" s="319"/>
      <c r="B225" s="664"/>
      <c r="C225" s="664"/>
      <c r="D225" s="438" t="s">
        <v>384</v>
      </c>
      <c r="E225" s="447"/>
      <c r="F225" s="495"/>
      <c r="G225" s="495"/>
      <c r="H225" s="495"/>
      <c r="I225" s="495"/>
      <c r="J225" s="447"/>
      <c r="K225" s="447"/>
      <c r="L225" s="447"/>
      <c r="M225" s="447"/>
      <c r="P225" s="62"/>
    </row>
    <row r="226" spans="1:26" s="164" customFormat="1" ht="15.75" thickBot="1">
      <c r="A226" s="62"/>
      <c r="B226" s="62"/>
      <c r="C226" s="120"/>
      <c r="D226" s="174" t="s">
        <v>385</v>
      </c>
      <c r="E226" s="472">
        <f>COUNTIF(E227:E230,$R$3)</f>
        <v>1</v>
      </c>
      <c r="F226" s="788" t="s">
        <v>830</v>
      </c>
      <c r="G226" s="1378" t="s">
        <v>831</v>
      </c>
      <c r="H226" s="1379"/>
      <c r="I226" s="1379"/>
      <c r="J226" s="1379"/>
      <c r="K226" s="1379"/>
      <c r="L226" s="1380"/>
      <c r="M226" s="62"/>
      <c r="N226" s="447"/>
      <c r="O226" s="62"/>
      <c r="P226" s="62"/>
      <c r="Q226" s="140"/>
      <c r="R226" s="140"/>
      <c r="S226" s="140"/>
      <c r="T226" s="140"/>
      <c r="U226" s="140"/>
      <c r="V226" s="140"/>
      <c r="W226" s="140"/>
      <c r="X226" s="140"/>
      <c r="Y226" s="96"/>
      <c r="Z226" s="96"/>
    </row>
    <row r="227" spans="1:26" s="164" customFormat="1" ht="29.45" customHeight="1">
      <c r="A227" s="62"/>
      <c r="B227" s="62"/>
      <c r="C227" s="120"/>
      <c r="D227" s="439" t="s">
        <v>300</v>
      </c>
      <c r="E227" s="486" t="s">
        <v>390</v>
      </c>
      <c r="F227" s="789" t="s">
        <v>840</v>
      </c>
      <c r="G227" s="1381" t="s">
        <v>841</v>
      </c>
      <c r="H227" s="1381"/>
      <c r="I227" s="1381"/>
      <c r="J227" s="1381"/>
      <c r="K227" s="1381"/>
      <c r="L227" s="1382"/>
      <c r="M227" s="62"/>
      <c r="N227" s="447"/>
      <c r="O227" s="62"/>
      <c r="P227" s="62"/>
      <c r="Q227" s="140"/>
      <c r="R227" s="140"/>
      <c r="S227" s="140"/>
      <c r="T227" s="140"/>
      <c r="U227" s="140"/>
      <c r="V227" s="140"/>
      <c r="W227" s="140"/>
      <c r="X227" s="140"/>
      <c r="Y227" s="96"/>
      <c r="Z227" s="96"/>
    </row>
    <row r="228" spans="1:26" s="164" customFormat="1" ht="29.45" customHeight="1">
      <c r="A228" s="62"/>
      <c r="B228" s="62"/>
      <c r="C228" s="120"/>
      <c r="D228" s="439" t="s">
        <v>301</v>
      </c>
      <c r="E228" s="492"/>
      <c r="F228" s="789" t="s">
        <v>842</v>
      </c>
      <c r="G228" s="1381" t="s">
        <v>843</v>
      </c>
      <c r="H228" s="1381"/>
      <c r="I228" s="1381"/>
      <c r="J228" s="1381"/>
      <c r="K228" s="1381"/>
      <c r="L228" s="1382"/>
      <c r="M228" s="62"/>
      <c r="N228" s="447"/>
      <c r="O228" s="62"/>
      <c r="P228" s="62"/>
      <c r="Q228" s="140"/>
      <c r="R228" s="140"/>
      <c r="S228" s="140"/>
      <c r="T228" s="140"/>
      <c r="U228" s="140"/>
      <c r="V228" s="140"/>
      <c r="W228" s="140"/>
      <c r="X228" s="140"/>
      <c r="Y228" s="96"/>
      <c r="Z228" s="96"/>
    </row>
    <row r="229" spans="1:26" s="164" customFormat="1" ht="29.45" customHeight="1">
      <c r="A229" s="62"/>
      <c r="B229" s="62"/>
      <c r="C229" s="120"/>
      <c r="D229" s="439" t="s">
        <v>302</v>
      </c>
      <c r="E229" s="492"/>
      <c r="F229" s="790" t="s">
        <v>844</v>
      </c>
      <c r="G229" s="1383" t="s">
        <v>845</v>
      </c>
      <c r="H229" s="1384"/>
      <c r="I229" s="1384"/>
      <c r="J229" s="1384"/>
      <c r="K229" s="1384"/>
      <c r="L229" s="1385"/>
      <c r="M229" s="62"/>
      <c r="N229" s="447"/>
      <c r="O229" s="62"/>
      <c r="P229" s="62"/>
      <c r="Q229" s="140"/>
      <c r="R229" s="140"/>
      <c r="S229" s="140"/>
      <c r="T229" s="140"/>
      <c r="U229" s="140"/>
      <c r="V229" s="140"/>
      <c r="W229" s="140"/>
      <c r="X229" s="140"/>
      <c r="Y229" s="96"/>
      <c r="Z229" s="96"/>
    </row>
    <row r="230" spans="1:26" ht="25.15" customHeight="1" thickBot="1">
      <c r="A230" s="62"/>
      <c r="B230" s="62"/>
      <c r="C230" s="120"/>
      <c r="D230" s="439" t="s">
        <v>303</v>
      </c>
      <c r="E230" s="491"/>
      <c r="F230" s="789" t="s">
        <v>846</v>
      </c>
      <c r="G230" s="1383" t="s">
        <v>847</v>
      </c>
      <c r="H230" s="1386"/>
      <c r="I230" s="1386"/>
      <c r="J230" s="1386"/>
      <c r="K230" s="1386"/>
      <c r="L230" s="1387"/>
      <c r="M230" s="62"/>
      <c r="N230" s="447"/>
      <c r="O230" s="62"/>
      <c r="P230" s="62"/>
      <c r="Q230" s="140"/>
      <c r="R230" s="140"/>
      <c r="S230" s="140"/>
      <c r="T230" s="140"/>
      <c r="U230" s="140"/>
      <c r="V230" s="140"/>
      <c r="W230" s="140"/>
      <c r="X230" s="140"/>
      <c r="Y230" s="140"/>
    </row>
    <row r="231" spans="1:26">
      <c r="A231" s="62"/>
      <c r="B231" s="447"/>
      <c r="C231" s="447"/>
      <c r="D231"/>
      <c r="E231" s="447"/>
      <c r="F231" s="447"/>
      <c r="G231" s="447"/>
      <c r="H231" s="447"/>
      <c r="I231" s="447"/>
      <c r="J231" s="447"/>
      <c r="K231" s="447"/>
      <c r="L231" s="447"/>
      <c r="M231" s="447"/>
      <c r="N231" s="447"/>
      <c r="O231" s="447"/>
      <c r="P231" s="62"/>
      <c r="Q231" s="140"/>
      <c r="R231" s="140"/>
      <c r="S231" s="140"/>
      <c r="T231" s="140"/>
      <c r="U231" s="140"/>
      <c r="V231" s="140"/>
      <c r="W231" s="140"/>
      <c r="X231" s="140"/>
      <c r="Y231" s="140"/>
    </row>
    <row r="232" spans="1:26" ht="13.5">
      <c r="B232"/>
      <c r="C232"/>
      <c r="D232"/>
      <c r="E232"/>
      <c r="F232"/>
      <c r="G232"/>
      <c r="H232"/>
      <c r="I232"/>
      <c r="J232"/>
      <c r="K232"/>
      <c r="L232"/>
      <c r="M232"/>
      <c r="N232"/>
      <c r="O232"/>
    </row>
  </sheetData>
  <sheetProtection algorithmName="SHA-512" hashValue="EGn0uRRMUORqe8PZ18lYZVuwJkjIVfxMf9AnFPx2p9O6n0BNLKicKRM+ZJtcaSxwDKKsEr1lhOVIHpREzf8CoQ==" saltValue="aIN0xBHZndgOMw6zm27DUw==" spinCount="100000" sheet="1" formatCells="0"/>
  <mergeCells count="26">
    <mergeCell ref="E214:L214"/>
    <mergeCell ref="F185:H185"/>
    <mergeCell ref="I185:L189"/>
    <mergeCell ref="F186:H186"/>
    <mergeCell ref="F187:H187"/>
    <mergeCell ref="F188:H188"/>
    <mergeCell ref="F189:H189"/>
    <mergeCell ref="F190:H190"/>
    <mergeCell ref="I190:L192"/>
    <mergeCell ref="F191:H191"/>
    <mergeCell ref="F192:H192"/>
    <mergeCell ref="F203:H203"/>
    <mergeCell ref="I203:L203"/>
    <mergeCell ref="I204:L205"/>
    <mergeCell ref="I206:L206"/>
    <mergeCell ref="F143:G143"/>
    <mergeCell ref="H143:L143"/>
    <mergeCell ref="F156:G156"/>
    <mergeCell ref="H156:L156"/>
    <mergeCell ref="F184:H184"/>
    <mergeCell ref="I184:L184"/>
    <mergeCell ref="G226:L226"/>
    <mergeCell ref="G227:L227"/>
    <mergeCell ref="G228:L228"/>
    <mergeCell ref="G229:L229"/>
    <mergeCell ref="G230:L230"/>
  </mergeCells>
  <phoneticPr fontId="3"/>
  <conditionalFormatting sqref="D15">
    <cfRule type="expression" dxfId="119" priority="1" stopIfTrue="1">
      <formula>AND(OR(D15&lt;1,D15&gt;5),D15&lt;&gt;0)</formula>
    </cfRule>
  </conditionalFormatting>
  <conditionalFormatting sqref="D24">
    <cfRule type="expression" dxfId="118" priority="13" stopIfTrue="1">
      <formula>AND(OR(D24&lt;1,D24&gt;5),D24&lt;&gt;0)</formula>
    </cfRule>
  </conditionalFormatting>
  <conditionalFormatting sqref="D33">
    <cfRule type="expression" dxfId="117" priority="12" stopIfTrue="1">
      <formula>AND(OR(D33&lt;1,D33&gt;5),D33&lt;&gt;0)</formula>
    </cfRule>
  </conditionalFormatting>
  <conditionalFormatting sqref="D43">
    <cfRule type="expression" dxfId="116" priority="11" stopIfTrue="1">
      <formula>AND(OR(D43&lt;1,D43&gt;5),D43&lt;&gt;0)</formula>
    </cfRule>
  </conditionalFormatting>
  <conditionalFormatting sqref="D53">
    <cfRule type="expression" dxfId="115" priority="10" stopIfTrue="1">
      <formula>AND(OR(D53&lt;1,D53&gt;5),D53&lt;&gt;0)</formula>
    </cfRule>
  </conditionalFormatting>
  <conditionalFormatting sqref="D61">
    <cfRule type="expression" dxfId="114" priority="9" stopIfTrue="1">
      <formula>AND(OR(D61&lt;1,D61&gt;5),D61&lt;&gt;0)</formula>
    </cfRule>
  </conditionalFormatting>
  <conditionalFormatting sqref="D69">
    <cfRule type="expression" dxfId="113" priority="8" stopIfTrue="1">
      <formula>AND(OR(D69&lt;1,D69&gt;5),D69&lt;&gt;0)</formula>
    </cfRule>
  </conditionalFormatting>
  <conditionalFormatting sqref="D79">
    <cfRule type="expression" dxfId="112" priority="7" stopIfTrue="1">
      <formula>AND(OR(D79&lt;1,D79&gt;5),D79&lt;&gt;0)</formula>
    </cfRule>
  </conditionalFormatting>
  <conditionalFormatting sqref="D87">
    <cfRule type="expression" dxfId="111" priority="6" stopIfTrue="1">
      <formula>AND(OR(D87&lt;1,D87&gt;5),D87&lt;&gt;0)</formula>
    </cfRule>
  </conditionalFormatting>
  <conditionalFormatting sqref="D96">
    <cfRule type="expression" dxfId="110" priority="5" stopIfTrue="1">
      <formula>AND(OR(D96&lt;1,D96&gt;5),D96&lt;&gt;0)</formula>
    </cfRule>
  </conditionalFormatting>
  <conditionalFormatting sqref="D107">
    <cfRule type="expression" dxfId="109" priority="4" stopIfTrue="1">
      <formula>AND(OR(D107&lt;1,D107&gt;5),D107&lt;&gt;0)</formula>
    </cfRule>
  </conditionalFormatting>
  <conditionalFormatting sqref="D117">
    <cfRule type="expression" dxfId="108" priority="3" stopIfTrue="1">
      <formula>AND(OR(D117&lt;1,D117&gt;5),D117&lt;&gt;0)</formula>
    </cfRule>
  </conditionalFormatting>
  <conditionalFormatting sqref="D125">
    <cfRule type="expression" dxfId="107" priority="2" stopIfTrue="1">
      <formula>AND(OR(D125&lt;1,D125&gt;5),D125&lt;&gt;0)</formula>
    </cfRule>
  </conditionalFormatting>
  <conditionalFormatting sqref="D135">
    <cfRule type="expression" dxfId="106" priority="27" stopIfTrue="1">
      <formula>AND(OR(D135&lt;1,D135&gt;5),D135&lt;&gt;0)</formula>
    </cfRule>
  </conditionalFormatting>
  <conditionalFormatting sqref="D148">
    <cfRule type="expression" dxfId="105" priority="28" stopIfTrue="1">
      <formula>AND(OR(D148&lt;1,D148&gt;5),D148&lt;&gt;0)</formula>
    </cfRule>
  </conditionalFormatting>
  <conditionalFormatting sqref="D161">
    <cfRule type="expression" dxfId="104" priority="29" stopIfTrue="1">
      <formula>AND(OR(D161&lt;1,D161&gt;5),D161&lt;&gt;0)</formula>
    </cfRule>
  </conditionalFormatting>
  <conditionalFormatting sqref="D176">
    <cfRule type="expression" dxfId="103" priority="30" stopIfTrue="1">
      <formula>AND(OR(D176&lt;1,D176&gt;5),D176&lt;&gt;0)</formula>
    </cfRule>
  </conditionalFormatting>
  <conditionalFormatting sqref="D195">
    <cfRule type="expression" dxfId="102" priority="61" stopIfTrue="1">
      <formula>AND(OR(D195&lt;1,D195&gt;5),D195&lt;&gt;0)</formula>
    </cfRule>
  </conditionalFormatting>
  <conditionalFormatting sqref="D209">
    <cfRule type="expression" dxfId="101" priority="14" stopIfTrue="1">
      <formula>AND(OR(D209&lt;1,D209&gt;5),D209&lt;&gt;0)</formula>
    </cfRule>
  </conditionalFormatting>
  <conditionalFormatting sqref="D218">
    <cfRule type="expression" dxfId="100" priority="60" stopIfTrue="1">
      <formula>AND(OR(D218&lt;1,D218&gt;5),D218&lt;&gt;0)</formula>
    </cfRule>
  </conditionalFormatting>
  <dataValidations xWindow="204" yWindow="530" count="4">
    <dataValidation type="list" allowBlank="1" showInputMessage="1" sqref="D209 D125 D24 D43 D53 D61 D69 D79 D87 D33 D107 D117 D96" xr:uid="{FF399BA8-B27B-42B2-9AFB-0B42045A1550}">
      <formula1>N25:N30</formula1>
    </dataValidation>
    <dataValidation allowBlank="1" showInputMessage="1" sqref="D195 D176 D218 D161 D148 D135" xr:uid="{F7F0D515-D903-4792-8488-90DD4C83D753}"/>
    <dataValidation type="list" allowBlank="1" showInputMessage="1" showErrorMessage="1" sqref="E144:E145 E170:E172 E157:E158 E227:E230 E204:E206 E185:E192" xr:uid="{00000000-0002-0000-0400-000010000000}">
      <formula1>$R$2:$R$4</formula1>
    </dataValidation>
    <dataValidation type="list" allowBlank="1" showInputMessage="1" showErrorMessage="1" sqref="D15" xr:uid="{E322A3B6-7874-4149-8266-D47AD4BA38BC}">
      <formula1>N16:N21</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40" max="12" man="1"/>
  </rowBreaks>
  <extLst>
    <ext xmlns:x14="http://schemas.microsoft.com/office/spreadsheetml/2009/9/main" uri="{78C0D931-6437-407d-A8EE-F0AAD7539E65}">
      <x14:conditionalFormattings>
        <x14:conditionalFormatting xmlns:xm="http://schemas.microsoft.com/office/excel/2006/main">
          <x14:cfRule type="expression" priority="77" stopIfTrue="1" id="{EBD2B8AC-E4C0-42EE-83E2-D757271463DE}">
            <xm:f>採点Q2!$D$263="対象外"</xm:f>
            <x14:dxf>
              <fill>
                <patternFill>
                  <bgColor theme="0" tint="-0.24994659260841701"/>
                </patternFill>
              </fill>
            </x14:dxf>
          </x14:cfRule>
          <xm:sqref>E144:E145</xm:sqref>
        </x14:conditionalFormatting>
        <x14:conditionalFormatting xmlns:xm="http://schemas.microsoft.com/office/excel/2006/main">
          <x14:cfRule type="expression" priority="79" stopIfTrue="1" id="{D9075471-64D9-44A3-B2A8-3B96564E222F}">
            <xm:f>採点Q2!$D$263="対象外"</xm:f>
            <x14:dxf>
              <fill>
                <patternFill>
                  <bgColor theme="0" tint="-0.24994659260841701"/>
                </patternFill>
              </fill>
            </x14:dxf>
          </x14:cfRule>
          <xm:sqref>E157:E158</xm:sqref>
        </x14:conditionalFormatting>
        <x14:conditionalFormatting xmlns:xm="http://schemas.microsoft.com/office/excel/2006/main">
          <x14:cfRule type="expression" priority="307" stopIfTrue="1" id="{7AE280EB-C820-47B0-A2DA-56065B827F12}">
            <xm:f>採点Q2!$D$263="対象外"</xm:f>
            <x14:dxf>
              <fill>
                <patternFill>
                  <bgColor theme="0" tint="-0.24994659260841701"/>
                </patternFill>
              </fill>
            </x14:dxf>
          </x14:cfRule>
          <xm:sqref>E170:E172 E185:E192 E204:E206 E227:E230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AA275"/>
  <sheetViews>
    <sheetView showGridLines="0" zoomScaleNormal="100" zoomScaleSheetLayoutView="85" workbookViewId="0">
      <selection activeCell="D14" sqref="D14"/>
    </sheetView>
  </sheetViews>
  <sheetFormatPr defaultColWidth="9" defaultRowHeight="14.25"/>
  <cols>
    <col min="1" max="1" width="0.75" style="96" customWidth="1"/>
    <col min="2" max="2" width="2" style="96" customWidth="1"/>
    <col min="3" max="3" width="2.875" style="50" customWidth="1"/>
    <col min="4" max="4" width="14.25" style="96" customWidth="1"/>
    <col min="5" max="5" width="11.75" style="96" customWidth="1"/>
    <col min="6" max="7" width="9.875" style="96" customWidth="1"/>
    <col min="8" max="12" width="10.875" style="96" customWidth="1"/>
    <col min="13" max="13" width="1.75" style="96" customWidth="1"/>
    <col min="14" max="19" width="9.625" style="164" hidden="1" customWidth="1"/>
    <col min="20" max="21" width="9.625" style="164" customWidth="1"/>
    <col min="22" max="25" width="8.875" style="164" customWidth="1"/>
    <col min="26" max="16384" width="9" style="96"/>
  </cols>
  <sheetData>
    <row r="1" spans="1:27" customFormat="1" ht="13.5">
      <c r="I1" s="483" t="s">
        <v>319</v>
      </c>
      <c r="J1" s="484" t="str">
        <f>メイン!C10</f>
        <v>Aプロジェクト</v>
      </c>
      <c r="K1" s="485"/>
      <c r="L1" s="484"/>
      <c r="N1" s="140"/>
      <c r="O1" s="140"/>
      <c r="P1" s="140"/>
      <c r="Q1" s="140"/>
      <c r="R1" s="140"/>
    </row>
    <row r="2" spans="1:27" customFormat="1" hidden="1">
      <c r="N2" s="448">
        <v>1</v>
      </c>
      <c r="O2" s="448" t="s">
        <v>320</v>
      </c>
      <c r="P2" s="448" t="s">
        <v>321</v>
      </c>
      <c r="Q2" s="140"/>
      <c r="R2" s="369"/>
    </row>
    <row r="3" spans="1:27" customFormat="1" hidden="1">
      <c r="N3" s="448">
        <v>2</v>
      </c>
      <c r="O3" s="448" t="s">
        <v>322</v>
      </c>
      <c r="P3" s="448" t="s">
        <v>323</v>
      </c>
      <c r="Q3" s="140"/>
      <c r="R3" s="369" t="s">
        <v>324</v>
      </c>
    </row>
    <row r="4" spans="1:27" customFormat="1" hidden="1">
      <c r="N4" s="448">
        <v>3</v>
      </c>
      <c r="O4" s="448" t="s">
        <v>325</v>
      </c>
      <c r="P4" s="448" t="s">
        <v>326</v>
      </c>
      <c r="Q4" s="140"/>
      <c r="R4" s="444" t="s">
        <v>327</v>
      </c>
    </row>
    <row r="5" spans="1:27" customFormat="1" hidden="1">
      <c r="N5" s="448">
        <v>4</v>
      </c>
      <c r="O5" s="448" t="s">
        <v>328</v>
      </c>
      <c r="P5" s="448" t="s">
        <v>329</v>
      </c>
      <c r="Q5" s="140"/>
      <c r="R5" s="140"/>
    </row>
    <row r="6" spans="1:27" customFormat="1" hidden="1">
      <c r="N6" s="448">
        <v>5</v>
      </c>
      <c r="O6" s="448" t="s">
        <v>330</v>
      </c>
      <c r="P6" s="448" t="s">
        <v>331</v>
      </c>
    </row>
    <row r="7" spans="1:27" customFormat="1" ht="13.5" hidden="1">
      <c r="G7" s="96"/>
    </row>
    <row r="8" spans="1:27" customFormat="1" ht="13.5" hidden="1"/>
    <row r="9" spans="1:27" s="7" customFormat="1" ht="18.75" thickBot="1">
      <c r="A9" s="670"/>
      <c r="B9" s="665" t="s">
        <v>1083</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50" customFormat="1" ht="15.75">
      <c r="B12" s="666" t="s">
        <v>979</v>
      </c>
      <c r="C12" s="666"/>
      <c r="D12" s="672"/>
      <c r="F12" s="137"/>
      <c r="H12" s="674"/>
      <c r="I12" s="96"/>
      <c r="J12" s="96"/>
      <c r="K12" s="96"/>
      <c r="L12" s="96"/>
      <c r="M12" s="96"/>
    </row>
    <row r="13" spans="1:27" s="50" customFormat="1" ht="16.5" thickBot="1">
      <c r="C13" s="666" t="s">
        <v>412</v>
      </c>
      <c r="D13" s="163"/>
      <c r="E13" s="664"/>
      <c r="F13" s="675"/>
      <c r="G13" s="675"/>
      <c r="H13" s="675"/>
      <c r="I13" s="459"/>
      <c r="J13" s="664"/>
      <c r="K13" s="664"/>
      <c r="L13" s="676"/>
      <c r="M13" s="664"/>
      <c r="N13" s="62"/>
      <c r="O13" s="62"/>
    </row>
    <row r="14" spans="1:27" s="49" customFormat="1" ht="16.5" thickBot="1">
      <c r="B14" s="664"/>
      <c r="C14" s="664"/>
      <c r="D14" s="434">
        <v>3</v>
      </c>
      <c r="E14" s="453" t="s">
        <v>1229</v>
      </c>
      <c r="F14" s="453"/>
      <c r="G14" s="453"/>
      <c r="H14" s="453"/>
      <c r="I14" s="453"/>
      <c r="J14" s="453"/>
      <c r="K14" s="453"/>
      <c r="L14" s="454"/>
      <c r="M14" s="62"/>
      <c r="N14" s="448" t="s">
        <v>336</v>
      </c>
      <c r="O14" s="448" t="s">
        <v>337</v>
      </c>
    </row>
    <row r="15" spans="1:27" s="49" customFormat="1" ht="15.75">
      <c r="B15" s="664"/>
      <c r="C15" s="664"/>
      <c r="D15" s="435" t="str">
        <f>IF(ROUNDDOWN(D14,0)=$N$2,$P$2,$O$2)</f>
        <v>　レベル　1</v>
      </c>
      <c r="E15" s="460" t="s">
        <v>413</v>
      </c>
      <c r="F15" s="500"/>
      <c r="G15" s="500"/>
      <c r="H15" s="500"/>
      <c r="I15" s="500"/>
      <c r="J15" s="500"/>
      <c r="K15" s="500"/>
      <c r="L15" s="508"/>
      <c r="M15" s="664"/>
      <c r="N15" s="449">
        <v>1</v>
      </c>
      <c r="O15" s="450"/>
    </row>
    <row r="16" spans="1:27" s="49" customFormat="1" ht="15.75">
      <c r="B16" s="664"/>
      <c r="C16" s="664"/>
      <c r="D16" s="436" t="str">
        <f>IF(ROUNDDOWN(D14,0)=$N$3,$P$3,$O$3)</f>
        <v>　レベル　2</v>
      </c>
      <c r="E16" s="463" t="s">
        <v>414</v>
      </c>
      <c r="F16" s="501"/>
      <c r="G16" s="501"/>
      <c r="H16" s="501"/>
      <c r="I16" s="501"/>
      <c r="J16" s="501"/>
      <c r="K16" s="501"/>
      <c r="L16" s="509"/>
      <c r="M16" s="62"/>
      <c r="N16" s="449" t="s">
        <v>312</v>
      </c>
      <c r="O16" s="450"/>
    </row>
    <row r="17" spans="1:15" s="49" customFormat="1" ht="15.75">
      <c r="B17" s="664"/>
      <c r="C17" s="664"/>
      <c r="D17" s="436" t="str">
        <f>IF(ROUNDDOWN(D14,0)=$N$4,$P$4,$O$4)</f>
        <v>■レベル　3</v>
      </c>
      <c r="E17" s="463" t="s">
        <v>415</v>
      </c>
      <c r="F17" s="501"/>
      <c r="G17" s="501"/>
      <c r="H17" s="501"/>
      <c r="I17" s="501"/>
      <c r="J17" s="501"/>
      <c r="K17" s="501"/>
      <c r="L17" s="509"/>
      <c r="M17" s="664"/>
      <c r="N17" s="449">
        <v>3</v>
      </c>
      <c r="O17" s="450"/>
    </row>
    <row r="18" spans="1:15" s="49" customFormat="1" ht="15.75">
      <c r="B18" s="664"/>
      <c r="C18" s="664"/>
      <c r="D18" s="436" t="str">
        <f>IF(ROUNDDOWN(D14,0)=$N$5,$P$5,$O$5)</f>
        <v>　レベル　4</v>
      </c>
      <c r="E18" s="466" t="s">
        <v>416</v>
      </c>
      <c r="F18" s="502"/>
      <c r="G18" s="502"/>
      <c r="H18" s="502"/>
      <c r="I18" s="502"/>
      <c r="J18" s="502"/>
      <c r="K18" s="502"/>
      <c r="L18" s="510"/>
      <c r="M18" s="62"/>
      <c r="N18" s="449">
        <v>4</v>
      </c>
      <c r="O18" s="450"/>
    </row>
    <row r="19" spans="1:15" s="49" customFormat="1" ht="15.75">
      <c r="B19" s="664"/>
      <c r="C19" s="664"/>
      <c r="D19" s="437" t="str">
        <f>IF(ROUNDDOWN(D14,0)=$N$6,$P$6,$O$6)</f>
        <v>　レベル　5</v>
      </c>
      <c r="E19" s="469" t="s">
        <v>417</v>
      </c>
      <c r="F19" s="480"/>
      <c r="G19" s="480"/>
      <c r="H19" s="480"/>
      <c r="I19" s="480"/>
      <c r="J19" s="480"/>
      <c r="K19" s="480"/>
      <c r="L19" s="511"/>
      <c r="M19" s="664"/>
      <c r="N19" s="449">
        <v>5</v>
      </c>
      <c r="O19" s="450"/>
    </row>
    <row r="20" spans="1:15" s="49" customFormat="1" ht="15.75">
      <c r="B20" s="664"/>
      <c r="C20" s="664"/>
      <c r="D20" s="438" t="s">
        <v>341</v>
      </c>
      <c r="E20" s="1002"/>
      <c r="F20" s="494"/>
      <c r="G20" s="494"/>
      <c r="H20" s="679"/>
      <c r="I20"/>
      <c r="J20"/>
      <c r="K20"/>
      <c r="L20"/>
      <c r="M20" s="62"/>
      <c r="N20" s="449" t="s">
        <v>312</v>
      </c>
      <c r="O20" s="452"/>
    </row>
    <row r="21" spans="1:15" customFormat="1" ht="13.5">
      <c r="F21" s="306"/>
    </row>
    <row r="22" spans="1:15" s="50" customFormat="1" ht="15.75">
      <c r="C22" s="666" t="s">
        <v>418</v>
      </c>
      <c r="D22" s="672"/>
      <c r="F22" s="137"/>
      <c r="H22" s="677"/>
      <c r="I22" s="96"/>
      <c r="J22" s="96"/>
      <c r="K22" s="96"/>
      <c r="L22" s="96"/>
      <c r="M22" s="96"/>
    </row>
    <row r="23" spans="1:15" s="50" customFormat="1" ht="16.5" thickBot="1">
      <c r="B23" s="666"/>
      <c r="C23" s="666"/>
      <c r="D23" s="163" t="s">
        <v>980</v>
      </c>
      <c r="E23" s="664"/>
      <c r="F23" s="675"/>
      <c r="G23" s="675"/>
      <c r="H23" s="675"/>
      <c r="I23" s="459"/>
      <c r="J23" s="664"/>
      <c r="K23" s="664"/>
      <c r="L23" s="676"/>
      <c r="M23" s="664"/>
      <c r="N23" s="62"/>
      <c r="O23" s="62"/>
    </row>
    <row r="24" spans="1:15" s="49" customFormat="1" ht="16.5" thickBot="1">
      <c r="B24" s="664"/>
      <c r="C24" s="664"/>
      <c r="D24" s="434">
        <v>3</v>
      </c>
      <c r="E24" s="453" t="s">
        <v>1229</v>
      </c>
      <c r="F24" s="453"/>
      <c r="G24" s="453"/>
      <c r="H24" s="453"/>
      <c r="I24" s="453"/>
      <c r="J24" s="453"/>
      <c r="K24" s="453"/>
      <c r="L24" s="454"/>
      <c r="M24" s="62"/>
      <c r="N24" s="448" t="s">
        <v>336</v>
      </c>
      <c r="O24" s="448" t="s">
        <v>337</v>
      </c>
    </row>
    <row r="25" spans="1:15" s="49" customFormat="1" ht="15.75">
      <c r="B25" s="664"/>
      <c r="C25" s="664"/>
      <c r="D25" s="435" t="str">
        <f>IF(ROUNDDOWN(D24,0)=$N$2,$P$2,$O$2)</f>
        <v>　レベル　1</v>
      </c>
      <c r="E25" s="460" t="s">
        <v>419</v>
      </c>
      <c r="F25" s="500"/>
      <c r="G25" s="500"/>
      <c r="H25" s="500"/>
      <c r="I25" s="500"/>
      <c r="J25" s="500"/>
      <c r="K25" s="500"/>
      <c r="L25" s="508"/>
      <c r="M25" s="664"/>
      <c r="N25" s="449">
        <v>1</v>
      </c>
      <c r="O25" s="450"/>
    </row>
    <row r="26" spans="1:15" s="49" customFormat="1" ht="15.75">
      <c r="B26" s="664"/>
      <c r="C26" s="664"/>
      <c r="D26" s="436" t="str">
        <f>IF(ROUNDDOWN(D24,0)=$N$3,$P$3,$O$3)</f>
        <v>　レベル　2</v>
      </c>
      <c r="E26" s="463" t="s">
        <v>414</v>
      </c>
      <c r="F26" s="501"/>
      <c r="G26" s="501"/>
      <c r="H26" s="501"/>
      <c r="I26" s="501"/>
      <c r="J26" s="501"/>
      <c r="K26" s="501"/>
      <c r="L26" s="509"/>
      <c r="M26" s="62"/>
      <c r="N26" s="449" t="s">
        <v>312</v>
      </c>
      <c r="O26" s="450"/>
    </row>
    <row r="27" spans="1:15" s="49" customFormat="1" ht="15.75">
      <c r="B27" s="664"/>
      <c r="C27" s="664"/>
      <c r="D27" s="436" t="str">
        <f>IF(ROUNDDOWN(D24,0)=$N$4,$P$4,$O$4)</f>
        <v>■レベル　3</v>
      </c>
      <c r="E27" s="463" t="s">
        <v>420</v>
      </c>
      <c r="F27" s="501"/>
      <c r="G27" s="501"/>
      <c r="H27" s="501"/>
      <c r="I27" s="501"/>
      <c r="J27" s="501"/>
      <c r="K27" s="501"/>
      <c r="L27" s="509"/>
      <c r="M27" s="664"/>
      <c r="N27" s="449">
        <v>3</v>
      </c>
      <c r="O27" s="450"/>
    </row>
    <row r="28" spans="1:15" s="49" customFormat="1" ht="15.75">
      <c r="B28" s="664"/>
      <c r="C28" s="664"/>
      <c r="D28" s="436" t="str">
        <f>IF(ROUNDDOWN(D24,0)=$N$5,$P$5,$O$5)</f>
        <v>　レベル　4</v>
      </c>
      <c r="E28" s="711" t="s">
        <v>421</v>
      </c>
      <c r="F28" s="502"/>
      <c r="G28" s="502"/>
      <c r="H28" s="502"/>
      <c r="I28" s="502"/>
      <c r="J28" s="502"/>
      <c r="K28" s="502"/>
      <c r="L28" s="510"/>
      <c r="M28" s="62"/>
      <c r="N28" s="449">
        <v>4</v>
      </c>
      <c r="O28" s="450"/>
    </row>
    <row r="29" spans="1:15" s="49" customFormat="1" ht="15.75">
      <c r="B29" s="664"/>
      <c r="C29" s="664"/>
      <c r="D29" s="437" t="str">
        <f>IF(ROUNDDOWN(D24,0)=$N$6,$P$6,$O$6)</f>
        <v>　レベル　5</v>
      </c>
      <c r="E29" s="712" t="s">
        <v>422</v>
      </c>
      <c r="F29" s="480"/>
      <c r="G29" s="480"/>
      <c r="H29" s="480"/>
      <c r="I29" s="480"/>
      <c r="J29" s="480"/>
      <c r="K29" s="480"/>
      <c r="L29" s="511"/>
      <c r="M29" s="664"/>
      <c r="N29" s="449">
        <v>5</v>
      </c>
      <c r="O29" s="450"/>
    </row>
    <row r="30" spans="1:15" s="49" customFormat="1" ht="15.75">
      <c r="B30" s="664"/>
      <c r="C30" s="664"/>
      <c r="D30" s="438" t="s">
        <v>341</v>
      </c>
      <c r="E30" s="1002"/>
      <c r="F30" s="494"/>
      <c r="G30" s="494"/>
      <c r="H30" s="679"/>
      <c r="I30"/>
      <c r="J30"/>
      <c r="K30"/>
      <c r="L30"/>
      <c r="M30" s="62"/>
      <c r="N30" s="449" t="s">
        <v>312</v>
      </c>
      <c r="O30" s="452"/>
    </row>
    <row r="31" spans="1:15" customFormat="1" ht="13.5">
      <c r="F31" s="306"/>
    </row>
    <row r="32" spans="1:15" s="49" customFormat="1" ht="16.5" thickBot="1">
      <c r="A32" s="664"/>
      <c r="B32" s="163"/>
      <c r="C32" s="668"/>
      <c r="D32" s="163" t="s">
        <v>981</v>
      </c>
      <c r="E32" s="447"/>
      <c r="F32" s="495"/>
      <c r="G32" s="495"/>
      <c r="H32" s="495"/>
      <c r="I32" s="459"/>
      <c r="J32" s="447"/>
      <c r="K32" s="447"/>
      <c r="L32" s="447"/>
      <c r="M32" s="447"/>
      <c r="N32" s="447"/>
      <c r="O32" s="62"/>
    </row>
    <row r="33" spans="1:26" s="49" customFormat="1" ht="16.5" thickBot="1">
      <c r="B33" s="664"/>
      <c r="C33" s="664"/>
      <c r="D33" s="1031">
        <f>IF(AND(OR(E42=R3,E43=R3),E46=R3),N38,IF(AND(OR(E42=R3,E43=R3),OR(E44=R3,E45=R3)),N37,IF(OR(E42=R3,E43=R3),N36,N34)))</f>
        <v>3</v>
      </c>
      <c r="E33" s="453" t="s">
        <v>1229</v>
      </c>
      <c r="F33" s="453"/>
      <c r="G33" s="453"/>
      <c r="H33" s="453"/>
      <c r="I33" s="453"/>
      <c r="J33" s="453"/>
      <c r="K33" s="453"/>
      <c r="L33" s="454"/>
      <c r="M33" s="62"/>
      <c r="N33" s="448" t="s">
        <v>336</v>
      </c>
      <c r="O33" s="448" t="s">
        <v>337</v>
      </c>
    </row>
    <row r="34" spans="1:26" s="49" customFormat="1" ht="15.75">
      <c r="B34" s="664"/>
      <c r="C34" s="664"/>
      <c r="D34" s="435" t="str">
        <f>IF(ROUNDDOWN(D33,0)=$N$2,$P$2,$O$2)</f>
        <v>　レベル　1</v>
      </c>
      <c r="E34" s="1027" t="s">
        <v>1266</v>
      </c>
      <c r="F34" s="461"/>
      <c r="G34" s="461"/>
      <c r="H34" s="461"/>
      <c r="I34" s="461"/>
      <c r="J34" s="461"/>
      <c r="K34" s="461"/>
      <c r="L34" s="462"/>
      <c r="M34" s="664"/>
      <c r="N34" s="449">
        <v>1</v>
      </c>
      <c r="O34" s="448"/>
    </row>
    <row r="35" spans="1:26" s="49" customFormat="1" ht="15.75">
      <c r="B35" s="664"/>
      <c r="C35" s="664"/>
      <c r="D35" s="436" t="str">
        <f>IF(ROUNDDOWN(D33,0)=$N$3,$P$3,$O$3)</f>
        <v>　レベル　2</v>
      </c>
      <c r="E35" s="1024" t="s">
        <v>414</v>
      </c>
      <c r="F35" s="464"/>
      <c r="G35" s="464"/>
      <c r="H35" s="464"/>
      <c r="I35" s="464"/>
      <c r="J35" s="464"/>
      <c r="K35" s="464"/>
      <c r="L35" s="465"/>
      <c r="M35" s="62"/>
      <c r="N35" s="449" t="s">
        <v>312</v>
      </c>
      <c r="O35" s="448"/>
    </row>
    <row r="36" spans="1:26" s="49" customFormat="1" ht="15.75">
      <c r="B36" s="664"/>
      <c r="C36" s="664"/>
      <c r="D36" s="436" t="str">
        <f>IF(ROUNDDOWN(D33,0)=$N$4,$P$4,$O$4)</f>
        <v>■レベル　3</v>
      </c>
      <c r="E36" s="1024" t="s">
        <v>1322</v>
      </c>
      <c r="F36" s="464"/>
      <c r="G36" s="464"/>
      <c r="H36" s="464"/>
      <c r="I36" s="464"/>
      <c r="J36" s="464"/>
      <c r="K36" s="464"/>
      <c r="L36" s="465"/>
      <c r="M36" s="664"/>
      <c r="N36" s="449">
        <v>3</v>
      </c>
      <c r="O36" s="448"/>
    </row>
    <row r="37" spans="1:26" s="49" customFormat="1" ht="15.75">
      <c r="B37" s="664"/>
      <c r="C37" s="664"/>
      <c r="D37" s="436" t="str">
        <f>IF(ROUNDDOWN(D33,0)=$N$5,$P$5,$O$5)</f>
        <v>　レベル　4</v>
      </c>
      <c r="E37" s="1025" t="s">
        <v>1323</v>
      </c>
      <c r="F37" s="467"/>
      <c r="G37" s="467"/>
      <c r="H37" s="467"/>
      <c r="I37" s="467"/>
      <c r="J37" s="467"/>
      <c r="K37" s="467"/>
      <c r="L37" s="468"/>
      <c r="M37" s="62"/>
      <c r="N37" s="449">
        <v>4</v>
      </c>
      <c r="O37" s="448"/>
    </row>
    <row r="38" spans="1:26" s="49" customFormat="1" ht="15.75">
      <c r="B38" s="664"/>
      <c r="C38" s="664"/>
      <c r="D38" s="437" t="str">
        <f>IF(ROUNDDOWN(D33,0)=$N$6,$P$6,$O$6)</f>
        <v>　レベル　5</v>
      </c>
      <c r="E38" s="1026" t="s">
        <v>1324</v>
      </c>
      <c r="F38" s="470"/>
      <c r="G38" s="470"/>
      <c r="H38" s="470"/>
      <c r="I38" s="470"/>
      <c r="J38" s="470"/>
      <c r="K38" s="470"/>
      <c r="L38" s="471"/>
      <c r="M38" s="664"/>
      <c r="N38" s="449">
        <v>5</v>
      </c>
      <c r="O38" s="448"/>
    </row>
    <row r="39" spans="1:26" s="49" customFormat="1" ht="15.75">
      <c r="B39" s="664"/>
      <c r="C39" s="664"/>
      <c r="D39" s="438" t="s">
        <v>341</v>
      </c>
      <c r="E39" s="1002"/>
      <c r="F39" s="494"/>
      <c r="G39" s="494"/>
      <c r="H39" s="679"/>
      <c r="I39"/>
      <c r="J39"/>
      <c r="K39"/>
      <c r="L39"/>
      <c r="M39" s="664"/>
      <c r="N39" s="449" t="s">
        <v>312</v>
      </c>
      <c r="O39" s="448"/>
    </row>
    <row r="40" spans="1:26" customFormat="1" ht="15">
      <c r="C40" s="669"/>
      <c r="D40" s="438" t="s">
        <v>384</v>
      </c>
      <c r="E40" s="447"/>
      <c r="F40" s="495"/>
      <c r="G40" s="495"/>
      <c r="H40" s="495"/>
      <c r="I40" s="495"/>
      <c r="J40" s="447"/>
      <c r="K40" s="447"/>
      <c r="L40" s="447"/>
      <c r="M40" s="447"/>
      <c r="N40" s="164"/>
      <c r="O40" s="164"/>
    </row>
    <row r="41" spans="1:26" s="164" customFormat="1" ht="15.75" thickBot="1">
      <c r="A41" s="96"/>
      <c r="B41" s="96"/>
      <c r="C41" s="120"/>
      <c r="D41" s="174" t="s">
        <v>385</v>
      </c>
      <c r="E41" s="472">
        <f>COUNTIF(E42:E46,$R$3)</f>
        <v>1</v>
      </c>
      <c r="F41" s="1404" t="s">
        <v>830</v>
      </c>
      <c r="G41" s="1380"/>
      <c r="H41" s="1378" t="s">
        <v>831</v>
      </c>
      <c r="I41" s="1379"/>
      <c r="J41" s="1379"/>
      <c r="K41" s="1379"/>
      <c r="L41" s="1380"/>
      <c r="M41" s="447"/>
      <c r="N41"/>
      <c r="O41"/>
      <c r="P41"/>
      <c r="Q41" s="140"/>
      <c r="R41" s="140"/>
      <c r="S41" s="140"/>
      <c r="T41" s="140"/>
      <c r="U41" s="140"/>
      <c r="V41" s="140"/>
      <c r="W41" s="140"/>
      <c r="X41" s="140"/>
      <c r="Y41" s="96"/>
      <c r="Z41" s="96"/>
    </row>
    <row r="42" spans="1:26" s="164" customFormat="1" ht="22.9" customHeight="1">
      <c r="A42" s="96"/>
      <c r="B42" s="96"/>
      <c r="C42" s="120"/>
      <c r="D42" s="439" t="s">
        <v>300</v>
      </c>
      <c r="E42" s="440"/>
      <c r="F42" s="446" t="s">
        <v>423</v>
      </c>
      <c r="G42" s="473"/>
      <c r="H42" s="1415" t="s">
        <v>424</v>
      </c>
      <c r="I42" s="1416"/>
      <c r="J42" s="1416"/>
      <c r="K42" s="1416"/>
      <c r="L42" s="1414"/>
      <c r="M42" s="96"/>
      <c r="N42"/>
      <c r="O42"/>
      <c r="P42"/>
      <c r="Q42" s="140"/>
      <c r="R42" s="96"/>
      <c r="S42" s="140"/>
      <c r="T42" s="140"/>
      <c r="U42" s="140"/>
      <c r="V42" s="140"/>
      <c r="W42" s="140"/>
      <c r="X42" s="140"/>
      <c r="Y42" s="96"/>
      <c r="Z42" s="96"/>
    </row>
    <row r="43" spans="1:26" s="164" customFormat="1" ht="15">
      <c r="A43" s="96"/>
      <c r="B43" s="96"/>
      <c r="C43" s="120"/>
      <c r="D43" s="439" t="s">
        <v>301</v>
      </c>
      <c r="E43" s="441" t="s">
        <v>390</v>
      </c>
      <c r="F43" s="446" t="s">
        <v>425</v>
      </c>
      <c r="G43" s="473"/>
      <c r="H43" s="713" t="s">
        <v>426</v>
      </c>
      <c r="I43" s="473"/>
      <c r="J43" s="474"/>
      <c r="K43" s="474"/>
      <c r="L43" s="475"/>
      <c r="M43" s="96"/>
      <c r="N43"/>
      <c r="O43"/>
      <c r="P43"/>
      <c r="Q43" s="140"/>
      <c r="R43" s="140"/>
      <c r="S43" s="140"/>
      <c r="T43" s="140"/>
      <c r="U43" s="140"/>
      <c r="V43" s="140"/>
      <c r="W43" s="140"/>
      <c r="X43" s="140"/>
      <c r="Y43" s="96"/>
      <c r="Z43" s="96"/>
    </row>
    <row r="44" spans="1:26" s="164" customFormat="1" ht="15">
      <c r="A44" s="96"/>
      <c r="B44" s="96"/>
      <c r="C44" s="120"/>
      <c r="D44" s="439" t="s">
        <v>302</v>
      </c>
      <c r="E44" s="441"/>
      <c r="F44" s="446" t="s">
        <v>427</v>
      </c>
      <c r="G44" s="473"/>
      <c r="H44" s="713" t="s">
        <v>428</v>
      </c>
      <c r="I44" s="473"/>
      <c r="J44" s="474"/>
      <c r="K44" s="474"/>
      <c r="L44" s="475"/>
      <c r="M44" s="96"/>
      <c r="N44"/>
      <c r="O44"/>
      <c r="P44"/>
      <c r="Q44" s="140"/>
      <c r="R44" s="140"/>
      <c r="S44" s="140"/>
      <c r="T44" s="140"/>
      <c r="U44" s="140"/>
      <c r="V44" s="140"/>
      <c r="W44" s="140"/>
      <c r="X44" s="140"/>
      <c r="Y44" s="96"/>
      <c r="Z44" s="96"/>
    </row>
    <row r="45" spans="1:26" ht="15">
      <c r="C45" s="120"/>
      <c r="D45" s="439" t="s">
        <v>303</v>
      </c>
      <c r="E45" s="441"/>
      <c r="F45" s="446" t="s">
        <v>429</v>
      </c>
      <c r="G45" s="473"/>
      <c r="H45" s="713" t="s">
        <v>430</v>
      </c>
      <c r="I45" s="473"/>
      <c r="J45" s="474"/>
      <c r="K45" s="474"/>
      <c r="L45" s="475"/>
      <c r="N45"/>
      <c r="O45"/>
      <c r="P45"/>
      <c r="Q45" s="140"/>
      <c r="R45" s="140"/>
      <c r="S45" s="140"/>
      <c r="T45" s="140"/>
      <c r="U45" s="140"/>
      <c r="V45" s="140"/>
      <c r="W45" s="140"/>
      <c r="X45" s="140"/>
      <c r="Y45" s="140"/>
    </row>
    <row r="46" spans="1:26" ht="15.75" thickBot="1">
      <c r="C46" s="120"/>
      <c r="D46" s="439" t="s">
        <v>304</v>
      </c>
      <c r="E46" s="442"/>
      <c r="F46" s="446" t="s">
        <v>431</v>
      </c>
      <c r="G46" s="473"/>
      <c r="H46" s="713" t="s">
        <v>432</v>
      </c>
      <c r="I46" s="474"/>
      <c r="J46" s="474"/>
      <c r="K46" s="474"/>
      <c r="L46" s="475"/>
      <c r="N46"/>
      <c r="O46"/>
      <c r="P46"/>
      <c r="Q46" s="140"/>
      <c r="R46" s="96"/>
      <c r="S46" s="140"/>
      <c r="T46" s="140"/>
      <c r="U46" s="140"/>
      <c r="V46" s="140"/>
      <c r="W46" s="140"/>
      <c r="X46" s="140"/>
      <c r="Y46" s="140"/>
    </row>
    <row r="47" spans="1:26" customFormat="1" ht="13.5">
      <c r="F47" s="306"/>
    </row>
    <row r="48" spans="1:26" s="49" customFormat="1" ht="15.75">
      <c r="A48" s="664"/>
      <c r="B48" s="163"/>
      <c r="C48" s="668"/>
      <c r="D48" s="163" t="s">
        <v>982</v>
      </c>
      <c r="E48" s="664"/>
      <c r="F48" s="675"/>
      <c r="G48" s="664"/>
      <c r="H48" s="664"/>
      <c r="I48" s="664"/>
      <c r="J48" s="664"/>
      <c r="K48" s="664"/>
      <c r="L48" s="174"/>
      <c r="M48" s="664"/>
      <c r="N48" s="96"/>
    </row>
    <row r="49" spans="1:15" s="49" customFormat="1" ht="16.5" thickBot="1">
      <c r="A49" s="664"/>
      <c r="B49" s="163"/>
      <c r="C49" s="668"/>
      <c r="D49" s="805" t="s">
        <v>983</v>
      </c>
      <c r="E49" s="664"/>
      <c r="F49" s="675"/>
      <c r="G49" s="675"/>
      <c r="H49" s="675"/>
      <c r="I49" s="459"/>
      <c r="J49" s="664"/>
      <c r="K49" s="664"/>
      <c r="L49" s="676"/>
      <c r="M49" s="664"/>
      <c r="N49" s="62"/>
      <c r="O49" s="62"/>
    </row>
    <row r="50" spans="1:15" s="49" customFormat="1" ht="16.5" thickBot="1">
      <c r="B50" s="664"/>
      <c r="C50" s="664"/>
      <c r="D50" s="434">
        <v>3</v>
      </c>
      <c r="E50" s="453" t="s">
        <v>1229</v>
      </c>
      <c r="F50" s="453"/>
      <c r="G50" s="453"/>
      <c r="H50" s="453"/>
      <c r="I50" s="453"/>
      <c r="J50" s="453"/>
      <c r="K50" s="453"/>
      <c r="L50" s="454"/>
      <c r="M50" s="62"/>
      <c r="N50" s="448" t="s">
        <v>336</v>
      </c>
      <c r="O50" s="448" t="s">
        <v>337</v>
      </c>
    </row>
    <row r="51" spans="1:15" s="49" customFormat="1" ht="15.75">
      <c r="B51" s="664"/>
      <c r="C51" s="664"/>
      <c r="D51" s="435" t="str">
        <f>IF(ROUNDDOWN(D50,0)=$N$2,$P$2,$O$2)</f>
        <v>　レベル　1</v>
      </c>
      <c r="E51" s="460" t="s">
        <v>433</v>
      </c>
      <c r="F51" s="500"/>
      <c r="G51" s="500"/>
      <c r="H51" s="500"/>
      <c r="I51" s="500"/>
      <c r="J51" s="500"/>
      <c r="K51" s="500"/>
      <c r="L51" s="508"/>
      <c r="M51" s="664"/>
      <c r="N51" s="449">
        <v>1</v>
      </c>
      <c r="O51" s="450"/>
    </row>
    <row r="52" spans="1:15" s="49" customFormat="1" ht="15.75">
      <c r="B52" s="664"/>
      <c r="C52" s="664"/>
      <c r="D52" s="436" t="str">
        <f>IF(ROUNDDOWN(D50,0)=$N$3,$P$3,$O$3)</f>
        <v>　レベル　2</v>
      </c>
      <c r="E52" s="463" t="s">
        <v>414</v>
      </c>
      <c r="F52" s="501"/>
      <c r="G52" s="501"/>
      <c r="H52" s="501"/>
      <c r="I52" s="501"/>
      <c r="J52" s="501"/>
      <c r="K52" s="501"/>
      <c r="L52" s="509"/>
      <c r="M52" s="62"/>
      <c r="N52" s="449" t="s">
        <v>312</v>
      </c>
      <c r="O52" s="450"/>
    </row>
    <row r="53" spans="1:15" s="49" customFormat="1" ht="15.75">
      <c r="B53" s="664"/>
      <c r="C53" s="664"/>
      <c r="D53" s="436" t="str">
        <f>IF(ROUNDDOWN(D50,0)=$N$4,$P$4,$O$4)</f>
        <v>■レベル　3</v>
      </c>
      <c r="E53" s="714" t="s">
        <v>434</v>
      </c>
      <c r="F53" s="501"/>
      <c r="G53" s="501"/>
      <c r="H53" s="501"/>
      <c r="I53" s="501"/>
      <c r="J53" s="501"/>
      <c r="K53" s="501"/>
      <c r="L53" s="509"/>
      <c r="M53" s="664"/>
      <c r="N53" s="449">
        <v>3</v>
      </c>
      <c r="O53" s="450"/>
    </row>
    <row r="54" spans="1:15" s="49" customFormat="1" ht="15.75">
      <c r="B54" s="664"/>
      <c r="C54" s="664"/>
      <c r="D54" s="436" t="str">
        <f>IF(ROUNDDOWN(D50,0)=$N$5,$P$5,$O$5)</f>
        <v>　レベル　4</v>
      </c>
      <c r="E54" s="466" t="s">
        <v>414</v>
      </c>
      <c r="F54" s="502"/>
      <c r="G54" s="502"/>
      <c r="H54" s="502"/>
      <c r="I54" s="502"/>
      <c r="J54" s="502"/>
      <c r="K54" s="502"/>
      <c r="L54" s="510"/>
      <c r="M54" s="62"/>
      <c r="N54" s="449" t="s">
        <v>312</v>
      </c>
      <c r="O54" s="450"/>
    </row>
    <row r="55" spans="1:15" s="49" customFormat="1" ht="15.75">
      <c r="B55" s="664"/>
      <c r="C55" s="664"/>
      <c r="D55" s="437" t="str">
        <f>IF(ROUNDDOWN(D50,0)=$N$6,$P$6,$O$6)</f>
        <v>　レベル　5</v>
      </c>
      <c r="E55" s="469" t="s">
        <v>1285</v>
      </c>
      <c r="F55" s="480"/>
      <c r="G55" s="480"/>
      <c r="H55" s="480"/>
      <c r="I55" s="480"/>
      <c r="J55" s="480"/>
      <c r="K55" s="480"/>
      <c r="L55" s="511"/>
      <c r="M55" s="664"/>
      <c r="N55" s="449">
        <v>5</v>
      </c>
      <c r="O55" s="450"/>
    </row>
    <row r="56" spans="1:15" s="49" customFormat="1" ht="15.75">
      <c r="B56" s="664"/>
      <c r="C56" s="664"/>
      <c r="D56" s="438" t="s">
        <v>341</v>
      </c>
      <c r="E56" s="1002"/>
      <c r="F56" s="494"/>
      <c r="G56" s="494"/>
      <c r="H56" s="679"/>
      <c r="I56"/>
      <c r="J56"/>
      <c r="K56"/>
      <c r="L56"/>
      <c r="M56" s="62"/>
      <c r="N56" s="449" t="s">
        <v>312</v>
      </c>
      <c r="O56" s="452"/>
    </row>
    <row r="57" spans="1:15" s="49" customFormat="1" ht="16.5" thickBot="1">
      <c r="A57" s="664"/>
      <c r="B57" s="163"/>
      <c r="C57" s="668"/>
      <c r="D57" s="163" t="s">
        <v>984</v>
      </c>
      <c r="E57" s="664"/>
      <c r="F57" s="675"/>
      <c r="G57" s="675"/>
      <c r="H57" s="675"/>
      <c r="I57" s="459"/>
      <c r="J57" s="664"/>
      <c r="K57" s="664"/>
      <c r="L57" s="676"/>
      <c r="M57" s="664"/>
      <c r="N57" s="62"/>
      <c r="O57" s="62"/>
    </row>
    <row r="58" spans="1:15" s="49" customFormat="1" ht="16.5" thickBot="1">
      <c r="B58" s="664"/>
      <c r="C58" s="664"/>
      <c r="D58" s="434">
        <v>3</v>
      </c>
      <c r="E58" s="453" t="s">
        <v>1229</v>
      </c>
      <c r="F58" s="453"/>
      <c r="G58" s="453"/>
      <c r="H58" s="453"/>
      <c r="I58" s="453"/>
      <c r="J58" s="453"/>
      <c r="K58" s="453"/>
      <c r="L58" s="454"/>
      <c r="M58" s="62"/>
      <c r="N58" s="448" t="s">
        <v>336</v>
      </c>
      <c r="O58" s="448" t="s">
        <v>337</v>
      </c>
    </row>
    <row r="59" spans="1:15" s="49" customFormat="1" ht="15.75">
      <c r="B59" s="664"/>
      <c r="C59" s="664"/>
      <c r="D59" s="435" t="str">
        <f>IF(ROUNDDOWN(D58,0)=$N$2,$P$2,$O$2)</f>
        <v>　レベル　1</v>
      </c>
      <c r="E59" s="460" t="s">
        <v>435</v>
      </c>
      <c r="F59" s="500"/>
      <c r="G59" s="500"/>
      <c r="H59" s="500"/>
      <c r="I59" s="500"/>
      <c r="J59" s="500"/>
      <c r="K59" s="500"/>
      <c r="L59" s="508"/>
      <c r="M59" s="664"/>
      <c r="N59" s="449">
        <v>1</v>
      </c>
      <c r="O59" s="450"/>
    </row>
    <row r="60" spans="1:15" s="49" customFormat="1" ht="15.75">
      <c r="B60" s="664"/>
      <c r="C60" s="664"/>
      <c r="D60" s="436" t="str">
        <f>IF(ROUNDDOWN(D58,0)=$N$3,$P$3,$O$3)</f>
        <v>　レベル　2</v>
      </c>
      <c r="E60" s="463" t="s">
        <v>414</v>
      </c>
      <c r="F60" s="501"/>
      <c r="G60" s="501"/>
      <c r="H60" s="501"/>
      <c r="I60" s="501"/>
      <c r="J60" s="501"/>
      <c r="K60" s="501"/>
      <c r="L60" s="509"/>
      <c r="M60" s="62"/>
      <c r="N60" s="449" t="s">
        <v>312</v>
      </c>
      <c r="O60" s="450"/>
    </row>
    <row r="61" spans="1:15" s="49" customFormat="1" ht="15.75">
      <c r="B61" s="664"/>
      <c r="C61" s="664"/>
      <c r="D61" s="436" t="str">
        <f>IF(ROUNDDOWN(D58,0)=$N$4,$P$4,$O$4)</f>
        <v>■レベル　3</v>
      </c>
      <c r="E61" s="463" t="s">
        <v>436</v>
      </c>
      <c r="F61" s="501"/>
      <c r="G61" s="501"/>
      <c r="H61" s="501"/>
      <c r="I61" s="501"/>
      <c r="J61" s="501"/>
      <c r="K61" s="501"/>
      <c r="L61" s="509"/>
      <c r="M61" s="664"/>
      <c r="N61" s="449">
        <v>3</v>
      </c>
      <c r="O61" s="450"/>
    </row>
    <row r="62" spans="1:15" s="49" customFormat="1" ht="15.75">
      <c r="B62" s="664"/>
      <c r="C62" s="664"/>
      <c r="D62" s="436" t="str">
        <f>IF(ROUNDDOWN(D58,0)=$N$5,$P$5,$O$5)</f>
        <v>　レベル　4</v>
      </c>
      <c r="E62" s="466" t="s">
        <v>414</v>
      </c>
      <c r="F62" s="502"/>
      <c r="G62" s="502"/>
      <c r="H62" s="502"/>
      <c r="I62" s="502"/>
      <c r="J62" s="502"/>
      <c r="K62" s="502"/>
      <c r="L62" s="510"/>
      <c r="M62" s="62"/>
      <c r="N62" s="449" t="s">
        <v>312</v>
      </c>
      <c r="O62" s="450"/>
    </row>
    <row r="63" spans="1:15" s="49" customFormat="1" ht="30.6" customHeight="1">
      <c r="B63" s="664"/>
      <c r="C63" s="664"/>
      <c r="D63" s="437" t="str">
        <f>IF(ROUNDDOWN(D58,0)=$N$6,$P$6,$O$6)</f>
        <v>　レベル　5</v>
      </c>
      <c r="E63" s="1391" t="s">
        <v>437</v>
      </c>
      <c r="F63" s="1392"/>
      <c r="G63" s="1392"/>
      <c r="H63" s="1392"/>
      <c r="I63" s="1392"/>
      <c r="J63" s="1392"/>
      <c r="K63" s="1392"/>
      <c r="L63" s="1393"/>
      <c r="M63" s="664"/>
      <c r="N63" s="449">
        <v>5</v>
      </c>
      <c r="O63" s="450"/>
    </row>
    <row r="64" spans="1:15" s="49" customFormat="1" ht="15.75">
      <c r="B64" s="664"/>
      <c r="C64" s="664"/>
      <c r="D64" s="438" t="s">
        <v>341</v>
      </c>
      <c r="E64" s="1002"/>
      <c r="F64" s="494"/>
      <c r="G64" s="494"/>
      <c r="H64" s="679"/>
      <c r="I64"/>
      <c r="J64"/>
      <c r="K64"/>
      <c r="L64"/>
      <c r="M64" s="62"/>
      <c r="N64" s="449" t="s">
        <v>312</v>
      </c>
      <c r="O64" s="452"/>
    </row>
    <row r="65" spans="1:15" customFormat="1" ht="13.5">
      <c r="F65" s="306"/>
    </row>
    <row r="66" spans="1:15" s="50" customFormat="1" ht="15.75">
      <c r="B66" s="666" t="s">
        <v>985</v>
      </c>
      <c r="C66" s="666"/>
      <c r="D66" s="672"/>
      <c r="F66" s="137"/>
      <c r="H66" s="677"/>
      <c r="I66" s="96"/>
      <c r="J66" s="96"/>
      <c r="K66" s="96"/>
      <c r="L66" s="96"/>
      <c r="M66" s="96"/>
    </row>
    <row r="67" spans="1:15" s="50" customFormat="1" ht="16.5" thickBot="1">
      <c r="B67" s="666"/>
      <c r="C67" s="673" t="s">
        <v>986</v>
      </c>
      <c r="D67" s="163"/>
      <c r="E67" s="664"/>
      <c r="F67" s="675"/>
      <c r="G67" s="675"/>
      <c r="H67" s="675"/>
      <c r="I67" s="459"/>
      <c r="J67" s="664"/>
      <c r="K67" s="664"/>
      <c r="L67" s="727"/>
      <c r="M67" s="664"/>
      <c r="N67" s="62"/>
      <c r="O67" s="62"/>
    </row>
    <row r="68" spans="1:15" s="49" customFormat="1" ht="16.5" thickBot="1">
      <c r="B68" s="664"/>
      <c r="C68" s="664"/>
      <c r="D68" s="434">
        <v>3</v>
      </c>
      <c r="E68" s="453" t="s">
        <v>1229</v>
      </c>
      <c r="F68" s="453"/>
      <c r="G68" s="453"/>
      <c r="H68" s="453"/>
      <c r="I68" s="453"/>
      <c r="J68" s="453"/>
      <c r="K68" s="453"/>
      <c r="L68" s="454"/>
      <c r="M68" s="62"/>
      <c r="N68" s="448" t="s">
        <v>336</v>
      </c>
      <c r="O68" s="448" t="s">
        <v>337</v>
      </c>
    </row>
    <row r="69" spans="1:15" s="49" customFormat="1" ht="15.75">
      <c r="B69" s="664"/>
      <c r="C69" s="664"/>
      <c r="D69" s="435" t="str">
        <f>IF(ROUNDDOWN(D68,0)=$N$2,$P$2,$O$2)</f>
        <v>　レベル　1</v>
      </c>
      <c r="E69" s="460" t="s">
        <v>438</v>
      </c>
      <c r="F69" s="500"/>
      <c r="G69" s="500"/>
      <c r="H69" s="500"/>
      <c r="I69" s="500"/>
      <c r="J69" s="500"/>
      <c r="K69" s="500"/>
      <c r="L69" s="508"/>
      <c r="M69" s="664"/>
      <c r="N69" s="449">
        <v>1</v>
      </c>
      <c r="O69" s="450"/>
    </row>
    <row r="70" spans="1:15" s="49" customFormat="1" ht="15.75">
      <c r="B70" s="664"/>
      <c r="C70" s="664"/>
      <c r="D70" s="436" t="str">
        <f>IF(ROUNDDOWN(D68,0)=$N$3,$P$3,$O$3)</f>
        <v>　レベル　2</v>
      </c>
      <c r="E70" s="463" t="s">
        <v>439</v>
      </c>
      <c r="F70" s="501"/>
      <c r="G70" s="501"/>
      <c r="H70" s="501"/>
      <c r="I70" s="501"/>
      <c r="J70" s="501"/>
      <c r="K70" s="501"/>
      <c r="L70" s="509"/>
      <c r="M70" s="62"/>
      <c r="N70" s="449">
        <v>2</v>
      </c>
      <c r="O70" s="450"/>
    </row>
    <row r="71" spans="1:15" s="49" customFormat="1" ht="15.75">
      <c r="B71" s="664"/>
      <c r="C71" s="664"/>
      <c r="D71" s="436" t="str">
        <f>IF(ROUNDDOWN(D68,0)=$N$4,$P$4,$O$4)</f>
        <v>■レベル　3</v>
      </c>
      <c r="E71" s="463" t="s">
        <v>440</v>
      </c>
      <c r="F71" s="501"/>
      <c r="G71" s="501"/>
      <c r="H71" s="501"/>
      <c r="I71" s="501"/>
      <c r="J71" s="501"/>
      <c r="K71" s="501"/>
      <c r="L71" s="509"/>
      <c r="M71" s="664"/>
      <c r="N71" s="449">
        <v>3</v>
      </c>
      <c r="O71" s="450"/>
    </row>
    <row r="72" spans="1:15" s="49" customFormat="1" ht="15.75">
      <c r="B72" s="664"/>
      <c r="C72" s="664"/>
      <c r="D72" s="436" t="str">
        <f>IF(ROUNDDOWN(D68,0)=$N$5,$P$5,$O$5)</f>
        <v>　レベル　4</v>
      </c>
      <c r="E72" s="466" t="s">
        <v>441</v>
      </c>
      <c r="F72" s="502"/>
      <c r="G72" s="502"/>
      <c r="H72" s="502"/>
      <c r="I72" s="502"/>
      <c r="J72" s="502"/>
      <c r="K72" s="502"/>
      <c r="L72" s="510"/>
      <c r="M72" s="62"/>
      <c r="N72" s="449">
        <v>4</v>
      </c>
      <c r="O72" s="450"/>
    </row>
    <row r="73" spans="1:15" s="49" customFormat="1" ht="15.75">
      <c r="B73" s="664"/>
      <c r="C73" s="664"/>
      <c r="D73" s="437" t="str">
        <f>IF(ROUNDDOWN(D68,0)=$N$6,$P$6,$O$6)</f>
        <v>　レベル　5</v>
      </c>
      <c r="E73" s="469" t="s">
        <v>442</v>
      </c>
      <c r="F73" s="480"/>
      <c r="G73" s="480"/>
      <c r="H73" s="480"/>
      <c r="I73" s="480"/>
      <c r="J73" s="480"/>
      <c r="K73" s="480"/>
      <c r="L73" s="511"/>
      <c r="M73" s="664"/>
      <c r="N73" s="449">
        <v>5</v>
      </c>
      <c r="O73" s="450"/>
    </row>
    <row r="74" spans="1:15" s="49" customFormat="1" ht="15.75">
      <c r="B74" s="664"/>
      <c r="C74" s="664"/>
      <c r="D74" s="438" t="s">
        <v>341</v>
      </c>
      <c r="E74" s="1002"/>
      <c r="F74" s="494"/>
      <c r="G74" s="494"/>
      <c r="H74" s="679"/>
      <c r="I74"/>
      <c r="J74"/>
      <c r="K74"/>
      <c r="L74"/>
      <c r="M74" s="62"/>
      <c r="N74" s="449" t="s">
        <v>312</v>
      </c>
      <c r="O74" s="452"/>
    </row>
    <row r="75" spans="1:15" customFormat="1" ht="13.5"/>
    <row r="76" spans="1:15" s="49" customFormat="1" ht="16.5" thickBot="1">
      <c r="A76" s="664"/>
      <c r="B76" s="163"/>
      <c r="C76" s="668" t="s">
        <v>987</v>
      </c>
      <c r="D76" s="163"/>
      <c r="E76" s="664"/>
      <c r="F76" s="675"/>
      <c r="G76" s="675"/>
      <c r="H76" s="675"/>
      <c r="I76" s="459"/>
      <c r="J76" s="664"/>
      <c r="K76" s="664"/>
      <c r="L76" s="676"/>
      <c r="M76" s="664"/>
      <c r="N76" s="62"/>
      <c r="O76" s="62"/>
    </row>
    <row r="77" spans="1:15" s="49" customFormat="1" ht="16.5" thickBot="1">
      <c r="B77" s="664"/>
      <c r="C77" s="664"/>
      <c r="D77" s="434">
        <v>3</v>
      </c>
      <c r="E77" s="453" t="s">
        <v>1229</v>
      </c>
      <c r="F77" s="453"/>
      <c r="G77" s="453"/>
      <c r="H77" s="453"/>
      <c r="I77" s="453"/>
      <c r="J77" s="453"/>
      <c r="K77" s="453"/>
      <c r="L77" s="454"/>
      <c r="M77" s="62"/>
      <c r="N77" s="448" t="s">
        <v>336</v>
      </c>
      <c r="O77" s="448" t="s">
        <v>337</v>
      </c>
    </row>
    <row r="78" spans="1:15" s="49" customFormat="1" ht="15.75">
      <c r="B78" s="664"/>
      <c r="C78" s="664"/>
      <c r="D78" s="435" t="str">
        <f>IF(ROUNDDOWN(D77,0)=$N$2,$P$2,$O$2)</f>
        <v>　レベル　1</v>
      </c>
      <c r="E78" s="460" t="s">
        <v>443</v>
      </c>
      <c r="F78" s="500"/>
      <c r="G78" s="500"/>
      <c r="H78" s="500"/>
      <c r="I78" s="500"/>
      <c r="J78" s="500"/>
      <c r="K78" s="500"/>
      <c r="L78" s="508"/>
      <c r="M78" s="664"/>
      <c r="N78" s="449">
        <v>1</v>
      </c>
      <c r="O78" s="450"/>
    </row>
    <row r="79" spans="1:15" s="49" customFormat="1" ht="15.75">
      <c r="B79" s="664"/>
      <c r="C79" s="664"/>
      <c r="D79" s="436" t="str">
        <f>IF(ROUNDDOWN(D77,0)=$N$3,$P$3,$O$3)</f>
        <v>　レベル　2</v>
      </c>
      <c r="E79" s="463" t="s">
        <v>414</v>
      </c>
      <c r="F79" s="501"/>
      <c r="G79" s="501"/>
      <c r="H79" s="501"/>
      <c r="I79" s="501"/>
      <c r="J79" s="501"/>
      <c r="K79" s="501"/>
      <c r="L79" s="509"/>
      <c r="M79" s="62"/>
      <c r="N79" s="449" t="s">
        <v>312</v>
      </c>
      <c r="O79" s="450"/>
    </row>
    <row r="80" spans="1:15" s="49" customFormat="1" ht="15.75">
      <c r="B80" s="664"/>
      <c r="C80" s="664"/>
      <c r="D80" s="436" t="str">
        <f>IF(ROUNDDOWN(D77,0)=$N$4,$P$4,$O$4)</f>
        <v>■レベル　3</v>
      </c>
      <c r="E80" s="714" t="s">
        <v>444</v>
      </c>
      <c r="F80" s="501"/>
      <c r="G80" s="501"/>
      <c r="H80" s="501"/>
      <c r="I80" s="501"/>
      <c r="J80" s="501"/>
      <c r="K80" s="501"/>
      <c r="L80" s="509"/>
      <c r="M80" s="664"/>
      <c r="N80" s="449">
        <v>3</v>
      </c>
      <c r="O80" s="450"/>
    </row>
    <row r="81" spans="1:15" s="49" customFormat="1" ht="15.75">
      <c r="B81" s="664"/>
      <c r="C81" s="664"/>
      <c r="D81" s="436" t="str">
        <f>IF(ROUNDDOWN(D77,0)=$N$5,$P$5,$O$5)</f>
        <v>　レベル　4</v>
      </c>
      <c r="E81" s="711" t="s">
        <v>445</v>
      </c>
      <c r="F81" s="502"/>
      <c r="G81" s="502"/>
      <c r="H81" s="502"/>
      <c r="I81" s="502"/>
      <c r="J81" s="502"/>
      <c r="K81" s="502"/>
      <c r="L81" s="510"/>
      <c r="M81" s="62"/>
      <c r="N81" s="449">
        <v>4</v>
      </c>
      <c r="O81" s="450"/>
    </row>
    <row r="82" spans="1:15" s="49" customFormat="1" ht="15.75">
      <c r="B82" s="664"/>
      <c r="C82" s="664"/>
      <c r="D82" s="437" t="str">
        <f>IF(ROUNDDOWN(D77,0)=$N$6,$P$6,$O$6)</f>
        <v>　レベル　5</v>
      </c>
      <c r="E82" s="712" t="s">
        <v>446</v>
      </c>
      <c r="F82" s="480"/>
      <c r="G82" s="480"/>
      <c r="H82" s="480"/>
      <c r="I82" s="480"/>
      <c r="J82" s="480"/>
      <c r="K82" s="480"/>
      <c r="L82" s="511"/>
      <c r="M82" s="664"/>
      <c r="N82" s="449">
        <v>5</v>
      </c>
      <c r="O82" s="450"/>
    </row>
    <row r="83" spans="1:15" s="49" customFormat="1" ht="15.75">
      <c r="B83" s="664"/>
      <c r="C83" s="664"/>
      <c r="D83" s="438" t="s">
        <v>341</v>
      </c>
      <c r="E83" s="1002"/>
      <c r="F83" s="494"/>
      <c r="G83" s="494"/>
      <c r="H83" s="679"/>
      <c r="I83"/>
      <c r="J83"/>
      <c r="K83"/>
      <c r="L83"/>
      <c r="M83" s="62"/>
      <c r="N83" s="449" t="s">
        <v>312</v>
      </c>
      <c r="O83" s="452"/>
    </row>
    <row r="84" spans="1:15" customFormat="1" ht="13.5"/>
    <row r="85" spans="1:15" s="49" customFormat="1" ht="16.5" thickBot="1">
      <c r="A85" s="664"/>
      <c r="B85" s="163"/>
      <c r="C85" s="668" t="s">
        <v>988</v>
      </c>
      <c r="D85" s="163"/>
      <c r="E85" s="664"/>
      <c r="F85" s="675"/>
      <c r="G85" s="675"/>
      <c r="H85" s="675"/>
      <c r="I85" s="459"/>
      <c r="J85" s="664"/>
      <c r="K85" s="664"/>
      <c r="L85" s="727"/>
      <c r="M85" s="664"/>
      <c r="N85" s="62"/>
      <c r="O85" s="62"/>
    </row>
    <row r="86" spans="1:15" s="49" customFormat="1" ht="16.5" thickBot="1">
      <c r="B86" s="664"/>
      <c r="C86" s="664"/>
      <c r="D86" s="434">
        <v>3</v>
      </c>
      <c r="E86" s="453" t="s">
        <v>1229</v>
      </c>
      <c r="F86" s="453"/>
      <c r="G86" s="453"/>
      <c r="H86" s="453"/>
      <c r="I86" s="453"/>
      <c r="J86" s="453"/>
      <c r="K86" s="453"/>
      <c r="L86" s="454"/>
      <c r="M86" s="62"/>
      <c r="N86" s="448" t="s">
        <v>336</v>
      </c>
      <c r="O86" s="448" t="s">
        <v>337</v>
      </c>
    </row>
    <row r="87" spans="1:15" s="49" customFormat="1" ht="15.75">
      <c r="B87" s="664"/>
      <c r="C87" s="664"/>
      <c r="D87" s="435" t="str">
        <f>IF(ROUNDDOWN(D86,0)=$N$2,$P$2,$O$2)</f>
        <v>　レベル　1</v>
      </c>
      <c r="E87" s="460" t="s">
        <v>1221</v>
      </c>
      <c r="F87" s="500"/>
      <c r="G87" s="500"/>
      <c r="H87" s="500"/>
      <c r="I87" s="500"/>
      <c r="J87" s="500"/>
      <c r="K87" s="500"/>
      <c r="L87" s="508"/>
      <c r="M87" s="664"/>
      <c r="N87" s="449">
        <v>1</v>
      </c>
      <c r="O87" s="450"/>
    </row>
    <row r="88" spans="1:15" s="49" customFormat="1" ht="15.75">
      <c r="B88" s="664"/>
      <c r="C88" s="664"/>
      <c r="D88" s="436" t="str">
        <f>IF(ROUNDDOWN(D86,0)=$N$3,$P$3,$O$3)</f>
        <v>　レベル　2</v>
      </c>
      <c r="E88" s="463" t="s">
        <v>1222</v>
      </c>
      <c r="F88" s="501"/>
      <c r="G88" s="501"/>
      <c r="H88" s="501"/>
      <c r="I88" s="501"/>
      <c r="J88" s="501"/>
      <c r="K88" s="501"/>
      <c r="L88" s="509"/>
      <c r="M88" s="62"/>
      <c r="N88" s="449">
        <v>2</v>
      </c>
      <c r="O88" s="450"/>
    </row>
    <row r="89" spans="1:15" s="49" customFormat="1" ht="15.75">
      <c r="B89" s="664"/>
      <c r="C89" s="664"/>
      <c r="D89" s="436" t="str">
        <f>IF(ROUNDDOWN(D86,0)=$N$4,$P$4,$O$4)</f>
        <v>■レベル　3</v>
      </c>
      <c r="E89" s="463" t="s">
        <v>1223</v>
      </c>
      <c r="F89" s="501"/>
      <c r="G89" s="501"/>
      <c r="H89" s="501"/>
      <c r="I89" s="501"/>
      <c r="J89" s="501"/>
      <c r="K89" s="501"/>
      <c r="L89" s="509"/>
      <c r="M89" s="664"/>
      <c r="N89" s="449">
        <v>3</v>
      </c>
      <c r="O89" s="450"/>
    </row>
    <row r="90" spans="1:15" s="49" customFormat="1" ht="15.75">
      <c r="B90" s="664"/>
      <c r="C90" s="664"/>
      <c r="D90" s="436" t="str">
        <f>IF(ROUNDDOWN(D86,0)=$N$5,$P$5,$O$5)</f>
        <v>　レベル　4</v>
      </c>
      <c r="E90" s="466" t="s">
        <v>1224</v>
      </c>
      <c r="F90" s="502"/>
      <c r="G90" s="502"/>
      <c r="H90" s="502"/>
      <c r="I90" s="502"/>
      <c r="J90" s="502"/>
      <c r="K90" s="502"/>
      <c r="L90" s="510"/>
      <c r="M90" s="62"/>
      <c r="N90" s="449">
        <v>4</v>
      </c>
      <c r="O90" s="450"/>
    </row>
    <row r="91" spans="1:15" s="49" customFormat="1" ht="15.75">
      <c r="B91" s="664"/>
      <c r="C91" s="664"/>
      <c r="D91" s="437" t="str">
        <f>IF(ROUNDDOWN(D86,0)=$N$6,$P$6,$O$6)</f>
        <v>　レベル　5</v>
      </c>
      <c r="E91" s="469" t="s">
        <v>1225</v>
      </c>
      <c r="F91" s="480"/>
      <c r="G91" s="480"/>
      <c r="H91" s="480"/>
      <c r="I91" s="480"/>
      <c r="J91" s="480"/>
      <c r="K91" s="480"/>
      <c r="L91" s="511"/>
      <c r="M91" s="664"/>
      <c r="N91" s="449">
        <v>5</v>
      </c>
      <c r="O91" s="450"/>
    </row>
    <row r="92" spans="1:15" s="49" customFormat="1" ht="15.75">
      <c r="B92" s="664"/>
      <c r="C92" s="664"/>
      <c r="D92" s="438" t="s">
        <v>341</v>
      </c>
      <c r="E92" s="1002"/>
      <c r="F92" s="494"/>
      <c r="G92" s="494"/>
      <c r="H92" s="679"/>
      <c r="I92"/>
      <c r="J92"/>
      <c r="K92"/>
      <c r="L92"/>
      <c r="M92" s="62"/>
      <c r="N92" s="449" t="s">
        <v>312</v>
      </c>
      <c r="O92" s="452"/>
    </row>
    <row r="93" spans="1:15" customFormat="1" ht="13.5"/>
    <row r="94" spans="1:15" s="49" customFormat="1" ht="16.5" thickBot="1">
      <c r="A94" s="664"/>
      <c r="B94" s="163"/>
      <c r="C94" s="668" t="s">
        <v>989</v>
      </c>
      <c r="D94" s="163"/>
      <c r="E94" s="664"/>
      <c r="F94" s="675"/>
      <c r="G94" s="675"/>
      <c r="H94" s="675"/>
      <c r="I94" s="459"/>
      <c r="J94" s="664"/>
      <c r="K94" s="664"/>
      <c r="L94" s="727"/>
      <c r="M94" s="664"/>
      <c r="N94" s="62"/>
      <c r="O94" s="62"/>
    </row>
    <row r="95" spans="1:15" s="49" customFormat="1" ht="16.5" thickBot="1">
      <c r="B95" s="664"/>
      <c r="C95" s="664"/>
      <c r="D95" s="434">
        <v>3</v>
      </c>
      <c r="E95" s="453" t="s">
        <v>1229</v>
      </c>
      <c r="F95" s="453"/>
      <c r="G95" s="453"/>
      <c r="H95" s="453"/>
      <c r="I95" s="453"/>
      <c r="J95" s="453"/>
      <c r="K95" s="453"/>
      <c r="L95" s="454"/>
      <c r="M95" s="62"/>
      <c r="N95" s="448" t="s">
        <v>336</v>
      </c>
      <c r="O95" s="448" t="s">
        <v>337</v>
      </c>
    </row>
    <row r="96" spans="1:15" s="49" customFormat="1" ht="15.75">
      <c r="B96" s="664"/>
      <c r="C96" s="664"/>
      <c r="D96" s="435" t="str">
        <f>IF(ROUNDDOWN(D95,0)=$N$2,$P$2,$O$2)</f>
        <v>　レベル　1</v>
      </c>
      <c r="E96" s="460" t="s">
        <v>447</v>
      </c>
      <c r="F96" s="500"/>
      <c r="G96" s="500"/>
      <c r="H96" s="500"/>
      <c r="I96" s="500"/>
      <c r="J96" s="500"/>
      <c r="K96" s="500"/>
      <c r="L96" s="508"/>
      <c r="M96" s="664"/>
      <c r="N96" s="449">
        <v>1</v>
      </c>
      <c r="O96" s="450"/>
    </row>
    <row r="97" spans="2:15" s="49" customFormat="1" ht="15.75">
      <c r="B97" s="664"/>
      <c r="C97" s="664"/>
      <c r="D97" s="436" t="str">
        <f>IF(ROUNDDOWN(D95,0)=$N$3,$P$3,$O$3)</f>
        <v>　レベル　2</v>
      </c>
      <c r="E97" s="463" t="s">
        <v>448</v>
      </c>
      <c r="F97" s="501"/>
      <c r="G97" s="501"/>
      <c r="H97" s="501"/>
      <c r="I97" s="501"/>
      <c r="J97" s="501"/>
      <c r="K97" s="501"/>
      <c r="L97" s="509"/>
      <c r="M97" s="62"/>
      <c r="N97" s="449">
        <v>2</v>
      </c>
      <c r="O97" s="450"/>
    </row>
    <row r="98" spans="2:15" s="49" customFormat="1" ht="15.75">
      <c r="B98" s="664"/>
      <c r="C98" s="664"/>
      <c r="D98" s="436" t="str">
        <f>IF(ROUNDDOWN(D95,0)=$N$4,$P$4,$O$4)</f>
        <v>■レベル　3</v>
      </c>
      <c r="E98" s="463" t="s">
        <v>449</v>
      </c>
      <c r="F98" s="501"/>
      <c r="G98" s="501"/>
      <c r="H98" s="501"/>
      <c r="I98" s="501"/>
      <c r="J98" s="501"/>
      <c r="K98" s="501"/>
      <c r="L98" s="509"/>
      <c r="M98" s="664"/>
      <c r="N98" s="449">
        <v>3</v>
      </c>
      <c r="O98" s="450"/>
    </row>
    <row r="99" spans="2:15" s="49" customFormat="1" ht="15.75">
      <c r="B99" s="664"/>
      <c r="C99" s="664"/>
      <c r="D99" s="436" t="str">
        <f>IF(ROUNDDOWN(D95,0)=$N$5,$P$5,$O$5)</f>
        <v>　レベル　4</v>
      </c>
      <c r="E99" s="466" t="s">
        <v>450</v>
      </c>
      <c r="F99" s="502"/>
      <c r="G99" s="502"/>
      <c r="H99" s="502"/>
      <c r="I99" s="502"/>
      <c r="J99" s="502"/>
      <c r="K99" s="502"/>
      <c r="L99" s="510"/>
      <c r="M99" s="62"/>
      <c r="N99" s="449">
        <v>4</v>
      </c>
      <c r="O99" s="450"/>
    </row>
    <row r="100" spans="2:15" s="49" customFormat="1" ht="15.75">
      <c r="B100" s="664"/>
      <c r="C100" s="664"/>
      <c r="D100" s="437" t="str">
        <f>IF(ROUNDDOWN(D95,0)=$N$6,$P$6,$O$6)</f>
        <v>　レベル　5</v>
      </c>
      <c r="E100" s="469" t="s">
        <v>451</v>
      </c>
      <c r="F100" s="480"/>
      <c r="G100" s="480"/>
      <c r="H100" s="480"/>
      <c r="I100" s="480"/>
      <c r="J100" s="480"/>
      <c r="K100" s="480"/>
      <c r="L100" s="511"/>
      <c r="M100" s="664"/>
      <c r="N100" s="449">
        <v>5</v>
      </c>
      <c r="O100" s="450"/>
    </row>
    <row r="101" spans="2:15" s="49" customFormat="1" ht="15.75">
      <c r="B101" s="664"/>
      <c r="C101" s="664"/>
      <c r="D101" s="438" t="s">
        <v>341</v>
      </c>
      <c r="E101" s="1002"/>
      <c r="F101" s="494"/>
      <c r="G101" s="494"/>
      <c r="H101" s="679"/>
      <c r="I101"/>
      <c r="J101"/>
      <c r="K101"/>
      <c r="L101"/>
      <c r="M101" s="62"/>
      <c r="N101" s="449" t="s">
        <v>312</v>
      </c>
      <c r="O101" s="452"/>
    </row>
    <row r="102" spans="2:15" customFormat="1" ht="13.5"/>
    <row r="103" spans="2:15" s="50" customFormat="1" ht="15.75">
      <c r="B103" s="666" t="s">
        <v>990</v>
      </c>
      <c r="C103" s="666"/>
      <c r="D103" s="672"/>
      <c r="F103" s="137"/>
      <c r="H103" s="677"/>
      <c r="I103" s="96"/>
      <c r="J103" s="96"/>
      <c r="K103" s="96"/>
      <c r="L103" s="96"/>
      <c r="M103" s="96"/>
    </row>
    <row r="104" spans="2:15" s="50" customFormat="1" ht="16.5" thickBot="1">
      <c r="B104" s="666"/>
      <c r="C104" s="673" t="s">
        <v>991</v>
      </c>
      <c r="D104" s="163"/>
      <c r="E104" s="664"/>
      <c r="F104" s="675"/>
      <c r="G104" s="675"/>
      <c r="H104" s="675"/>
      <c r="I104" s="459"/>
      <c r="J104" s="664"/>
      <c r="K104" s="664"/>
      <c r="L104" s="727"/>
      <c r="M104" s="664"/>
      <c r="N104" s="62"/>
      <c r="O104" s="62"/>
    </row>
    <row r="105" spans="2:15" s="49" customFormat="1" ht="16.5" thickBot="1">
      <c r="B105" s="664"/>
      <c r="C105" s="664"/>
      <c r="D105" s="434">
        <v>3</v>
      </c>
      <c r="E105" s="453" t="s">
        <v>1229</v>
      </c>
      <c r="F105" s="453"/>
      <c r="G105" s="453"/>
      <c r="H105" s="453"/>
      <c r="I105" s="453"/>
      <c r="J105" s="453"/>
      <c r="K105" s="453"/>
      <c r="L105" s="454"/>
      <c r="M105" s="62"/>
      <c r="N105" s="448" t="s">
        <v>336</v>
      </c>
      <c r="O105" s="448" t="s">
        <v>337</v>
      </c>
    </row>
    <row r="106" spans="2:15" s="49" customFormat="1" ht="15.75">
      <c r="B106" s="664"/>
      <c r="C106" s="664"/>
      <c r="D106" s="435" t="str">
        <f>IF(ROUNDDOWN(D105,0)=$N$2,$P$2,$O$2)</f>
        <v>　レベル　1</v>
      </c>
      <c r="E106" s="460" t="s">
        <v>452</v>
      </c>
      <c r="F106" s="500"/>
      <c r="G106" s="500"/>
      <c r="H106" s="500"/>
      <c r="I106" s="500"/>
      <c r="J106" s="500"/>
      <c r="K106" s="500"/>
      <c r="L106" s="508"/>
      <c r="M106" s="664"/>
      <c r="N106" s="449">
        <v>1</v>
      </c>
      <c r="O106" s="450"/>
    </row>
    <row r="107" spans="2:15" s="49" customFormat="1" ht="15.75">
      <c r="B107" s="664"/>
      <c r="C107" s="664"/>
      <c r="D107" s="436" t="str">
        <f>IF(ROUNDDOWN(D105,0)=$N$3,$P$3,$O$3)</f>
        <v>　レベル　2</v>
      </c>
      <c r="E107" s="463" t="s">
        <v>453</v>
      </c>
      <c r="F107" s="501"/>
      <c r="G107" s="501"/>
      <c r="H107" s="501"/>
      <c r="I107" s="501"/>
      <c r="J107" s="501"/>
      <c r="K107" s="501"/>
      <c r="L107" s="509"/>
      <c r="M107" s="62"/>
      <c r="N107" s="449">
        <v>2</v>
      </c>
      <c r="O107" s="450"/>
    </row>
    <row r="108" spans="2:15" s="49" customFormat="1" ht="15.75">
      <c r="B108" s="664"/>
      <c r="C108" s="664"/>
      <c r="D108" s="436" t="str">
        <f>IF(ROUNDDOWN(D105,0)=$N$4,$P$4,$O$4)</f>
        <v>■レベル　3</v>
      </c>
      <c r="E108" s="463" t="s">
        <v>454</v>
      </c>
      <c r="F108" s="501"/>
      <c r="G108" s="501"/>
      <c r="H108" s="501"/>
      <c r="I108" s="501"/>
      <c r="J108" s="501"/>
      <c r="K108" s="501"/>
      <c r="L108" s="509"/>
      <c r="M108" s="664"/>
      <c r="N108" s="449">
        <v>3</v>
      </c>
      <c r="O108" s="450"/>
    </row>
    <row r="109" spans="2:15" s="49" customFormat="1" ht="15.75">
      <c r="B109" s="664"/>
      <c r="C109" s="664"/>
      <c r="D109" s="436" t="str">
        <f>IF(ROUNDDOWN(D105,0)=$N$5,$P$5,$O$5)</f>
        <v>　レベル　4</v>
      </c>
      <c r="E109" s="466" t="s">
        <v>455</v>
      </c>
      <c r="F109" s="502"/>
      <c r="G109" s="502"/>
      <c r="H109" s="502"/>
      <c r="I109" s="502"/>
      <c r="J109" s="502"/>
      <c r="K109" s="502"/>
      <c r="L109" s="510"/>
      <c r="M109" s="62"/>
      <c r="N109" s="449">
        <v>4</v>
      </c>
      <c r="O109" s="450"/>
    </row>
    <row r="110" spans="2:15" s="49" customFormat="1" ht="15.75">
      <c r="B110" s="664"/>
      <c r="C110" s="664"/>
      <c r="D110" s="437" t="str">
        <f>IF(ROUNDDOWN(D105,0)=$N$6,$P$6,$O$6)</f>
        <v>　レベル　5</v>
      </c>
      <c r="E110" s="469" t="s">
        <v>456</v>
      </c>
      <c r="F110" s="480"/>
      <c r="G110" s="480"/>
      <c r="H110" s="480"/>
      <c r="I110" s="480"/>
      <c r="J110" s="480"/>
      <c r="K110" s="480"/>
      <c r="L110" s="511"/>
      <c r="M110" s="664"/>
      <c r="N110" s="449">
        <v>5</v>
      </c>
      <c r="O110" s="450"/>
    </row>
    <row r="111" spans="2:15" s="49" customFormat="1" ht="15.75">
      <c r="B111" s="664"/>
      <c r="C111" s="664"/>
      <c r="D111" s="438" t="s">
        <v>341</v>
      </c>
      <c r="E111" s="1002"/>
      <c r="F111" s="494"/>
      <c r="G111" s="494"/>
      <c r="H111" s="679"/>
      <c r="I111"/>
      <c r="J111"/>
      <c r="K111"/>
      <c r="L111"/>
      <c r="M111" s="62"/>
      <c r="N111" s="449" t="s">
        <v>312</v>
      </c>
      <c r="O111" s="452"/>
    </row>
    <row r="112" spans="2:15" customFormat="1" ht="13.5">
      <c r="F112" s="306"/>
    </row>
    <row r="113" spans="1:15" s="49" customFormat="1" ht="16.5" thickBot="1">
      <c r="A113" s="664"/>
      <c r="B113" s="163"/>
      <c r="C113" s="668" t="s">
        <v>992</v>
      </c>
      <c r="D113" s="163"/>
      <c r="E113" s="664"/>
      <c r="F113" s="675"/>
      <c r="G113" s="675"/>
      <c r="H113" s="675"/>
      <c r="I113" s="459"/>
      <c r="J113" s="447"/>
      <c r="K113" s="447"/>
      <c r="L113" s="738" t="s">
        <v>762</v>
      </c>
      <c r="M113" s="664"/>
      <c r="N113" s="62"/>
      <c r="O113" s="62"/>
    </row>
    <row r="114" spans="1:15" s="49" customFormat="1" ht="16.5" thickBot="1">
      <c r="B114" s="664"/>
      <c r="C114" s="664"/>
      <c r="D114" s="434">
        <v>3</v>
      </c>
      <c r="E114" s="453" t="s">
        <v>1229</v>
      </c>
      <c r="F114" s="453"/>
      <c r="G114" s="453"/>
      <c r="H114" s="453"/>
      <c r="I114" s="453"/>
      <c r="J114" s="453"/>
      <c r="K114" s="453"/>
      <c r="L114" s="454"/>
      <c r="M114" s="62"/>
      <c r="N114" s="448" t="s">
        <v>336</v>
      </c>
      <c r="O114" s="448" t="s">
        <v>337</v>
      </c>
    </row>
    <row r="115" spans="1:15" s="49" customFormat="1" ht="15.75">
      <c r="B115" s="664"/>
      <c r="C115" s="664"/>
      <c r="D115" s="435" t="str">
        <f>IF(ROUNDDOWN(D114,0)=$N$2,$P$2,$O$2)</f>
        <v>　レベル　1</v>
      </c>
      <c r="E115" s="460" t="s">
        <v>457</v>
      </c>
      <c r="F115" s="500"/>
      <c r="G115" s="500"/>
      <c r="H115" s="500"/>
      <c r="I115" s="500"/>
      <c r="J115" s="500"/>
      <c r="K115" s="500"/>
      <c r="L115" s="508"/>
      <c r="M115" s="664"/>
      <c r="N115" s="449">
        <v>1</v>
      </c>
      <c r="O115" s="450"/>
    </row>
    <row r="116" spans="1:15" s="49" customFormat="1" ht="15.75">
      <c r="B116" s="664"/>
      <c r="C116" s="664"/>
      <c r="D116" s="436" t="str">
        <f>IF(ROUNDDOWN(D114,0)=$N$3,$P$3,$O$3)</f>
        <v>　レベル　2</v>
      </c>
      <c r="E116" s="463" t="s">
        <v>458</v>
      </c>
      <c r="F116" s="501"/>
      <c r="G116" s="501"/>
      <c r="H116" s="501"/>
      <c r="I116" s="501"/>
      <c r="J116" s="501"/>
      <c r="K116" s="501"/>
      <c r="L116" s="509"/>
      <c r="M116" s="62"/>
      <c r="N116" s="449">
        <v>2</v>
      </c>
      <c r="O116" s="450"/>
    </row>
    <row r="117" spans="1:15" s="49" customFormat="1" ht="15.75">
      <c r="B117" s="664"/>
      <c r="C117" s="664"/>
      <c r="D117" s="436" t="str">
        <f>IF(ROUNDDOWN(D114,0)=$N$4,$P$4,$O$4)</f>
        <v>■レベル　3</v>
      </c>
      <c r="E117" s="463" t="s">
        <v>459</v>
      </c>
      <c r="F117" s="501"/>
      <c r="G117" s="501"/>
      <c r="H117" s="501"/>
      <c r="I117" s="501"/>
      <c r="J117" s="501"/>
      <c r="K117" s="501"/>
      <c r="L117" s="509"/>
      <c r="M117" s="664"/>
      <c r="N117" s="449">
        <v>3</v>
      </c>
      <c r="O117" s="450"/>
    </row>
    <row r="118" spans="1:15" s="49" customFormat="1" ht="15.75">
      <c r="B118" s="664"/>
      <c r="C118" s="664"/>
      <c r="D118" s="436" t="str">
        <f>IF(ROUNDDOWN(D114,0)=$N$5,$P$5,$O$5)</f>
        <v>　レベル　4</v>
      </c>
      <c r="E118" s="466" t="s">
        <v>460</v>
      </c>
      <c r="F118" s="502"/>
      <c r="G118" s="502"/>
      <c r="H118" s="502"/>
      <c r="I118" s="502"/>
      <c r="J118" s="502"/>
      <c r="K118" s="502"/>
      <c r="L118" s="510"/>
      <c r="M118" s="62"/>
      <c r="N118" s="449">
        <v>4</v>
      </c>
      <c r="O118" s="450"/>
    </row>
    <row r="119" spans="1:15" s="49" customFormat="1" ht="15.75">
      <c r="B119" s="664"/>
      <c r="C119" s="664"/>
      <c r="D119" s="437" t="str">
        <f>IF(ROUNDDOWN(D114,0)=$N$6,$P$6,$O$6)</f>
        <v>　レベル　5</v>
      </c>
      <c r="E119" s="469" t="s">
        <v>461</v>
      </c>
      <c r="F119" s="480"/>
      <c r="G119" s="480"/>
      <c r="H119" s="480"/>
      <c r="I119" s="480"/>
      <c r="J119" s="480"/>
      <c r="K119" s="480"/>
      <c r="L119" s="511"/>
      <c r="M119" s="664"/>
      <c r="N119" s="449">
        <v>5</v>
      </c>
      <c r="O119" s="450"/>
    </row>
    <row r="120" spans="1:15" s="49" customFormat="1" ht="15.75">
      <c r="B120" s="664"/>
      <c r="C120" s="664"/>
      <c r="D120" s="438" t="s">
        <v>341</v>
      </c>
      <c r="E120" s="1002"/>
      <c r="F120" s="494"/>
      <c r="G120" s="494"/>
      <c r="H120" s="679"/>
      <c r="I120" s="737" t="s">
        <v>715</v>
      </c>
      <c r="J120"/>
      <c r="K120"/>
      <c r="L120"/>
      <c r="M120" s="62"/>
      <c r="N120" s="451">
        <v>0</v>
      </c>
      <c r="O120" s="452"/>
    </row>
    <row r="121" spans="1:15" customFormat="1" ht="13.5">
      <c r="F121" s="306"/>
    </row>
    <row r="122" spans="1:15" s="49" customFormat="1" ht="16.5" thickBot="1">
      <c r="A122" s="664"/>
      <c r="B122" s="163"/>
      <c r="C122" s="668" t="s">
        <v>993</v>
      </c>
      <c r="D122" s="163"/>
      <c r="E122" s="664"/>
      <c r="F122" s="675"/>
      <c r="G122" s="675"/>
      <c r="H122" s="675"/>
      <c r="I122" s="459"/>
      <c r="J122" s="664"/>
      <c r="K122" s="664"/>
      <c r="L122" s="727"/>
      <c r="M122" s="664"/>
      <c r="N122" s="62"/>
      <c r="O122" s="62"/>
    </row>
    <row r="123" spans="1:15" s="49" customFormat="1" ht="16.5" thickBot="1">
      <c r="B123" s="664"/>
      <c r="C123" s="664"/>
      <c r="D123" s="434">
        <v>3</v>
      </c>
      <c r="E123" s="453" t="s">
        <v>1229</v>
      </c>
      <c r="F123" s="453"/>
      <c r="G123" s="453"/>
      <c r="H123" s="453"/>
      <c r="I123" s="453"/>
      <c r="J123" s="453"/>
      <c r="K123" s="453"/>
      <c r="L123" s="454"/>
      <c r="M123" s="62"/>
      <c r="N123" s="448" t="s">
        <v>336</v>
      </c>
      <c r="O123" s="448" t="s">
        <v>337</v>
      </c>
    </row>
    <row r="124" spans="1:15" s="49" customFormat="1" ht="15.75">
      <c r="B124" s="664"/>
      <c r="C124" s="664"/>
      <c r="D124" s="435" t="str">
        <f>IF(ROUNDDOWN(D123,0)=$N$2,$P$2,$O$2)</f>
        <v>　レベル　1</v>
      </c>
      <c r="E124" s="460" t="s">
        <v>462</v>
      </c>
      <c r="F124" s="500"/>
      <c r="G124" s="500"/>
      <c r="H124" s="500"/>
      <c r="I124" s="500"/>
      <c r="J124" s="500"/>
      <c r="K124" s="500"/>
      <c r="L124" s="508"/>
      <c r="M124" s="664"/>
      <c r="N124" s="449">
        <v>1</v>
      </c>
      <c r="O124" s="450"/>
    </row>
    <row r="125" spans="1:15" s="49" customFormat="1" ht="15.75">
      <c r="B125" s="664"/>
      <c r="C125" s="664"/>
      <c r="D125" s="436" t="str">
        <f>IF(ROUNDDOWN(D123,0)=$N$3,$P$3,$O$3)</f>
        <v>　レベル　2</v>
      </c>
      <c r="E125" s="463" t="s">
        <v>463</v>
      </c>
      <c r="F125" s="501"/>
      <c r="G125" s="501"/>
      <c r="H125" s="501"/>
      <c r="I125" s="501"/>
      <c r="J125" s="501"/>
      <c r="K125" s="501"/>
      <c r="L125" s="509"/>
      <c r="M125" s="62"/>
      <c r="N125" s="449">
        <v>2</v>
      </c>
      <c r="O125" s="450"/>
    </row>
    <row r="126" spans="1:15" s="49" customFormat="1" ht="15.75">
      <c r="B126" s="664"/>
      <c r="C126" s="664"/>
      <c r="D126" s="436" t="str">
        <f>IF(ROUNDDOWN(D123,0)=$N$4,$P$4,$O$4)</f>
        <v>■レベル　3</v>
      </c>
      <c r="E126" s="463" t="s">
        <v>464</v>
      </c>
      <c r="F126" s="501"/>
      <c r="G126" s="501"/>
      <c r="H126" s="501"/>
      <c r="I126" s="501"/>
      <c r="J126" s="501"/>
      <c r="K126" s="501"/>
      <c r="L126" s="509"/>
      <c r="M126" s="664"/>
      <c r="N126" s="449">
        <v>3</v>
      </c>
      <c r="O126" s="450"/>
    </row>
    <row r="127" spans="1:15" s="49" customFormat="1" ht="15.75">
      <c r="B127" s="664"/>
      <c r="C127" s="664"/>
      <c r="D127" s="436" t="str">
        <f>IF(ROUNDDOWN(D123,0)=$N$5,$P$5,$O$5)</f>
        <v>　レベル　4</v>
      </c>
      <c r="E127" s="466" t="s">
        <v>465</v>
      </c>
      <c r="F127" s="502"/>
      <c r="G127" s="502"/>
      <c r="H127" s="502"/>
      <c r="I127" s="502"/>
      <c r="J127" s="502"/>
      <c r="K127" s="502"/>
      <c r="L127" s="510"/>
      <c r="M127" s="62"/>
      <c r="N127" s="449">
        <v>4</v>
      </c>
      <c r="O127" s="450"/>
    </row>
    <row r="128" spans="1:15" s="49" customFormat="1" ht="15.75">
      <c r="B128" s="664"/>
      <c r="C128" s="664"/>
      <c r="D128" s="437" t="str">
        <f>IF(ROUNDDOWN(D123,0)=$N$6,$P$6,$O$6)</f>
        <v>　レベル　5</v>
      </c>
      <c r="E128" s="469" t="s">
        <v>466</v>
      </c>
      <c r="F128" s="480"/>
      <c r="G128" s="480"/>
      <c r="H128" s="480"/>
      <c r="I128" s="480"/>
      <c r="J128" s="480"/>
      <c r="K128" s="480"/>
      <c r="L128" s="511"/>
      <c r="M128" s="664"/>
      <c r="N128" s="449">
        <v>5</v>
      </c>
      <c r="O128" s="450"/>
    </row>
    <row r="129" spans="1:15" s="49" customFormat="1" ht="15.75">
      <c r="B129" s="664"/>
      <c r="C129" s="664"/>
      <c r="D129" s="438" t="s">
        <v>341</v>
      </c>
      <c r="E129" s="1002"/>
      <c r="F129" s="494"/>
      <c r="G129" s="494"/>
      <c r="H129" s="679"/>
      <c r="I129"/>
      <c r="J129"/>
      <c r="K129"/>
      <c r="L129"/>
      <c r="M129" s="62"/>
      <c r="N129" s="449" t="s">
        <v>312</v>
      </c>
      <c r="O129" s="452"/>
    </row>
    <row r="130" spans="1:15" customFormat="1" ht="13.5">
      <c r="F130" s="306"/>
    </row>
    <row r="131" spans="1:15" s="49" customFormat="1" ht="16.5" thickBot="1">
      <c r="A131" s="664"/>
      <c r="B131" s="163"/>
      <c r="C131" s="668" t="s">
        <v>994</v>
      </c>
      <c r="D131" s="163"/>
      <c r="E131" s="664"/>
      <c r="F131" s="675"/>
      <c r="G131" s="675"/>
      <c r="H131" s="675"/>
      <c r="I131" s="459"/>
      <c r="J131" s="664"/>
      <c r="K131" s="664"/>
      <c r="L131" s="727" t="s">
        <v>761</v>
      </c>
      <c r="M131" s="664"/>
      <c r="N131" s="62"/>
      <c r="O131" s="62"/>
    </row>
    <row r="132" spans="1:15" s="49" customFormat="1" ht="16.5" thickBot="1">
      <c r="B132" s="664"/>
      <c r="C132" s="664"/>
      <c r="D132" s="434">
        <v>3</v>
      </c>
      <c r="E132" s="453" t="s">
        <v>1229</v>
      </c>
      <c r="F132" s="453"/>
      <c r="G132" s="453"/>
      <c r="H132" s="453"/>
      <c r="I132" s="453"/>
      <c r="J132" s="453"/>
      <c r="K132" s="453"/>
      <c r="L132" s="454"/>
      <c r="M132" s="62"/>
      <c r="N132" s="448" t="s">
        <v>336</v>
      </c>
      <c r="O132" s="448" t="s">
        <v>337</v>
      </c>
    </row>
    <row r="133" spans="1:15" s="49" customFormat="1" ht="15.75">
      <c r="B133" s="664"/>
      <c r="C133" s="664"/>
      <c r="D133" s="435" t="str">
        <f>IF(ROUNDDOWN(D132,0)=$N$2,$P$2,$O$2)</f>
        <v>　レベル　1</v>
      </c>
      <c r="E133" s="460" t="s">
        <v>1267</v>
      </c>
      <c r="F133" s="500"/>
      <c r="G133" s="500"/>
      <c r="H133" s="500"/>
      <c r="I133" s="500"/>
      <c r="J133" s="500"/>
      <c r="K133" s="500"/>
      <c r="L133" s="508"/>
      <c r="M133" s="664"/>
      <c r="N133" s="449">
        <v>1</v>
      </c>
      <c r="O133" s="450"/>
    </row>
    <row r="134" spans="1:15" s="49" customFormat="1" ht="15.75">
      <c r="B134" s="664"/>
      <c r="C134" s="664"/>
      <c r="D134" s="436" t="str">
        <f>IF(ROUNDDOWN(D132,0)=$N$3,$P$3,$O$3)</f>
        <v>　レベル　2</v>
      </c>
      <c r="E134" s="463" t="s">
        <v>1268</v>
      </c>
      <c r="F134" s="501"/>
      <c r="G134" s="501"/>
      <c r="H134" s="501"/>
      <c r="I134" s="501"/>
      <c r="J134" s="501"/>
      <c r="K134" s="501"/>
      <c r="L134" s="509"/>
      <c r="M134" s="62"/>
      <c r="N134" s="449">
        <v>2</v>
      </c>
      <c r="O134" s="450"/>
    </row>
    <row r="135" spans="1:15" s="49" customFormat="1" ht="15.75">
      <c r="B135" s="664"/>
      <c r="C135" s="664"/>
      <c r="D135" s="436" t="str">
        <f>IF(ROUNDDOWN(D132,0)=$N$4,$P$4,$O$4)</f>
        <v>■レベル　3</v>
      </c>
      <c r="E135" s="463" t="s">
        <v>1269</v>
      </c>
      <c r="F135" s="501"/>
      <c r="G135" s="501"/>
      <c r="H135" s="501"/>
      <c r="I135" s="501"/>
      <c r="J135" s="501"/>
      <c r="K135" s="501"/>
      <c r="L135" s="509"/>
      <c r="M135" s="664"/>
      <c r="N135" s="449">
        <v>3</v>
      </c>
      <c r="O135" s="450"/>
    </row>
    <row r="136" spans="1:15" s="49" customFormat="1" ht="15.75">
      <c r="B136" s="664"/>
      <c r="C136" s="664"/>
      <c r="D136" s="436" t="str">
        <f>IF(ROUNDDOWN(D132,0)=$N$5,$P$5,$O$5)</f>
        <v>　レベル　4</v>
      </c>
      <c r="E136" s="466" t="s">
        <v>1270</v>
      </c>
      <c r="F136" s="502"/>
      <c r="G136" s="502"/>
      <c r="H136" s="502"/>
      <c r="I136" s="502"/>
      <c r="J136" s="502"/>
      <c r="K136" s="502"/>
      <c r="L136" s="510"/>
      <c r="M136" s="62"/>
      <c r="N136" s="449">
        <v>4</v>
      </c>
      <c r="O136" s="450"/>
    </row>
    <row r="137" spans="1:15" s="49" customFormat="1" ht="15.75">
      <c r="B137" s="664"/>
      <c r="C137" s="664"/>
      <c r="D137" s="437" t="str">
        <f>IF(ROUNDDOWN(D132,0)=$N$6,$P$6,$O$6)</f>
        <v>　レベル　5</v>
      </c>
      <c r="E137" s="469" t="s">
        <v>1271</v>
      </c>
      <c r="F137" s="480"/>
      <c r="G137" s="480"/>
      <c r="H137" s="480"/>
      <c r="I137" s="480"/>
      <c r="J137" s="480"/>
      <c r="K137" s="480"/>
      <c r="L137" s="511"/>
      <c r="M137" s="664"/>
      <c r="N137" s="449">
        <v>5</v>
      </c>
      <c r="O137" s="450"/>
    </row>
    <row r="138" spans="1:15" s="49" customFormat="1" ht="15.75">
      <c r="B138" s="664"/>
      <c r="C138" s="664"/>
      <c r="D138" s="438" t="s">
        <v>341</v>
      </c>
      <c r="E138" s="1002"/>
      <c r="F138" s="494"/>
      <c r="G138" s="494"/>
      <c r="H138" s="679"/>
      <c r="I138" s="737" t="s">
        <v>715</v>
      </c>
      <c r="J138"/>
      <c r="K138"/>
      <c r="L138"/>
      <c r="M138" s="62"/>
      <c r="N138" s="451">
        <v>0</v>
      </c>
      <c r="O138" s="452"/>
    </row>
    <row r="139" spans="1:15" customFormat="1" ht="13.5">
      <c r="F139" s="306"/>
    </row>
    <row r="140" spans="1:15" s="50" customFormat="1" ht="15.75">
      <c r="B140" s="666" t="s">
        <v>995</v>
      </c>
      <c r="C140" s="666"/>
      <c r="D140" s="672"/>
      <c r="F140" s="137"/>
      <c r="H140" s="677"/>
      <c r="I140" s="96"/>
      <c r="J140" s="96"/>
      <c r="K140" s="96"/>
      <c r="L140" s="96"/>
      <c r="M140" s="96"/>
    </row>
    <row r="141" spans="1:15" s="50" customFormat="1" ht="15.75">
      <c r="C141" s="666" t="s">
        <v>467</v>
      </c>
      <c r="D141" s="672"/>
      <c r="F141" s="137"/>
      <c r="H141" s="677"/>
      <c r="I141" s="96"/>
      <c r="J141" s="96"/>
      <c r="K141" s="96"/>
      <c r="L141" s="96"/>
      <c r="M141" s="96"/>
    </row>
    <row r="142" spans="1:15" s="50" customFormat="1" ht="16.5" thickBot="1">
      <c r="B142" s="666"/>
      <c r="C142" s="666"/>
      <c r="D142" s="163" t="s">
        <v>468</v>
      </c>
      <c r="E142" s="664"/>
      <c r="F142" s="675"/>
      <c r="G142" s="675"/>
      <c r="H142" s="675"/>
      <c r="I142" s="459"/>
      <c r="J142" s="664"/>
      <c r="K142" s="664"/>
      <c r="L142" s="676"/>
      <c r="M142" s="664"/>
      <c r="N142" s="62"/>
      <c r="O142" s="62"/>
    </row>
    <row r="143" spans="1:15" s="49" customFormat="1" ht="16.5" thickBot="1">
      <c r="B143" s="664"/>
      <c r="C143" s="664"/>
      <c r="D143" s="434">
        <v>3</v>
      </c>
      <c r="E143" s="453" t="s">
        <v>1229</v>
      </c>
      <c r="F143" s="453"/>
      <c r="G143" s="453"/>
      <c r="H143" s="453"/>
      <c r="I143" s="453"/>
      <c r="J143" s="453"/>
      <c r="K143" s="453"/>
      <c r="L143" s="454"/>
      <c r="M143" s="62"/>
      <c r="N143" s="448" t="s">
        <v>336</v>
      </c>
      <c r="O143" s="448" t="s">
        <v>337</v>
      </c>
    </row>
    <row r="144" spans="1:15" s="49" customFormat="1" ht="15.75">
      <c r="B144" s="664"/>
      <c r="C144" s="664"/>
      <c r="D144" s="435" t="str">
        <f>IF(ROUNDDOWN(D143,0)=$N$2,$P$2,$O$2)</f>
        <v>　レベル　1</v>
      </c>
      <c r="E144" s="460" t="s">
        <v>469</v>
      </c>
      <c r="F144" s="500"/>
      <c r="G144" s="500"/>
      <c r="H144" s="500"/>
      <c r="I144" s="500"/>
      <c r="J144" s="500"/>
      <c r="K144" s="500"/>
      <c r="L144" s="508"/>
      <c r="M144" s="664"/>
      <c r="N144" s="449">
        <v>1</v>
      </c>
      <c r="O144" s="450"/>
    </row>
    <row r="145" spans="1:27" s="49" customFormat="1" ht="15.75">
      <c r="B145" s="664"/>
      <c r="C145" s="664"/>
      <c r="D145" s="436" t="str">
        <f>IF(ROUNDDOWN(D143,0)=$N$3,$P$3,$O$3)</f>
        <v>　レベル　2</v>
      </c>
      <c r="E145" s="463" t="s">
        <v>414</v>
      </c>
      <c r="F145" s="501"/>
      <c r="G145" s="501"/>
      <c r="H145" s="501"/>
      <c r="I145" s="501"/>
      <c r="J145" s="501"/>
      <c r="K145" s="501"/>
      <c r="L145" s="509"/>
      <c r="M145" s="62"/>
      <c r="N145" s="449" t="s">
        <v>312</v>
      </c>
      <c r="O145" s="450"/>
    </row>
    <row r="146" spans="1:27" s="49" customFormat="1" ht="27" customHeight="1">
      <c r="B146" s="664"/>
      <c r="C146" s="664"/>
      <c r="D146" s="436" t="str">
        <f>IF(ROUNDDOWN(D143,0)=$N$4,$P$4,$O$4)</f>
        <v>■レベル　3</v>
      </c>
      <c r="E146" s="1417" t="s">
        <v>470</v>
      </c>
      <c r="F146" s="1418"/>
      <c r="G146" s="1418"/>
      <c r="H146" s="1418"/>
      <c r="I146" s="1418"/>
      <c r="J146" s="1418"/>
      <c r="K146" s="1418"/>
      <c r="L146" s="1419"/>
      <c r="M146" s="664"/>
      <c r="N146" s="449">
        <v>3</v>
      </c>
      <c r="O146" s="450"/>
    </row>
    <row r="147" spans="1:27" s="49" customFormat="1" ht="15.75">
      <c r="B147" s="664"/>
      <c r="C147" s="664"/>
      <c r="D147" s="436" t="str">
        <f>IF(ROUNDDOWN(D143,0)=$N$5,$P$5,$O$5)</f>
        <v>　レベル　4</v>
      </c>
      <c r="E147" s="466" t="s">
        <v>471</v>
      </c>
      <c r="F147" s="502"/>
      <c r="G147" s="502"/>
      <c r="H147" s="502"/>
      <c r="I147" s="502"/>
      <c r="J147" s="502"/>
      <c r="K147" s="502"/>
      <c r="L147" s="510"/>
      <c r="M147" s="62"/>
      <c r="N147" s="449">
        <v>4</v>
      </c>
      <c r="O147" s="450"/>
    </row>
    <row r="148" spans="1:27" s="49" customFormat="1" ht="15.75">
      <c r="B148" s="664"/>
      <c r="C148" s="664"/>
      <c r="D148" s="437" t="str">
        <f>IF(ROUNDDOWN(D143,0)=$N$6,$P$6,$O$6)</f>
        <v>　レベル　5</v>
      </c>
      <c r="E148" s="469" t="s">
        <v>472</v>
      </c>
      <c r="F148" s="480"/>
      <c r="G148" s="480"/>
      <c r="H148" s="480"/>
      <c r="I148" s="480"/>
      <c r="J148" s="480"/>
      <c r="K148" s="480"/>
      <c r="L148" s="511"/>
      <c r="M148" s="664"/>
      <c r="N148" s="449">
        <v>5</v>
      </c>
      <c r="O148" s="450"/>
    </row>
    <row r="149" spans="1:27" s="49" customFormat="1" ht="15.75">
      <c r="B149" s="664"/>
      <c r="C149" s="664"/>
      <c r="D149" s="438" t="s">
        <v>341</v>
      </c>
      <c r="E149" s="1002"/>
      <c r="F149" s="494"/>
      <c r="G149" s="494"/>
      <c r="H149" s="679"/>
      <c r="I149"/>
      <c r="J149"/>
      <c r="K149"/>
      <c r="L149"/>
      <c r="M149" s="62"/>
      <c r="N149" s="449" t="s">
        <v>312</v>
      </c>
      <c r="O149" s="452"/>
    </row>
    <row r="150" spans="1:27" customFormat="1" ht="13.5">
      <c r="F150" s="306"/>
    </row>
    <row r="151" spans="1:27" s="49" customFormat="1" ht="16.5" thickBot="1">
      <c r="A151" s="664"/>
      <c r="B151" s="163"/>
      <c r="C151" s="668"/>
      <c r="D151" s="163" t="s">
        <v>1042</v>
      </c>
      <c r="E151" s="447"/>
      <c r="F151" s="495"/>
      <c r="G151" s="495"/>
      <c r="H151" s="495"/>
      <c r="I151" s="459"/>
      <c r="J151" s="447"/>
      <c r="K151" s="447"/>
      <c r="L151" s="447"/>
      <c r="M151" s="447"/>
      <c r="N151" s="447"/>
      <c r="O151" s="62"/>
    </row>
    <row r="152" spans="1:27" s="49" customFormat="1" ht="16.5" thickBot="1">
      <c r="B152" s="664"/>
      <c r="C152" s="664"/>
      <c r="D152" s="1031">
        <f>IF(AND(COUNTIF(E161:E162,$R$3)&gt;0,COUNTIF(E163:E164,$R$3)&gt;0,COUNTIF(E165:E167,$R$3)&gt;0,E160&gt;=5,E168=$R$3),N157,IF(AND(COUNTIF(E161:E162,$R$3)&gt;0,COUNTIF(E163:E164,$R$3)&gt;0,COUNTIF(E165:E167,$R$3)&gt;0,E160&gt;=5),N156,IF(AND(COUNTIF(E161:E162,$R$3)&gt;0,COUNTIF(E163:E164,$R$3)&gt;0,COUNTIF(E165:E167,$R$3)&gt;0),N155,N153)))</f>
        <v>3</v>
      </c>
      <c r="E152" s="453" t="s">
        <v>1229</v>
      </c>
      <c r="F152" s="453"/>
      <c r="G152" s="453"/>
      <c r="H152" s="453"/>
      <c r="I152" s="453"/>
      <c r="J152" s="453"/>
      <c r="K152" s="453"/>
      <c r="L152" s="454"/>
      <c r="M152" s="62"/>
      <c r="N152" s="448" t="s">
        <v>336</v>
      </c>
      <c r="O152" s="448" t="s">
        <v>337</v>
      </c>
    </row>
    <row r="153" spans="1:27" s="49" customFormat="1" ht="15.75">
      <c r="B153" s="664"/>
      <c r="C153" s="664"/>
      <c r="D153" s="435" t="str">
        <f>IF(ROUNDDOWN(D152,0)=$N$2,$P$2,$O$2)</f>
        <v>　レベル　1</v>
      </c>
      <c r="E153" s="460" t="s">
        <v>473</v>
      </c>
      <c r="F153" s="461"/>
      <c r="G153" s="461"/>
      <c r="H153" s="461"/>
      <c r="I153" s="461"/>
      <c r="J153" s="461"/>
      <c r="K153" s="461"/>
      <c r="L153" s="462"/>
      <c r="M153" s="664"/>
      <c r="N153" s="449">
        <v>1</v>
      </c>
      <c r="O153" s="448"/>
    </row>
    <row r="154" spans="1:27" s="49" customFormat="1" ht="15.75">
      <c r="B154" s="664"/>
      <c r="C154" s="664"/>
      <c r="D154" s="436" t="str">
        <f>IF(ROUNDDOWN(D152,0)=$N$3,$P$3,$O$3)</f>
        <v>　レベル　2</v>
      </c>
      <c r="E154" s="463" t="s">
        <v>414</v>
      </c>
      <c r="F154" s="464"/>
      <c r="G154" s="464"/>
      <c r="H154" s="464"/>
      <c r="I154" s="464"/>
      <c r="J154" s="464"/>
      <c r="K154" s="464"/>
      <c r="L154" s="465"/>
      <c r="M154" s="62"/>
      <c r="N154" s="449" t="s">
        <v>312</v>
      </c>
      <c r="O154" s="448"/>
    </row>
    <row r="155" spans="1:27" s="49" customFormat="1" ht="15.75">
      <c r="B155" s="664"/>
      <c r="C155" s="664"/>
      <c r="D155" s="436" t="str">
        <f>IF(ROUNDDOWN(D152,0)=$N$4,$P$4,$O$4)</f>
        <v>■レベル　3</v>
      </c>
      <c r="E155" s="463" t="s">
        <v>474</v>
      </c>
      <c r="F155" s="464"/>
      <c r="G155" s="464"/>
      <c r="H155" s="464"/>
      <c r="I155" s="464"/>
      <c r="J155" s="464"/>
      <c r="K155" s="464"/>
      <c r="L155" s="465"/>
      <c r="M155" s="664"/>
      <c r="N155" s="449">
        <v>3</v>
      </c>
      <c r="O155" s="448"/>
    </row>
    <row r="156" spans="1:27" s="49" customFormat="1" ht="15.75">
      <c r="B156" s="664"/>
      <c r="C156" s="664"/>
      <c r="D156" s="436" t="str">
        <f>IF(ROUNDDOWN(D152,0)=$N$5,$P$5,$O$5)</f>
        <v>　レベル　4</v>
      </c>
      <c r="E156" s="466" t="s">
        <v>475</v>
      </c>
      <c r="F156" s="467"/>
      <c r="G156" s="467"/>
      <c r="H156" s="467"/>
      <c r="I156" s="467"/>
      <c r="J156" s="467"/>
      <c r="K156" s="467"/>
      <c r="L156" s="468"/>
      <c r="M156" s="62"/>
      <c r="N156" s="449">
        <v>4</v>
      </c>
      <c r="O156" s="448"/>
    </row>
    <row r="157" spans="1:27" s="49" customFormat="1" ht="15.75">
      <c r="B157" s="664"/>
      <c r="C157" s="664"/>
      <c r="D157" s="437" t="str">
        <f>IF(ROUNDDOWN(D152,0)=$N$6,$P$6,$O$6)</f>
        <v>　レベル　5</v>
      </c>
      <c r="E157" s="469" t="s">
        <v>1286</v>
      </c>
      <c r="F157" s="470"/>
      <c r="G157" s="470"/>
      <c r="H157" s="470"/>
      <c r="I157" s="470"/>
      <c r="J157" s="470"/>
      <c r="K157" s="470"/>
      <c r="L157" s="471"/>
      <c r="M157" s="664"/>
      <c r="N157" s="449">
        <v>5</v>
      </c>
      <c r="O157" s="448"/>
    </row>
    <row r="158" spans="1:27" s="49" customFormat="1" ht="15.75">
      <c r="B158" s="664"/>
      <c r="C158" s="664"/>
      <c r="D158" s="438" t="s">
        <v>341</v>
      </c>
      <c r="E158" s="1002"/>
      <c r="F158" s="494"/>
      <c r="G158" s="494"/>
      <c r="H158" s="679"/>
      <c r="I158"/>
      <c r="J158"/>
      <c r="K158"/>
      <c r="L158"/>
      <c r="M158" s="664"/>
      <c r="N158" s="449" t="s">
        <v>312</v>
      </c>
      <c r="O158" s="448"/>
    </row>
    <row r="159" spans="1:27" customFormat="1" ht="15">
      <c r="C159" s="669"/>
      <c r="D159" s="438" t="s">
        <v>384</v>
      </c>
      <c r="E159" s="447"/>
      <c r="F159" s="495"/>
      <c r="G159" s="495"/>
      <c r="H159" s="495"/>
      <c r="I159" s="495"/>
      <c r="J159" s="447"/>
      <c r="K159" s="447"/>
      <c r="L159" s="447"/>
      <c r="M159" s="447"/>
      <c r="N159" s="164"/>
      <c r="O159" s="164"/>
    </row>
    <row r="160" spans="1:27" s="164" customFormat="1" ht="15.75" thickBot="1">
      <c r="A160" s="96"/>
      <c r="B160" s="96"/>
      <c r="C160" s="120"/>
      <c r="D160" s="174" t="s">
        <v>385</v>
      </c>
      <c r="E160" s="472">
        <f>COUNTIF(E161:E167,$R$3)</f>
        <v>3</v>
      </c>
      <c r="F160" s="1388" t="s">
        <v>830</v>
      </c>
      <c r="G160" s="1389"/>
      <c r="H160" s="1390"/>
      <c r="I160" s="1388" t="s">
        <v>831</v>
      </c>
      <c r="J160" s="1389"/>
      <c r="K160" s="1389"/>
      <c r="L160" s="1390"/>
      <c r="M160" s="447"/>
      <c r="N160" s="447"/>
      <c r="O160" s="447"/>
      <c r="P160" s="140"/>
      <c r="Q160" s="140"/>
      <c r="R160" s="140"/>
      <c r="S160" s="140"/>
      <c r="T160" s="140"/>
      <c r="U160" s="140"/>
      <c r="V160" s="140"/>
      <c r="W160" s="140"/>
      <c r="X160" s="140"/>
      <c r="Y160" s="140"/>
      <c r="Z160" s="96"/>
      <c r="AA160" s="96"/>
    </row>
    <row r="161" spans="1:27" s="164" customFormat="1" ht="38.450000000000003" customHeight="1">
      <c r="A161" s="96"/>
      <c r="B161" s="96"/>
      <c r="C161" s="120"/>
      <c r="D161" s="439" t="s">
        <v>300</v>
      </c>
      <c r="E161" s="440" t="s">
        <v>390</v>
      </c>
      <c r="F161" s="476" t="s">
        <v>476</v>
      </c>
      <c r="G161" s="713" t="s">
        <v>477</v>
      </c>
      <c r="H161" s="473"/>
      <c r="I161" s="713" t="s">
        <v>478</v>
      </c>
      <c r="J161" s="473"/>
      <c r="K161" s="473"/>
      <c r="L161" s="477"/>
      <c r="M161" s="96"/>
      <c r="N161"/>
      <c r="O161"/>
      <c r="P161"/>
      <c r="Q161"/>
      <c r="R161" s="140"/>
      <c r="S161" s="140"/>
      <c r="T161" s="140"/>
      <c r="U161" s="140"/>
      <c r="V161" s="140"/>
      <c r="W161" s="140"/>
      <c r="X161" s="140"/>
      <c r="Y161" s="140"/>
      <c r="Z161" s="96"/>
      <c r="AA161" s="96"/>
    </row>
    <row r="162" spans="1:27" s="164" customFormat="1" ht="38.450000000000003" customHeight="1">
      <c r="A162" s="96"/>
      <c r="B162" s="96"/>
      <c r="C162" s="120"/>
      <c r="D162" s="439" t="s">
        <v>301</v>
      </c>
      <c r="E162" s="441"/>
      <c r="F162" s="478" t="str">
        <f>COUNTIF(E161:E162,$R$3)&amp;"項目"</f>
        <v>1項目</v>
      </c>
      <c r="G162" s="713" t="s">
        <v>479</v>
      </c>
      <c r="H162" s="473"/>
      <c r="I162" s="1415" t="s">
        <v>480</v>
      </c>
      <c r="J162" s="1416"/>
      <c r="K162" s="1416"/>
      <c r="L162" s="1414"/>
      <c r="M162" s="96"/>
      <c r="N162"/>
      <c r="O162"/>
      <c r="P162"/>
      <c r="Q162"/>
      <c r="R162" s="140"/>
      <c r="S162" s="140"/>
      <c r="T162" s="140"/>
      <c r="U162" s="140"/>
      <c r="V162" s="140"/>
      <c r="W162" s="140"/>
      <c r="X162" s="140"/>
      <c r="Y162" s="140"/>
      <c r="Z162" s="96"/>
      <c r="AA162" s="96"/>
    </row>
    <row r="163" spans="1:27" s="164" customFormat="1" ht="38.450000000000003" customHeight="1">
      <c r="A163" s="96"/>
      <c r="B163" s="96"/>
      <c r="C163" s="120"/>
      <c r="D163" s="439" t="s">
        <v>302</v>
      </c>
      <c r="E163" s="441"/>
      <c r="F163" s="476" t="s">
        <v>481</v>
      </c>
      <c r="G163" s="1422" t="s">
        <v>482</v>
      </c>
      <c r="H163" s="1423"/>
      <c r="I163" s="713" t="s">
        <v>483</v>
      </c>
      <c r="J163" s="473"/>
      <c r="K163" s="473"/>
      <c r="L163" s="477"/>
      <c r="M163" s="96"/>
      <c r="N163"/>
      <c r="O163"/>
      <c r="P163"/>
      <c r="Q163"/>
      <c r="R163" s="140"/>
      <c r="S163" s="140"/>
      <c r="T163" s="140"/>
      <c r="U163" s="140"/>
      <c r="V163" s="140"/>
      <c r="W163" s="140"/>
      <c r="X163" s="140"/>
      <c r="Y163" s="140"/>
      <c r="Z163" s="96"/>
      <c r="AA163" s="96"/>
    </row>
    <row r="164" spans="1:27" s="164" customFormat="1" ht="38.450000000000003" customHeight="1">
      <c r="A164" s="96"/>
      <c r="B164" s="96"/>
      <c r="C164" s="120"/>
      <c r="D164" s="439" t="s">
        <v>303</v>
      </c>
      <c r="E164" s="441" t="s">
        <v>390</v>
      </c>
      <c r="F164" s="478" t="str">
        <f>COUNTIF(E163:E164,$R$3)&amp;"項目"</f>
        <v>1項目</v>
      </c>
      <c r="G164" s="713" t="s">
        <v>484</v>
      </c>
      <c r="H164" s="473"/>
      <c r="I164" s="1415" t="s">
        <v>485</v>
      </c>
      <c r="J164" s="1416"/>
      <c r="K164" s="1416"/>
      <c r="L164" s="1414"/>
      <c r="M164" s="96"/>
      <c r="N164"/>
      <c r="O164"/>
      <c r="P164"/>
      <c r="Q164"/>
      <c r="R164" s="140"/>
      <c r="S164" s="140"/>
      <c r="T164" s="140"/>
      <c r="U164" s="140"/>
      <c r="V164" s="140"/>
      <c r="W164" s="140"/>
      <c r="X164" s="140"/>
      <c r="Y164" s="140"/>
      <c r="Z164" s="96"/>
      <c r="AA164" s="96"/>
    </row>
    <row r="165" spans="1:27" s="164" customFormat="1" ht="38.450000000000003" customHeight="1">
      <c r="A165" s="96"/>
      <c r="B165" s="96"/>
      <c r="C165" s="120"/>
      <c r="D165" s="439" t="s">
        <v>304</v>
      </c>
      <c r="E165" s="441" t="s">
        <v>390</v>
      </c>
      <c r="F165" s="476" t="s">
        <v>486</v>
      </c>
      <c r="G165" s="1422" t="s">
        <v>487</v>
      </c>
      <c r="H165" s="1423"/>
      <c r="I165" s="713" t="s">
        <v>483</v>
      </c>
      <c r="J165" s="473"/>
      <c r="K165" s="473"/>
      <c r="L165" s="477"/>
      <c r="M165" s="96"/>
      <c r="N165"/>
      <c r="O165"/>
      <c r="P165"/>
      <c r="Q165"/>
      <c r="R165" s="140"/>
      <c r="S165" s="140"/>
      <c r="T165" s="140"/>
      <c r="U165" s="140"/>
      <c r="V165" s="140"/>
      <c r="W165" s="140"/>
      <c r="X165" s="140"/>
      <c r="Y165" s="140"/>
      <c r="Z165" s="96"/>
      <c r="AA165" s="96"/>
    </row>
    <row r="166" spans="1:27" s="164" customFormat="1" ht="38.450000000000003" customHeight="1">
      <c r="A166" s="96"/>
      <c r="B166" s="96"/>
      <c r="C166" s="120"/>
      <c r="D166" s="439" t="s">
        <v>305</v>
      </c>
      <c r="E166" s="441"/>
      <c r="F166" s="479" t="str">
        <f>COUNTIF(E165:E167,$R$3)&amp;"項目"</f>
        <v>1項目</v>
      </c>
      <c r="G166" s="1422" t="s">
        <v>488</v>
      </c>
      <c r="H166" s="1423"/>
      <c r="I166" s="1415" t="s">
        <v>489</v>
      </c>
      <c r="J166" s="1416"/>
      <c r="K166" s="1416"/>
      <c r="L166" s="1414"/>
      <c r="M166" s="96"/>
      <c r="N166"/>
      <c r="O166"/>
      <c r="P166"/>
      <c r="Q166"/>
      <c r="R166" s="140"/>
      <c r="S166" s="140"/>
      <c r="T166" s="140"/>
      <c r="U166" s="140"/>
      <c r="V166" s="140"/>
      <c r="W166" s="140"/>
      <c r="X166" s="140"/>
      <c r="Y166" s="140"/>
      <c r="Z166" s="96"/>
      <c r="AA166" s="96"/>
    </row>
    <row r="167" spans="1:27" s="164" customFormat="1" ht="38.450000000000003" customHeight="1" thickBot="1">
      <c r="A167" s="96"/>
      <c r="B167" s="96"/>
      <c r="C167" s="120"/>
      <c r="D167" s="439" t="s">
        <v>306</v>
      </c>
      <c r="E167" s="442"/>
      <c r="F167" s="480"/>
      <c r="G167" s="713" t="s">
        <v>490</v>
      </c>
      <c r="H167" s="473"/>
      <c r="I167" s="1415" t="s">
        <v>491</v>
      </c>
      <c r="J167" s="1416"/>
      <c r="K167" s="1416"/>
      <c r="L167" s="1414"/>
      <c r="M167" s="96"/>
      <c r="N167"/>
      <c r="O167"/>
      <c r="P167"/>
      <c r="Q167"/>
      <c r="R167" s="140"/>
      <c r="S167" s="140"/>
      <c r="T167" s="140"/>
      <c r="U167" s="140"/>
      <c r="V167" s="140"/>
      <c r="W167" s="140"/>
      <c r="X167" s="140"/>
      <c r="Y167" s="140"/>
      <c r="Z167" s="96"/>
      <c r="AA167" s="96"/>
    </row>
    <row r="168" spans="1:27" s="164" customFormat="1" ht="15.75" thickBot="1">
      <c r="A168" s="96"/>
      <c r="B168" s="96"/>
      <c r="C168" s="120"/>
      <c r="D168" s="439" t="s">
        <v>307</v>
      </c>
      <c r="E168" s="481"/>
      <c r="F168" s="473" t="s">
        <v>1287</v>
      </c>
      <c r="G168" s="474"/>
      <c r="H168" s="474"/>
      <c r="I168" s="474"/>
      <c r="J168" s="474"/>
      <c r="K168" s="474"/>
      <c r="L168" s="475"/>
      <c r="M168" s="96"/>
      <c r="N168"/>
      <c r="O168"/>
      <c r="P168"/>
      <c r="Q168"/>
      <c r="R168" s="140"/>
      <c r="S168" s="140"/>
      <c r="T168" s="140"/>
      <c r="U168" s="140"/>
      <c r="V168" s="140"/>
      <c r="W168" s="140"/>
      <c r="X168" s="140"/>
      <c r="Y168" s="140"/>
      <c r="Z168" s="96"/>
      <c r="AA168" s="96"/>
    </row>
    <row r="169" spans="1:27" customFormat="1" ht="13.5">
      <c r="F169" s="306"/>
    </row>
    <row r="170" spans="1:27" s="49" customFormat="1" ht="16.5" thickBot="1">
      <c r="A170" s="664"/>
      <c r="B170" s="163"/>
      <c r="C170" s="668"/>
      <c r="D170" s="163" t="s">
        <v>492</v>
      </c>
      <c r="E170" s="447"/>
      <c r="F170" s="495"/>
      <c r="G170" s="495"/>
      <c r="H170" s="495"/>
      <c r="I170" s="459"/>
      <c r="J170" s="447"/>
      <c r="K170" s="447"/>
      <c r="L170" s="447"/>
      <c r="M170" s="447"/>
      <c r="N170" s="447"/>
      <c r="O170" s="62"/>
    </row>
    <row r="171" spans="1:27" s="49" customFormat="1" ht="16.5" thickBot="1">
      <c r="B171" s="664"/>
      <c r="C171" s="664"/>
      <c r="D171" s="1031">
        <f>IF(E179&gt;=O176,N176,IF(E179&gt;=O175,N175,IF(E179&gt;=O174,N174,IF(E179&gt;=O173,N173,N172))))</f>
        <v>3</v>
      </c>
      <c r="E171" s="453" t="s">
        <v>1229</v>
      </c>
      <c r="F171" s="453"/>
      <c r="G171" s="453"/>
      <c r="H171" s="453"/>
      <c r="I171" s="453"/>
      <c r="J171" s="453"/>
      <c r="K171" s="453"/>
      <c r="L171" s="454"/>
      <c r="M171" s="62"/>
      <c r="N171" s="448" t="s">
        <v>336</v>
      </c>
      <c r="O171" s="448" t="s">
        <v>337</v>
      </c>
    </row>
    <row r="172" spans="1:27" s="49" customFormat="1" ht="15.75">
      <c r="B172" s="664"/>
      <c r="C172" s="664"/>
      <c r="D172" s="435" t="str">
        <f>IF(ROUNDDOWN(D171,0)=$N$2,$P$2,$O$2)</f>
        <v>　レベル　1</v>
      </c>
      <c r="E172" s="460" t="s">
        <v>493</v>
      </c>
      <c r="F172" s="461"/>
      <c r="G172" s="461"/>
      <c r="H172" s="461"/>
      <c r="I172" s="461"/>
      <c r="J172" s="461"/>
      <c r="K172" s="461"/>
      <c r="L172" s="462"/>
      <c r="M172" s="664"/>
      <c r="N172" s="449">
        <v>1</v>
      </c>
      <c r="O172" s="448">
        <v>0</v>
      </c>
    </row>
    <row r="173" spans="1:27" s="49" customFormat="1" ht="15.75">
      <c r="B173" s="664"/>
      <c r="C173" s="664"/>
      <c r="D173" s="436" t="str">
        <f>IF(ROUNDDOWN(D171,0)=$N$3,$P$3,$O$3)</f>
        <v>　レベル　2</v>
      </c>
      <c r="E173" s="463" t="s">
        <v>494</v>
      </c>
      <c r="F173" s="464"/>
      <c r="G173" s="464"/>
      <c r="H173" s="464"/>
      <c r="I173" s="464"/>
      <c r="J173" s="464"/>
      <c r="K173" s="464"/>
      <c r="L173" s="465"/>
      <c r="M173" s="62"/>
      <c r="N173" s="449">
        <v>2</v>
      </c>
      <c r="O173" s="448">
        <v>2</v>
      </c>
    </row>
    <row r="174" spans="1:27" s="49" customFormat="1" ht="15.75">
      <c r="B174" s="664"/>
      <c r="C174" s="664"/>
      <c r="D174" s="436" t="str">
        <f>IF(ROUNDDOWN(D171,0)=$N$4,$P$4,$O$4)</f>
        <v>■レベル　3</v>
      </c>
      <c r="E174" s="463" t="s">
        <v>495</v>
      </c>
      <c r="F174" s="464"/>
      <c r="G174" s="464"/>
      <c r="H174" s="464"/>
      <c r="I174" s="464"/>
      <c r="J174" s="464"/>
      <c r="K174" s="464"/>
      <c r="L174" s="465"/>
      <c r="M174" s="664"/>
      <c r="N174" s="449">
        <v>3</v>
      </c>
      <c r="O174" s="448">
        <v>3</v>
      </c>
    </row>
    <row r="175" spans="1:27" s="49" customFormat="1" ht="15.75">
      <c r="B175" s="664"/>
      <c r="C175" s="664"/>
      <c r="D175" s="436" t="str">
        <f>IF(ROUNDDOWN(D171,0)=$N$5,$P$5,$O$5)</f>
        <v>　レベル　4</v>
      </c>
      <c r="E175" s="466" t="s">
        <v>496</v>
      </c>
      <c r="F175" s="467"/>
      <c r="G175" s="467"/>
      <c r="H175" s="467"/>
      <c r="I175" s="467"/>
      <c r="J175" s="467"/>
      <c r="K175" s="467"/>
      <c r="L175" s="468"/>
      <c r="M175" s="62"/>
      <c r="N175" s="449">
        <v>4</v>
      </c>
      <c r="O175" s="448">
        <v>4</v>
      </c>
    </row>
    <row r="176" spans="1:27" s="49" customFormat="1" ht="32.450000000000003" customHeight="1">
      <c r="B176" s="664"/>
      <c r="C176" s="664"/>
      <c r="D176" s="437" t="str">
        <f>IF(ROUNDDOWN(D171,0)=$N$6,$P$6,$O$6)</f>
        <v>　レベル　5</v>
      </c>
      <c r="E176" s="1391" t="s">
        <v>497</v>
      </c>
      <c r="F176" s="1392"/>
      <c r="G176" s="1392"/>
      <c r="H176" s="1392"/>
      <c r="I176" s="1392"/>
      <c r="J176" s="1392"/>
      <c r="K176" s="1392"/>
      <c r="L176" s="1393"/>
      <c r="M176" s="664"/>
      <c r="N176" s="449">
        <v>5</v>
      </c>
      <c r="O176" s="448">
        <v>5</v>
      </c>
    </row>
    <row r="177" spans="1:27" s="49" customFormat="1" ht="15.75">
      <c r="B177" s="664"/>
      <c r="C177" s="664"/>
      <c r="D177" s="438" t="s">
        <v>341</v>
      </c>
      <c r="E177" s="1002"/>
      <c r="F177" s="494"/>
      <c r="G177" s="494"/>
      <c r="H177" s="679"/>
      <c r="I177"/>
      <c r="J177"/>
      <c r="K177"/>
      <c r="L177"/>
      <c r="M177" s="664"/>
      <c r="N177" s="449" t="s">
        <v>312</v>
      </c>
      <c r="O177" s="448"/>
    </row>
    <row r="178" spans="1:27" customFormat="1" ht="15">
      <c r="C178" s="669"/>
      <c r="D178" s="438" t="s">
        <v>384</v>
      </c>
      <c r="E178" s="447"/>
      <c r="F178" s="495"/>
      <c r="G178" s="495"/>
      <c r="H178" s="495"/>
      <c r="I178" s="495"/>
      <c r="J178" s="447"/>
      <c r="K178" s="447"/>
      <c r="L178" s="447"/>
      <c r="M178" s="447"/>
      <c r="N178" s="164"/>
      <c r="O178" s="164"/>
    </row>
    <row r="179" spans="1:27" s="164" customFormat="1" ht="15.75" thickBot="1">
      <c r="A179" s="96"/>
      <c r="B179" s="96"/>
      <c r="C179" s="120"/>
      <c r="D179" s="174" t="s">
        <v>385</v>
      </c>
      <c r="E179" s="472">
        <f>COUNTIF(E180:E183,$R$3)+IF(COUNTIF(E180:E183,$R$3)=4,IF(E184=$R$3,1,0))</f>
        <v>3</v>
      </c>
      <c r="F179" s="1404" t="s">
        <v>830</v>
      </c>
      <c r="G179" s="1379"/>
      <c r="H179" s="1380"/>
      <c r="I179" s="1378" t="s">
        <v>831</v>
      </c>
      <c r="J179" s="1379"/>
      <c r="K179" s="1379"/>
      <c r="L179" s="1380"/>
      <c r="M179" s="447"/>
      <c r="N179" s="447"/>
      <c r="O179" s="447"/>
      <c r="P179" s="140"/>
      <c r="Q179" s="140"/>
      <c r="R179" s="140"/>
      <c r="S179" s="140"/>
      <c r="T179" s="140"/>
      <c r="U179" s="140"/>
      <c r="V179" s="140"/>
      <c r="W179" s="140"/>
      <c r="X179" s="140"/>
      <c r="Y179" s="96"/>
      <c r="Z179" s="96"/>
      <c r="AA179" s="140"/>
    </row>
    <row r="180" spans="1:27" s="164" customFormat="1" ht="30.6" customHeight="1">
      <c r="A180" s="96"/>
      <c r="B180" s="96"/>
      <c r="C180" s="120"/>
      <c r="D180" s="439" t="s">
        <v>300</v>
      </c>
      <c r="E180" s="440" t="s">
        <v>390</v>
      </c>
      <c r="F180" s="473" t="s">
        <v>498</v>
      </c>
      <c r="G180" s="474"/>
      <c r="H180" s="474"/>
      <c r="I180" s="1415" t="s">
        <v>499</v>
      </c>
      <c r="J180" s="1416"/>
      <c r="K180" s="1416"/>
      <c r="L180" s="1414"/>
      <c r="M180" s="96"/>
      <c r="N180"/>
      <c r="O180"/>
      <c r="P180"/>
      <c r="Q180" s="140"/>
      <c r="R180" s="140"/>
      <c r="S180" s="140"/>
      <c r="T180" s="140"/>
      <c r="U180" s="140"/>
      <c r="V180" s="140"/>
      <c r="W180" s="140"/>
      <c r="X180" s="140"/>
      <c r="Y180" s="96"/>
      <c r="Z180" s="96"/>
      <c r="AA180" s="140"/>
    </row>
    <row r="181" spans="1:27" s="164" customFormat="1" ht="30.6" customHeight="1">
      <c r="A181" s="96"/>
      <c r="B181" s="96"/>
      <c r="C181" s="120"/>
      <c r="D181" s="439" t="s">
        <v>301</v>
      </c>
      <c r="E181" s="441" t="s">
        <v>390</v>
      </c>
      <c r="F181" s="473" t="s">
        <v>500</v>
      </c>
      <c r="G181" s="474"/>
      <c r="H181" s="474"/>
      <c r="I181" s="1415" t="s">
        <v>501</v>
      </c>
      <c r="J181" s="1416"/>
      <c r="K181" s="1416"/>
      <c r="L181" s="1414"/>
      <c r="M181" s="96"/>
      <c r="N181"/>
      <c r="O181"/>
      <c r="P181"/>
      <c r="Q181" s="140"/>
      <c r="R181" s="140"/>
      <c r="S181" s="140"/>
      <c r="T181" s="140"/>
      <c r="U181" s="140"/>
      <c r="V181" s="140"/>
      <c r="W181" s="140"/>
      <c r="X181" s="140"/>
      <c r="Y181" s="96"/>
      <c r="Z181" s="96"/>
      <c r="AA181" s="140"/>
    </row>
    <row r="182" spans="1:27" s="164" customFormat="1" ht="30.6" customHeight="1">
      <c r="A182" s="96"/>
      <c r="B182" s="96"/>
      <c r="C182" s="120"/>
      <c r="D182" s="439" t="s">
        <v>302</v>
      </c>
      <c r="E182" s="441"/>
      <c r="F182" s="473" t="s">
        <v>502</v>
      </c>
      <c r="G182" s="474"/>
      <c r="H182" s="474"/>
      <c r="I182" s="713" t="s">
        <v>503</v>
      </c>
      <c r="J182" s="474"/>
      <c r="K182" s="474"/>
      <c r="L182" s="475"/>
      <c r="M182" s="96"/>
      <c r="N182"/>
      <c r="O182"/>
      <c r="P182"/>
      <c r="Q182" s="140"/>
      <c r="R182" s="140"/>
      <c r="S182" s="140"/>
      <c r="T182" s="140"/>
      <c r="U182" s="140"/>
      <c r="V182" s="140"/>
      <c r="W182" s="140"/>
      <c r="X182" s="140"/>
      <c r="Y182" s="96"/>
      <c r="Z182" s="96"/>
      <c r="AA182" s="140"/>
    </row>
    <row r="183" spans="1:27" ht="30.6" customHeight="1" thickBot="1">
      <c r="C183" s="120"/>
      <c r="D183" s="439" t="s">
        <v>303</v>
      </c>
      <c r="E183" s="442" t="s">
        <v>390</v>
      </c>
      <c r="F183" s="1415" t="s">
        <v>504</v>
      </c>
      <c r="G183" s="1416"/>
      <c r="H183" s="1416"/>
      <c r="I183" s="1415" t="s">
        <v>505</v>
      </c>
      <c r="J183" s="1416"/>
      <c r="K183" s="1416"/>
      <c r="L183" s="1414"/>
      <c r="N183"/>
      <c r="O183"/>
      <c r="P183"/>
      <c r="Q183" s="140"/>
      <c r="R183" s="140"/>
      <c r="S183" s="140"/>
      <c r="T183" s="140"/>
      <c r="U183" s="140"/>
      <c r="V183" s="140"/>
      <c r="W183" s="140"/>
      <c r="X183" s="140"/>
      <c r="Y183" s="140"/>
    </row>
    <row r="184" spans="1:27" ht="15.75" thickBot="1">
      <c r="C184" s="120"/>
      <c r="D184" s="439" t="s">
        <v>304</v>
      </c>
      <c r="E184" s="442"/>
      <c r="F184" s="473" t="s">
        <v>506</v>
      </c>
      <c r="G184" s="474"/>
      <c r="H184" s="474"/>
      <c r="I184" s="482"/>
      <c r="J184" s="474"/>
      <c r="K184" s="474"/>
      <c r="L184" s="475"/>
      <c r="N184"/>
      <c r="O184"/>
      <c r="P184"/>
      <c r="Q184" s="140"/>
      <c r="R184" s="140"/>
      <c r="S184" s="140"/>
      <c r="T184" s="140"/>
      <c r="U184" s="140"/>
      <c r="V184" s="140"/>
      <c r="W184" s="140"/>
      <c r="X184" s="140"/>
      <c r="Y184" s="140"/>
    </row>
    <row r="185" spans="1:27" customFormat="1" ht="13.5">
      <c r="F185" s="306"/>
    </row>
    <row r="186" spans="1:27" s="49" customFormat="1" ht="16.5" thickBot="1">
      <c r="A186" s="664"/>
      <c r="B186" s="163"/>
      <c r="C186" s="668" t="s">
        <v>507</v>
      </c>
      <c r="D186" s="163"/>
      <c r="E186" s="664"/>
      <c r="F186" s="675"/>
      <c r="G186" s="675"/>
      <c r="H186" s="675"/>
      <c r="I186" s="459"/>
      <c r="J186" s="664"/>
      <c r="K186" s="664"/>
      <c r="L186" s="676"/>
      <c r="M186" s="664"/>
      <c r="N186" s="62"/>
      <c r="O186" s="62"/>
    </row>
    <row r="187" spans="1:27" s="49" customFormat="1" ht="16.5" thickBot="1">
      <c r="B187" s="664"/>
      <c r="C187" s="664"/>
      <c r="D187" s="434">
        <v>3</v>
      </c>
      <c r="E187" s="453" t="s">
        <v>1229</v>
      </c>
      <c r="F187" s="453"/>
      <c r="G187" s="453"/>
      <c r="H187" s="453"/>
      <c r="I187" s="453"/>
      <c r="J187" s="453"/>
      <c r="K187" s="453"/>
      <c r="L187" s="454"/>
      <c r="M187" s="62"/>
      <c r="N187" s="448" t="s">
        <v>336</v>
      </c>
      <c r="O187" s="448" t="s">
        <v>337</v>
      </c>
    </row>
    <row r="188" spans="1:27" s="49" customFormat="1" ht="15.75">
      <c r="B188" s="664"/>
      <c r="C188" s="664"/>
      <c r="D188" s="435" t="str">
        <f>IF(ROUNDDOWN(D187,0)=$N$2,$P$2,$O$2)</f>
        <v>　レベル　1</v>
      </c>
      <c r="E188" s="460" t="s">
        <v>508</v>
      </c>
      <c r="F188" s="500"/>
      <c r="G188" s="500"/>
      <c r="H188" s="500"/>
      <c r="I188" s="500"/>
      <c r="J188" s="500"/>
      <c r="K188" s="500"/>
      <c r="L188" s="508"/>
      <c r="M188" s="664"/>
      <c r="N188" s="449">
        <v>1</v>
      </c>
      <c r="O188" s="450"/>
    </row>
    <row r="189" spans="1:27" s="49" customFormat="1" ht="15.75">
      <c r="B189" s="664"/>
      <c r="C189" s="664"/>
      <c r="D189" s="436" t="str">
        <f>IF(ROUNDDOWN(D187,0)=$N$3,$P$3,$O$3)</f>
        <v>　レベル　2</v>
      </c>
      <c r="E189" s="463" t="s">
        <v>509</v>
      </c>
      <c r="F189" s="501"/>
      <c r="G189" s="501"/>
      <c r="H189" s="501"/>
      <c r="I189" s="501"/>
      <c r="J189" s="501"/>
      <c r="K189" s="501"/>
      <c r="L189" s="509"/>
      <c r="M189" s="62"/>
      <c r="N189" s="449">
        <v>2</v>
      </c>
      <c r="O189" s="450"/>
    </row>
    <row r="190" spans="1:27" s="49" customFormat="1" ht="28.15" customHeight="1">
      <c r="B190" s="664"/>
      <c r="C190" s="664"/>
      <c r="D190" s="436" t="str">
        <f>IF(ROUNDDOWN(D187,0)=$N$4,$P$4,$O$4)</f>
        <v>■レベル　3</v>
      </c>
      <c r="E190" s="1417" t="s">
        <v>510</v>
      </c>
      <c r="F190" s="1418"/>
      <c r="G190" s="1418"/>
      <c r="H190" s="1418"/>
      <c r="I190" s="1418"/>
      <c r="J190" s="1418"/>
      <c r="K190" s="1418"/>
      <c r="L190" s="1419"/>
      <c r="M190" s="664"/>
      <c r="N190" s="449">
        <v>3</v>
      </c>
      <c r="O190" s="450"/>
    </row>
    <row r="191" spans="1:27" s="49" customFormat="1" ht="28.15" customHeight="1">
      <c r="B191" s="664"/>
      <c r="C191" s="664"/>
      <c r="D191" s="436" t="str">
        <f>IF(ROUNDDOWN(D187,0)=$N$5,$P$5,$O$5)</f>
        <v>　レベル　4</v>
      </c>
      <c r="E191" s="1424" t="s">
        <v>511</v>
      </c>
      <c r="F191" s="1425"/>
      <c r="G191" s="1425"/>
      <c r="H191" s="1425"/>
      <c r="I191" s="1425"/>
      <c r="J191" s="1425"/>
      <c r="K191" s="1425"/>
      <c r="L191" s="1426"/>
      <c r="M191" s="62"/>
      <c r="N191" s="449">
        <v>4</v>
      </c>
      <c r="O191" s="450"/>
    </row>
    <row r="192" spans="1:27" s="49" customFormat="1" ht="28.15" customHeight="1">
      <c r="B192" s="664"/>
      <c r="C192" s="664"/>
      <c r="D192" s="437" t="str">
        <f>IF(ROUNDDOWN(D187,0)=$N$6,$P$6,$O$6)</f>
        <v>　レベル　5</v>
      </c>
      <c r="E192" s="1391" t="s">
        <v>512</v>
      </c>
      <c r="F192" s="1420"/>
      <c r="G192" s="1420"/>
      <c r="H192" s="1420"/>
      <c r="I192" s="1420"/>
      <c r="J192" s="1420"/>
      <c r="K192" s="1420"/>
      <c r="L192" s="1421"/>
      <c r="M192" s="664"/>
      <c r="N192" s="449">
        <v>5</v>
      </c>
      <c r="O192" s="450"/>
    </row>
    <row r="193" spans="1:27" s="164" customFormat="1" ht="15">
      <c r="A193" s="96"/>
      <c r="B193" s="96"/>
      <c r="C193" s="120"/>
      <c r="D193" s="438" t="s">
        <v>341</v>
      </c>
      <c r="E193" s="1002"/>
      <c r="F193" s="494"/>
      <c r="G193" s="494"/>
      <c r="H193" s="679"/>
      <c r="I193"/>
      <c r="J193"/>
      <c r="K193"/>
      <c r="L193"/>
      <c r="M193" s="62"/>
      <c r="N193" s="449" t="s">
        <v>312</v>
      </c>
      <c r="O193" s="452"/>
      <c r="P193" s="140"/>
      <c r="Q193" s="140"/>
      <c r="R193" s="140"/>
      <c r="S193" s="140"/>
      <c r="T193" s="140"/>
      <c r="U193" s="140"/>
      <c r="V193" s="140"/>
      <c r="W193" s="140"/>
      <c r="X193" s="140"/>
      <c r="Y193" s="140"/>
      <c r="Z193" s="96"/>
      <c r="AA193" s="96"/>
    </row>
    <row r="194" spans="1:27" customFormat="1" ht="13.5">
      <c r="F194" s="306"/>
    </row>
    <row r="195" spans="1:27" s="50" customFormat="1" ht="16.5" thickBot="1">
      <c r="B195" s="666"/>
      <c r="C195" s="668" t="s">
        <v>996</v>
      </c>
      <c r="D195" s="163"/>
      <c r="E195" s="664"/>
      <c r="F195" s="675"/>
      <c r="G195" s="675"/>
      <c r="H195" s="675"/>
      <c r="I195" s="459"/>
      <c r="J195" s="664"/>
      <c r="K195" s="664"/>
      <c r="L195" s="676"/>
      <c r="M195" s="664"/>
      <c r="N195" s="62"/>
      <c r="O195" s="62"/>
    </row>
    <row r="196" spans="1:27" s="49" customFormat="1" ht="16.5" thickBot="1">
      <c r="B196" s="664"/>
      <c r="C196" s="664"/>
      <c r="D196" s="434">
        <v>3</v>
      </c>
      <c r="E196" s="453" t="s">
        <v>1229</v>
      </c>
      <c r="F196" s="453"/>
      <c r="G196" s="453"/>
      <c r="H196" s="453"/>
      <c r="I196" s="453"/>
      <c r="J196" s="453"/>
      <c r="K196" s="453"/>
      <c r="L196" s="454"/>
      <c r="M196" s="62"/>
      <c r="N196" s="448" t="s">
        <v>336</v>
      </c>
      <c r="O196" s="448" t="s">
        <v>337</v>
      </c>
    </row>
    <row r="197" spans="1:27" s="49" customFormat="1" ht="15.75">
      <c r="B197" s="664"/>
      <c r="C197" s="664"/>
      <c r="D197" s="435" t="str">
        <f>IF(ROUNDDOWN(D196,0)=$N$2,$P$2,$O$2)</f>
        <v>　レベル　1</v>
      </c>
      <c r="E197" s="460" t="s">
        <v>508</v>
      </c>
      <c r="F197" s="500"/>
      <c r="G197" s="500"/>
      <c r="H197" s="500"/>
      <c r="I197" s="500"/>
      <c r="J197" s="500"/>
      <c r="K197" s="500"/>
      <c r="L197" s="508"/>
      <c r="M197" s="664"/>
      <c r="N197" s="449">
        <v>1</v>
      </c>
      <c r="O197" s="450"/>
    </row>
    <row r="198" spans="1:27" s="49" customFormat="1" ht="15.75">
      <c r="B198" s="664"/>
      <c r="C198" s="664"/>
      <c r="D198" s="436" t="str">
        <f>IF(ROUNDDOWN(D196,0)=$N$3,$P$3,$O$3)</f>
        <v>　レベル　2</v>
      </c>
      <c r="E198" s="463" t="s">
        <v>414</v>
      </c>
      <c r="F198" s="501"/>
      <c r="G198" s="501"/>
      <c r="H198" s="501"/>
      <c r="I198" s="501"/>
      <c r="J198" s="501"/>
      <c r="K198" s="501"/>
      <c r="L198" s="509"/>
      <c r="M198" s="62"/>
      <c r="N198" s="449" t="s">
        <v>312</v>
      </c>
      <c r="O198" s="450"/>
    </row>
    <row r="199" spans="1:27" s="49" customFormat="1" ht="15.75">
      <c r="B199" s="664"/>
      <c r="C199" s="664"/>
      <c r="D199" s="436" t="str">
        <f>IF(ROUNDDOWN(D196,0)=$N$4,$P$4,$O$4)</f>
        <v>■レベル　3</v>
      </c>
      <c r="E199" s="463" t="s">
        <v>513</v>
      </c>
      <c r="F199" s="501"/>
      <c r="G199" s="501"/>
      <c r="H199" s="501"/>
      <c r="I199" s="501"/>
      <c r="J199" s="501"/>
      <c r="K199" s="501"/>
      <c r="L199" s="509"/>
      <c r="M199" s="664"/>
      <c r="N199" s="449">
        <v>3</v>
      </c>
      <c r="O199" s="450"/>
    </row>
    <row r="200" spans="1:27" s="49" customFormat="1" ht="15.75">
      <c r="B200" s="664"/>
      <c r="C200" s="664"/>
      <c r="D200" s="436" t="str">
        <f>IF(ROUNDDOWN(D196,0)=$N$5,$P$5,$O$5)</f>
        <v>　レベル　4</v>
      </c>
      <c r="E200" s="466" t="s">
        <v>414</v>
      </c>
      <c r="F200" s="502"/>
      <c r="G200" s="502"/>
      <c r="H200" s="502"/>
      <c r="I200" s="502"/>
      <c r="J200" s="502"/>
      <c r="K200" s="502"/>
      <c r="L200" s="510"/>
      <c r="M200" s="62"/>
      <c r="N200" s="449" t="s">
        <v>312</v>
      </c>
      <c r="O200" s="450"/>
    </row>
    <row r="201" spans="1:27" s="49" customFormat="1" ht="15.75">
      <c r="B201" s="664"/>
      <c r="C201" s="664"/>
      <c r="D201" s="437" t="str">
        <f>IF(ROUNDDOWN(D196,0)=$N$6,$P$6,$O$6)</f>
        <v>　レベル　5</v>
      </c>
      <c r="E201" s="469" t="s">
        <v>514</v>
      </c>
      <c r="F201" s="480"/>
      <c r="G201" s="480"/>
      <c r="H201" s="480"/>
      <c r="I201" s="480"/>
      <c r="J201" s="480"/>
      <c r="K201" s="480"/>
      <c r="L201" s="511"/>
      <c r="M201" s="664"/>
      <c r="N201" s="449">
        <v>5</v>
      </c>
      <c r="O201" s="450"/>
    </row>
    <row r="202" spans="1:27" s="49" customFormat="1" ht="15.75">
      <c r="B202" s="664"/>
      <c r="C202" s="664"/>
      <c r="D202" s="438" t="s">
        <v>341</v>
      </c>
      <c r="E202" s="1002"/>
      <c r="F202" s="494"/>
      <c r="G202" s="494"/>
      <c r="H202" s="679"/>
      <c r="I202"/>
      <c r="J202"/>
      <c r="K202"/>
      <c r="L202"/>
      <c r="M202" s="62"/>
      <c r="N202" s="449" t="s">
        <v>312</v>
      </c>
      <c r="O202" s="452"/>
    </row>
    <row r="203" spans="1:27" customFormat="1" ht="13.5">
      <c r="F203" s="306"/>
    </row>
    <row r="204" spans="1:27" s="49" customFormat="1" ht="16.5" thickBot="1">
      <c r="A204" s="664"/>
      <c r="B204" s="163"/>
      <c r="C204" s="668" t="s">
        <v>997</v>
      </c>
      <c r="D204" s="163"/>
      <c r="E204" s="447"/>
      <c r="F204" s="495"/>
      <c r="G204" s="495"/>
      <c r="H204" s="495"/>
      <c r="I204" s="459"/>
      <c r="J204" s="447"/>
      <c r="K204" s="447"/>
      <c r="L204" s="447"/>
      <c r="M204" s="447"/>
      <c r="N204" s="447"/>
      <c r="O204" s="62"/>
    </row>
    <row r="205" spans="1:27" s="49" customFormat="1" ht="16.5" thickBot="1">
      <c r="B205" s="664"/>
      <c r="C205" s="664"/>
      <c r="D205" s="1031">
        <f>IF(E213&gt;=O210,N210,IF(E213&gt;=O209,N209,IF(E213&gt;=O208,N208,IF(E213&gt;=O207,N207,N206))))</f>
        <v>3</v>
      </c>
      <c r="E205" s="453" t="s">
        <v>1229</v>
      </c>
      <c r="F205" s="453"/>
      <c r="G205" s="453"/>
      <c r="H205" s="453"/>
      <c r="I205" s="453"/>
      <c r="J205" s="453"/>
      <c r="K205" s="453"/>
      <c r="L205" s="454"/>
      <c r="M205" s="62"/>
      <c r="N205" s="448" t="s">
        <v>336</v>
      </c>
      <c r="O205" s="448" t="s">
        <v>337</v>
      </c>
    </row>
    <row r="206" spans="1:27" s="49" customFormat="1" ht="15.75">
      <c r="B206" s="664"/>
      <c r="C206" s="664"/>
      <c r="D206" s="435" t="str">
        <f>IF(ROUNDDOWN(D205,0)=$N$2,$P$2,$O$2)</f>
        <v>　レベル　1</v>
      </c>
      <c r="E206" s="460" t="s">
        <v>493</v>
      </c>
      <c r="F206" s="461"/>
      <c r="G206" s="461"/>
      <c r="H206" s="461"/>
      <c r="I206" s="461"/>
      <c r="J206" s="461"/>
      <c r="K206" s="461"/>
      <c r="L206" s="462"/>
      <c r="M206" s="664"/>
      <c r="N206" s="449">
        <v>1</v>
      </c>
      <c r="O206" s="448">
        <v>1</v>
      </c>
    </row>
    <row r="207" spans="1:27" s="49" customFormat="1" ht="15.75">
      <c r="B207" s="664"/>
      <c r="C207" s="664"/>
      <c r="D207" s="436" t="str">
        <f>IF(ROUNDDOWN(D205,0)=$N$3,$P$3,$O$3)</f>
        <v>　レベル　2</v>
      </c>
      <c r="E207" s="463" t="s">
        <v>515</v>
      </c>
      <c r="F207" s="464"/>
      <c r="G207" s="464"/>
      <c r="H207" s="464"/>
      <c r="I207" s="464"/>
      <c r="J207" s="464"/>
      <c r="K207" s="464"/>
      <c r="L207" s="465"/>
      <c r="M207" s="62"/>
      <c r="N207" s="449">
        <v>2</v>
      </c>
      <c r="O207" s="448">
        <v>2</v>
      </c>
    </row>
    <row r="208" spans="1:27" s="49" customFormat="1" ht="15.75">
      <c r="B208" s="664"/>
      <c r="C208" s="664"/>
      <c r="D208" s="436" t="str">
        <f>IF(ROUNDDOWN(D205,0)=$N$4,$P$4,$O$4)</f>
        <v>■レベル　3</v>
      </c>
      <c r="E208" s="463" t="s">
        <v>516</v>
      </c>
      <c r="F208" s="464"/>
      <c r="G208" s="464"/>
      <c r="H208" s="464"/>
      <c r="I208" s="464"/>
      <c r="J208" s="464"/>
      <c r="K208" s="464"/>
      <c r="L208" s="465"/>
      <c r="M208" s="664"/>
      <c r="N208" s="449">
        <v>3</v>
      </c>
      <c r="O208" s="448">
        <v>3</v>
      </c>
    </row>
    <row r="209" spans="1:26" s="49" customFormat="1" ht="15.75">
      <c r="B209" s="664"/>
      <c r="C209" s="664"/>
      <c r="D209" s="436" t="str">
        <f>IF(ROUNDDOWN(D205,0)=$N$5,$P$5,$O$5)</f>
        <v>　レベル　4</v>
      </c>
      <c r="E209" s="466" t="s">
        <v>517</v>
      </c>
      <c r="F209" s="467"/>
      <c r="G209" s="467"/>
      <c r="H209" s="467"/>
      <c r="I209" s="467"/>
      <c r="J209" s="467"/>
      <c r="K209" s="467"/>
      <c r="L209" s="468"/>
      <c r="M209" s="62"/>
      <c r="N209" s="449">
        <v>4</v>
      </c>
      <c r="O209" s="448">
        <v>4</v>
      </c>
    </row>
    <row r="210" spans="1:26" s="49" customFormat="1" ht="15.75">
      <c r="B210" s="664"/>
      <c r="C210" s="664"/>
      <c r="D210" s="437" t="str">
        <f>IF(ROUNDDOWN(D205,0)=$N$6,$P$6,$O$6)</f>
        <v>　レベル　5</v>
      </c>
      <c r="E210" s="469" t="s">
        <v>518</v>
      </c>
      <c r="F210" s="470"/>
      <c r="G210" s="470"/>
      <c r="H210" s="470"/>
      <c r="I210" s="470"/>
      <c r="J210" s="470"/>
      <c r="K210" s="470"/>
      <c r="L210" s="471"/>
      <c r="M210" s="664"/>
      <c r="N210" s="449">
        <v>5</v>
      </c>
      <c r="O210" s="448">
        <v>5</v>
      </c>
    </row>
    <row r="211" spans="1:26" s="49" customFormat="1" ht="15.75">
      <c r="B211" s="664"/>
      <c r="C211" s="664"/>
      <c r="D211" s="438" t="s">
        <v>341</v>
      </c>
      <c r="E211" s="1002"/>
      <c r="F211" s="494"/>
      <c r="G211" s="494"/>
      <c r="H211" s="679"/>
      <c r="I211"/>
      <c r="J211"/>
      <c r="K211"/>
      <c r="L211"/>
      <c r="M211" s="664"/>
      <c r="N211" s="449" t="s">
        <v>312</v>
      </c>
      <c r="O211" s="448"/>
    </row>
    <row r="212" spans="1:26" customFormat="1" ht="15">
      <c r="C212" s="669"/>
      <c r="D212" s="438" t="s">
        <v>384</v>
      </c>
      <c r="E212" s="447"/>
      <c r="F212" s="495"/>
      <c r="G212" s="495"/>
      <c r="H212" s="495"/>
      <c r="I212" s="680"/>
      <c r="J212" s="681"/>
      <c r="K212" s="447"/>
      <c r="L212" s="447"/>
      <c r="M212" s="447"/>
      <c r="N212" s="164"/>
      <c r="O212" s="164"/>
    </row>
    <row r="213" spans="1:26" s="164" customFormat="1" ht="15.75" thickBot="1">
      <c r="A213" s="96"/>
      <c r="B213" s="96"/>
      <c r="C213" s="120"/>
      <c r="D213" s="174" t="s">
        <v>385</v>
      </c>
      <c r="E213" s="472">
        <f>COUNTIF(E214:E217,$R$3)+IF(COUNTIF(E214:E217,$R$3)=4,IF(E218=$R$3,1,0))</f>
        <v>3</v>
      </c>
      <c r="F213" s="1388" t="s">
        <v>830</v>
      </c>
      <c r="G213" s="1380"/>
      <c r="H213" s="1378" t="s">
        <v>831</v>
      </c>
      <c r="I213" s="1379"/>
      <c r="J213" s="1379"/>
      <c r="K213" s="1379"/>
      <c r="L213" s="1380"/>
      <c r="M213" s="447"/>
      <c r="N213" s="447"/>
      <c r="O213" s="447"/>
      <c r="P213" s="140"/>
      <c r="Q213" s="140"/>
      <c r="R213" s="140"/>
      <c r="S213" s="140"/>
      <c r="T213" s="140"/>
      <c r="U213" s="140"/>
      <c r="V213" s="140"/>
      <c r="W213" s="140"/>
      <c r="X213" s="140"/>
      <c r="Y213" s="96"/>
      <c r="Z213" s="96"/>
    </row>
    <row r="214" spans="1:26" s="164" customFormat="1" ht="15">
      <c r="A214" s="96"/>
      <c r="B214" s="96"/>
      <c r="C214" s="120"/>
      <c r="D214" s="439" t="s">
        <v>300</v>
      </c>
      <c r="E214" s="440" t="s">
        <v>390</v>
      </c>
      <c r="F214" s="1413" t="s">
        <v>848</v>
      </c>
      <c r="G214" s="1414"/>
      <c r="H214" s="1407" t="s">
        <v>849</v>
      </c>
      <c r="I214" s="1407"/>
      <c r="J214" s="1407"/>
      <c r="K214" s="1407"/>
      <c r="L214" s="1408"/>
      <c r="M214" s="96"/>
      <c r="N214"/>
      <c r="O214"/>
      <c r="P214"/>
      <c r="Q214" s="140"/>
      <c r="R214" s="140"/>
      <c r="S214" s="140"/>
      <c r="T214" s="140"/>
      <c r="U214" s="140"/>
      <c r="V214" s="140"/>
      <c r="W214" s="140"/>
      <c r="X214" s="140"/>
      <c r="Y214" s="96"/>
      <c r="Z214" s="96"/>
    </row>
    <row r="215" spans="1:26" s="164" customFormat="1" ht="28.15" customHeight="1">
      <c r="A215" s="96"/>
      <c r="B215" s="96"/>
      <c r="C215" s="120"/>
      <c r="D215" s="439" t="s">
        <v>301</v>
      </c>
      <c r="E215" s="441" t="s">
        <v>390</v>
      </c>
      <c r="F215" s="1413" t="s">
        <v>850</v>
      </c>
      <c r="G215" s="1414"/>
      <c r="H215" s="1409" t="s">
        <v>851</v>
      </c>
      <c r="I215" s="1409"/>
      <c r="J215" s="1409"/>
      <c r="K215" s="1409"/>
      <c r="L215" s="1410"/>
      <c r="M215" s="96"/>
      <c r="N215"/>
      <c r="O215"/>
      <c r="P215"/>
      <c r="Q215" s="140"/>
      <c r="R215" s="140"/>
      <c r="S215" s="140"/>
      <c r="T215" s="140"/>
      <c r="U215" s="140"/>
      <c r="V215" s="140"/>
      <c r="W215" s="140"/>
      <c r="X215" s="140"/>
      <c r="Y215" s="96"/>
      <c r="Z215" s="96"/>
    </row>
    <row r="216" spans="1:26" s="164" customFormat="1" ht="15">
      <c r="A216" s="96"/>
      <c r="B216" s="96"/>
      <c r="C216" s="120"/>
      <c r="D216" s="439" t="s">
        <v>302</v>
      </c>
      <c r="E216" s="441" t="s">
        <v>390</v>
      </c>
      <c r="F216" s="1412" t="s">
        <v>852</v>
      </c>
      <c r="G216" s="1410"/>
      <c r="H216" s="1407" t="s">
        <v>853</v>
      </c>
      <c r="I216" s="1407"/>
      <c r="J216" s="1407"/>
      <c r="K216" s="1407"/>
      <c r="L216" s="1408"/>
      <c r="M216" s="96"/>
      <c r="N216"/>
      <c r="O216"/>
      <c r="P216"/>
      <c r="Q216" s="140"/>
      <c r="R216" s="140"/>
      <c r="S216" s="140"/>
      <c r="T216" s="140"/>
      <c r="U216" s="140"/>
      <c r="V216" s="140"/>
      <c r="W216" s="140"/>
      <c r="X216" s="140"/>
      <c r="Y216" s="96"/>
      <c r="Z216" s="96"/>
    </row>
    <row r="217" spans="1:26" ht="15.75" thickBot="1">
      <c r="C217" s="120"/>
      <c r="D217" s="439" t="s">
        <v>303</v>
      </c>
      <c r="E217" s="442"/>
      <c r="F217" s="1412" t="s">
        <v>854</v>
      </c>
      <c r="G217" s="1410"/>
      <c r="H217" s="1407" t="s">
        <v>855</v>
      </c>
      <c r="I217" s="1407"/>
      <c r="J217" s="1407"/>
      <c r="K217" s="1407"/>
      <c r="L217" s="1408"/>
      <c r="N217"/>
      <c r="O217"/>
      <c r="P217"/>
      <c r="Q217" s="140"/>
      <c r="R217" s="140"/>
      <c r="S217" s="140"/>
      <c r="T217" s="140"/>
      <c r="U217" s="140"/>
      <c r="V217" s="140"/>
      <c r="W217" s="140"/>
      <c r="X217" s="140"/>
      <c r="Y217" s="140"/>
    </row>
    <row r="218" spans="1:26" ht="15.75" thickBot="1">
      <c r="C218" s="120"/>
      <c r="D218" s="439" t="s">
        <v>304</v>
      </c>
      <c r="E218" s="481"/>
      <c r="F218" s="792" t="s">
        <v>519</v>
      </c>
      <c r="G218" s="433"/>
      <c r="H218" s="433"/>
      <c r="I218" s="433"/>
      <c r="J218" s="433"/>
      <c r="K218" s="433"/>
      <c r="L218" s="791"/>
      <c r="N218"/>
      <c r="O218"/>
      <c r="P218"/>
      <c r="Q218" s="140"/>
      <c r="R218" s="140"/>
      <c r="S218" s="140"/>
      <c r="T218" s="140"/>
      <c r="U218" s="140"/>
      <c r="V218" s="140"/>
      <c r="W218" s="140"/>
      <c r="X218" s="140"/>
      <c r="Y218" s="140"/>
    </row>
    <row r="219" spans="1:26" customFormat="1" ht="13.5">
      <c r="F219" s="306"/>
    </row>
    <row r="220" spans="1:26" s="50" customFormat="1" ht="15.75">
      <c r="B220" s="666" t="s">
        <v>998</v>
      </c>
      <c r="C220" s="666"/>
      <c r="D220" s="672"/>
      <c r="F220" s="137"/>
      <c r="H220" s="677"/>
      <c r="I220" s="96"/>
      <c r="J220" s="96"/>
      <c r="K220" s="96"/>
      <c r="L220" s="96"/>
      <c r="M220" s="96"/>
    </row>
    <row r="221" spans="1:26" s="49" customFormat="1" ht="16.5" thickBot="1">
      <c r="A221" s="664"/>
      <c r="B221" s="163"/>
      <c r="C221" s="668" t="s">
        <v>999</v>
      </c>
      <c r="D221" s="163"/>
      <c r="E221" s="447"/>
      <c r="F221" s="495"/>
      <c r="G221" s="495"/>
      <c r="H221" s="495"/>
      <c r="I221" s="459"/>
      <c r="J221" s="447"/>
      <c r="K221" s="447"/>
      <c r="L221" s="447"/>
      <c r="M221" s="447"/>
      <c r="N221" s="447"/>
      <c r="O221" s="62"/>
    </row>
    <row r="222" spans="1:26" s="49" customFormat="1" ht="16.5" thickBot="1">
      <c r="B222" s="664"/>
      <c r="C222" s="664"/>
      <c r="D222" s="1031">
        <f>IF(E230&gt;=O227,N227,IF(E230&gt;=O226,N226,IF(E230&gt;=O225,N225,IF(E230&gt;=O224,N224,N223))))</f>
        <v>3</v>
      </c>
      <c r="E222" s="453" t="s">
        <v>1229</v>
      </c>
      <c r="F222" s="453"/>
      <c r="G222" s="453"/>
      <c r="H222" s="453"/>
      <c r="I222" s="453"/>
      <c r="J222" s="453"/>
      <c r="K222" s="453"/>
      <c r="L222" s="454"/>
      <c r="M222" s="62"/>
      <c r="N222" s="448" t="s">
        <v>336</v>
      </c>
      <c r="O222" s="448" t="s">
        <v>337</v>
      </c>
    </row>
    <row r="223" spans="1:26" s="49" customFormat="1" ht="15.75">
      <c r="B223" s="664"/>
      <c r="C223" s="664"/>
      <c r="D223" s="435" t="str">
        <f>IF(ROUNDDOWN(D222,0)=$N$2,$P$2,$O$2)</f>
        <v>　レベル　1</v>
      </c>
      <c r="E223" s="460" t="s">
        <v>473</v>
      </c>
      <c r="F223" s="461"/>
      <c r="G223" s="461"/>
      <c r="H223" s="461"/>
      <c r="I223" s="461"/>
      <c r="J223" s="461"/>
      <c r="K223" s="461"/>
      <c r="L223" s="462"/>
      <c r="M223" s="664"/>
      <c r="N223" s="449">
        <v>1</v>
      </c>
      <c r="O223" s="448">
        <v>0</v>
      </c>
    </row>
    <row r="224" spans="1:26" s="49" customFormat="1" ht="15.75">
      <c r="B224" s="664"/>
      <c r="C224" s="664"/>
      <c r="D224" s="436" t="str">
        <f>IF(ROUNDDOWN(D222,0)=$N$3,$P$3,$O$3)</f>
        <v>　レベル　2</v>
      </c>
      <c r="E224" s="463" t="s">
        <v>414</v>
      </c>
      <c r="F224" s="464"/>
      <c r="G224" s="464"/>
      <c r="H224" s="464"/>
      <c r="I224" s="464"/>
      <c r="J224" s="464"/>
      <c r="K224" s="464"/>
      <c r="L224" s="465"/>
      <c r="M224" s="62"/>
      <c r="N224" s="449" t="s">
        <v>312</v>
      </c>
      <c r="O224" s="448" t="s">
        <v>312</v>
      </c>
    </row>
    <row r="225" spans="1:26" s="49" customFormat="1" ht="15.75">
      <c r="B225" s="664"/>
      <c r="C225" s="664"/>
      <c r="D225" s="436" t="str">
        <f>IF(ROUNDDOWN(D222,0)=$N$4,$P$4,$O$4)</f>
        <v>■レベル　3</v>
      </c>
      <c r="E225" s="463" t="s">
        <v>520</v>
      </c>
      <c r="F225" s="464"/>
      <c r="G225" s="464"/>
      <c r="H225" s="464"/>
      <c r="I225" s="464"/>
      <c r="J225" s="464"/>
      <c r="K225" s="464"/>
      <c r="L225" s="465"/>
      <c r="M225" s="664"/>
      <c r="N225" s="449">
        <v>3</v>
      </c>
      <c r="O225" s="448">
        <v>1</v>
      </c>
    </row>
    <row r="226" spans="1:26" s="49" customFormat="1" ht="15.75">
      <c r="B226" s="664"/>
      <c r="C226" s="664"/>
      <c r="D226" s="436" t="str">
        <f>IF(ROUNDDOWN(D222,0)=$N$5,$P$5,$O$5)</f>
        <v>　レベル　4</v>
      </c>
      <c r="E226" s="466" t="s">
        <v>515</v>
      </c>
      <c r="F226" s="467"/>
      <c r="G226" s="467"/>
      <c r="H226" s="467"/>
      <c r="I226" s="467"/>
      <c r="J226" s="467"/>
      <c r="K226" s="467"/>
      <c r="L226" s="468"/>
      <c r="M226" s="62"/>
      <c r="N226" s="449">
        <v>4</v>
      </c>
      <c r="O226" s="448">
        <v>2</v>
      </c>
    </row>
    <row r="227" spans="1:26" s="49" customFormat="1" ht="15.75">
      <c r="B227" s="664"/>
      <c r="C227" s="664"/>
      <c r="D227" s="437" t="str">
        <f>IF(ROUNDDOWN(D222,0)=$N$6,$P$6,$O$6)</f>
        <v>　レベル　5</v>
      </c>
      <c r="E227" s="469" t="s">
        <v>516</v>
      </c>
      <c r="F227" s="470"/>
      <c r="G227" s="470"/>
      <c r="H227" s="470"/>
      <c r="I227" s="470"/>
      <c r="J227" s="470"/>
      <c r="K227" s="470"/>
      <c r="L227" s="471"/>
      <c r="M227" s="664"/>
      <c r="N227" s="449">
        <v>5</v>
      </c>
      <c r="O227" s="448">
        <v>3</v>
      </c>
    </row>
    <row r="228" spans="1:26" s="49" customFormat="1" ht="15.75">
      <c r="B228" s="664"/>
      <c r="C228" s="664"/>
      <c r="D228" s="438" t="s">
        <v>341</v>
      </c>
      <c r="E228" s="1002"/>
      <c r="F228" s="494"/>
      <c r="G228" s="494"/>
      <c r="H228" s="679"/>
      <c r="I228"/>
      <c r="J228"/>
      <c r="K228"/>
      <c r="L228"/>
      <c r="M228" s="664"/>
      <c r="N228" s="449" t="s">
        <v>312</v>
      </c>
      <c r="O228" s="448"/>
    </row>
    <row r="229" spans="1:26" s="49" customFormat="1" ht="15.75">
      <c r="B229" s="664"/>
      <c r="C229" s="664"/>
      <c r="D229" s="438" t="s">
        <v>384</v>
      </c>
      <c r="E229" s="447"/>
      <c r="F229" s="495"/>
      <c r="G229" s="495"/>
      <c r="H229" s="495"/>
      <c r="I229" s="495"/>
      <c r="J229" s="447"/>
      <c r="K229" s="447"/>
      <c r="L229" s="447"/>
      <c r="M229" s="447"/>
    </row>
    <row r="230" spans="1:26" s="164" customFormat="1" ht="15.75" thickBot="1">
      <c r="A230" s="96"/>
      <c r="B230" s="96"/>
      <c r="C230" s="120"/>
      <c r="D230" s="174" t="s">
        <v>385</v>
      </c>
      <c r="E230" s="472">
        <f>COUNTIF(E231:E233,$R$3)</f>
        <v>1</v>
      </c>
      <c r="F230" s="1388" t="s">
        <v>830</v>
      </c>
      <c r="G230" s="1389"/>
      <c r="H230" s="1390"/>
      <c r="I230" s="1378" t="s">
        <v>831</v>
      </c>
      <c r="J230" s="1379"/>
      <c r="K230" s="1379"/>
      <c r="L230" s="1380"/>
      <c r="M230" s="447"/>
      <c r="N230" s="447"/>
      <c r="O230" s="447"/>
      <c r="P230" s="140"/>
      <c r="Q230" s="140"/>
      <c r="R230" s="140"/>
      <c r="S230" s="140"/>
      <c r="T230" s="140"/>
      <c r="U230" s="140"/>
      <c r="V230" s="140"/>
      <c r="W230" s="140"/>
      <c r="X230" s="140"/>
      <c r="Y230" s="96"/>
      <c r="Z230" s="96"/>
    </row>
    <row r="231" spans="1:26" s="164" customFormat="1" ht="15">
      <c r="A231" s="96"/>
      <c r="B231" s="96"/>
      <c r="C231" s="120"/>
      <c r="D231" s="439" t="s">
        <v>300</v>
      </c>
      <c r="E231" s="440" t="s">
        <v>390</v>
      </c>
      <c r="F231" s="1411" t="s">
        <v>856</v>
      </c>
      <c r="G231" s="1407"/>
      <c r="H231" s="1408"/>
      <c r="I231" s="1409" t="s">
        <v>857</v>
      </c>
      <c r="J231" s="1409"/>
      <c r="K231" s="1409"/>
      <c r="L231" s="1410"/>
      <c r="M231" s="96"/>
      <c r="N231"/>
      <c r="O231"/>
      <c r="P231"/>
      <c r="Q231" s="140"/>
      <c r="R231" s="140"/>
      <c r="S231" s="140"/>
      <c r="T231" s="140"/>
      <c r="U231" s="140"/>
      <c r="V231" s="140"/>
      <c r="W231" s="140"/>
      <c r="X231" s="140"/>
      <c r="Y231" s="96"/>
      <c r="Z231" s="96"/>
    </row>
    <row r="232" spans="1:26" s="164" customFormat="1" ht="15">
      <c r="A232" s="96"/>
      <c r="B232" s="96"/>
      <c r="C232" s="120"/>
      <c r="D232" s="439" t="s">
        <v>301</v>
      </c>
      <c r="E232" s="441"/>
      <c r="F232" s="1411" t="s">
        <v>858</v>
      </c>
      <c r="G232" s="1407"/>
      <c r="H232" s="1408"/>
      <c r="I232" s="1409" t="s">
        <v>859</v>
      </c>
      <c r="J232" s="1409"/>
      <c r="K232" s="1409"/>
      <c r="L232" s="1410"/>
      <c r="M232" s="96"/>
      <c r="N232"/>
      <c r="O232"/>
      <c r="P232"/>
      <c r="Q232" s="140"/>
      <c r="R232" s="140"/>
      <c r="S232" s="140"/>
      <c r="T232" s="140"/>
      <c r="U232" s="140"/>
      <c r="V232" s="140"/>
      <c r="W232" s="140"/>
      <c r="X232" s="140"/>
      <c r="Y232" s="96"/>
      <c r="Z232" s="96"/>
    </row>
    <row r="233" spans="1:26" s="164" customFormat="1" ht="15.75" thickBot="1">
      <c r="A233" s="96"/>
      <c r="B233" s="96"/>
      <c r="C233" s="120"/>
      <c r="D233" s="439" t="s">
        <v>302</v>
      </c>
      <c r="E233" s="442"/>
      <c r="F233" s="1411" t="s">
        <v>860</v>
      </c>
      <c r="G233" s="1407"/>
      <c r="H233" s="1408"/>
      <c r="I233" s="1409" t="s">
        <v>861</v>
      </c>
      <c r="J233" s="1409"/>
      <c r="K233" s="1409"/>
      <c r="L233" s="1410"/>
      <c r="M233" s="96"/>
      <c r="N233"/>
      <c r="O233"/>
      <c r="P233"/>
      <c r="Q233" s="140"/>
      <c r="R233" s="140"/>
      <c r="S233" s="140"/>
      <c r="T233" s="140"/>
      <c r="U233" s="140"/>
      <c r="V233" s="140"/>
      <c r="W233" s="140"/>
      <c r="X233" s="140"/>
      <c r="Y233" s="96"/>
      <c r="Z233" s="96"/>
    </row>
    <row r="234" spans="1:26" customFormat="1" ht="13.5">
      <c r="F234" s="306"/>
    </row>
    <row r="235" spans="1:26" s="49" customFormat="1" ht="16.5" thickBot="1">
      <c r="A235" s="664"/>
      <c r="B235" s="163"/>
      <c r="C235" s="668" t="s">
        <v>1000</v>
      </c>
      <c r="D235" s="163"/>
      <c r="E235" s="664"/>
      <c r="F235" s="675"/>
      <c r="G235" s="675"/>
      <c r="H235" s="675"/>
      <c r="I235" s="459"/>
      <c r="J235" s="664"/>
      <c r="K235" s="664"/>
      <c r="L235" s="738" t="s">
        <v>1321</v>
      </c>
      <c r="M235" s="664"/>
      <c r="N235" s="62"/>
      <c r="O235" s="62"/>
    </row>
    <row r="236" spans="1:26" s="49" customFormat="1" ht="16.5" thickBot="1">
      <c r="B236" s="664"/>
      <c r="C236" s="664"/>
      <c r="D236" s="434">
        <v>3</v>
      </c>
      <c r="E236" s="453" t="s">
        <v>1229</v>
      </c>
      <c r="F236" s="453"/>
      <c r="G236" s="453"/>
      <c r="H236" s="453"/>
      <c r="I236" s="453"/>
      <c r="J236" s="453"/>
      <c r="K236" s="453"/>
      <c r="L236" s="454"/>
      <c r="M236" s="62"/>
      <c r="N236" s="448" t="s">
        <v>336</v>
      </c>
      <c r="O236" s="448" t="s">
        <v>337</v>
      </c>
    </row>
    <row r="237" spans="1:26" s="49" customFormat="1" ht="15.75">
      <c r="B237" s="664"/>
      <c r="C237" s="664"/>
      <c r="D237" s="435" t="str">
        <f>IF(ROUNDDOWN(D236,0)=$N$2,$P$2,$O$2)</f>
        <v>　レベル　1</v>
      </c>
      <c r="E237" s="460" t="s">
        <v>414</v>
      </c>
      <c r="F237" s="500"/>
      <c r="G237" s="500"/>
      <c r="H237" s="500"/>
      <c r="I237" s="500"/>
      <c r="J237" s="500"/>
      <c r="K237" s="500"/>
      <c r="L237" s="508"/>
      <c r="M237" s="664"/>
      <c r="N237" s="449" t="s">
        <v>312</v>
      </c>
      <c r="O237" s="450"/>
    </row>
    <row r="238" spans="1:26" s="49" customFormat="1" ht="15.75">
      <c r="B238" s="664"/>
      <c r="C238" s="664"/>
      <c r="D238" s="436" t="str">
        <f>IF(ROUNDDOWN(D236,0)=$N$3,$P$3,$O$3)</f>
        <v>　レベル　2</v>
      </c>
      <c r="E238" s="463" t="s">
        <v>521</v>
      </c>
      <c r="F238" s="501"/>
      <c r="G238" s="501"/>
      <c r="H238" s="501"/>
      <c r="I238" s="501"/>
      <c r="J238" s="501"/>
      <c r="K238" s="501"/>
      <c r="L238" s="509"/>
      <c r="M238" s="62"/>
      <c r="N238" s="449">
        <v>2</v>
      </c>
      <c r="O238" s="450"/>
    </row>
    <row r="239" spans="1:26" s="49" customFormat="1" ht="15.75">
      <c r="B239" s="664"/>
      <c r="C239" s="664"/>
      <c r="D239" s="436" t="str">
        <f>IF(ROUNDDOWN(D236,0)=$N$4,$P$4,$O$4)</f>
        <v>■レベル　3</v>
      </c>
      <c r="E239" s="463" t="s">
        <v>522</v>
      </c>
      <c r="F239" s="501"/>
      <c r="G239" s="501"/>
      <c r="H239" s="501"/>
      <c r="I239" s="501"/>
      <c r="J239" s="501"/>
      <c r="K239" s="501"/>
      <c r="L239" s="509"/>
      <c r="M239" s="664"/>
      <c r="N239" s="449">
        <v>3</v>
      </c>
      <c r="O239" s="450"/>
    </row>
    <row r="240" spans="1:26" s="49" customFormat="1" ht="15.75">
      <c r="B240" s="664"/>
      <c r="C240" s="664"/>
      <c r="D240" s="436" t="str">
        <f>IF(ROUNDDOWN(D236,0)=$N$5,$P$5,$O$5)</f>
        <v>　レベル　4</v>
      </c>
      <c r="E240" s="466" t="s">
        <v>414</v>
      </c>
      <c r="F240" s="502"/>
      <c r="G240" s="502"/>
      <c r="H240" s="502"/>
      <c r="I240" s="502"/>
      <c r="J240" s="502"/>
      <c r="K240" s="502"/>
      <c r="L240" s="510"/>
      <c r="M240" s="62"/>
      <c r="N240" s="449" t="s">
        <v>312</v>
      </c>
      <c r="O240" s="450"/>
    </row>
    <row r="241" spans="1:15" s="49" customFormat="1" ht="15.75">
      <c r="B241" s="664"/>
      <c r="C241" s="664"/>
      <c r="D241" s="437" t="str">
        <f>IF(ROUNDDOWN(D236,0)=$N$6,$P$6,$O$6)</f>
        <v>　レベル　5</v>
      </c>
      <c r="E241" s="469" t="s">
        <v>523</v>
      </c>
      <c r="F241" s="480"/>
      <c r="G241" s="480"/>
      <c r="H241" s="480"/>
      <c r="I241" s="480"/>
      <c r="J241" s="480"/>
      <c r="K241" s="480"/>
      <c r="L241" s="511"/>
      <c r="M241" s="664"/>
      <c r="N241" s="449">
        <v>5</v>
      </c>
      <c r="O241" s="450"/>
    </row>
    <row r="242" spans="1:15" s="49" customFormat="1" ht="15.75">
      <c r="B242" s="664"/>
      <c r="C242" s="664"/>
      <c r="D242" s="438" t="s">
        <v>341</v>
      </c>
      <c r="E242" s="1002"/>
      <c r="F242" s="494"/>
      <c r="G242" s="494"/>
      <c r="H242" s="679"/>
      <c r="I242" s="737" t="s">
        <v>715</v>
      </c>
      <c r="J242"/>
      <c r="K242"/>
      <c r="L242"/>
      <c r="M242" s="62"/>
      <c r="N242" s="451">
        <v>0</v>
      </c>
      <c r="O242" s="452"/>
    </row>
    <row r="243" spans="1:15" customFormat="1" ht="13.5">
      <c r="F243" s="306"/>
    </row>
    <row r="244" spans="1:15" s="49" customFormat="1" ht="16.5" thickBot="1">
      <c r="A244" s="664"/>
      <c r="B244" s="163"/>
      <c r="C244" s="668" t="s">
        <v>1001</v>
      </c>
      <c r="D244" s="163"/>
      <c r="E244" s="664"/>
      <c r="F244" s="675"/>
      <c r="G244" s="675"/>
      <c r="H244" s="675"/>
      <c r="I244" s="459"/>
      <c r="J244" s="664"/>
      <c r="K244" s="664"/>
      <c r="L244" s="676"/>
      <c r="M244" s="664"/>
      <c r="N244" s="62"/>
      <c r="O244" s="62"/>
    </row>
    <row r="245" spans="1:15" s="49" customFormat="1" ht="16.5" thickBot="1">
      <c r="B245" s="664"/>
      <c r="C245" s="664"/>
      <c r="D245" s="434">
        <v>3</v>
      </c>
      <c r="E245" s="453" t="s">
        <v>1229</v>
      </c>
      <c r="F245" s="453"/>
      <c r="G245" s="453"/>
      <c r="H245" s="453"/>
      <c r="I245" s="453"/>
      <c r="J245" s="453"/>
      <c r="K245" s="453"/>
      <c r="L245" s="454"/>
      <c r="M245" s="62"/>
      <c r="N245" s="448" t="s">
        <v>336</v>
      </c>
      <c r="O245" s="448" t="s">
        <v>337</v>
      </c>
    </row>
    <row r="246" spans="1:15" s="49" customFormat="1" ht="15.75">
      <c r="B246" s="664"/>
      <c r="C246" s="664"/>
      <c r="D246" s="435" t="str">
        <f>IF(ROUNDDOWN(D245,0)=$N$2,$P$2,$O$2)</f>
        <v>　レベル　1</v>
      </c>
      <c r="E246" s="460" t="s">
        <v>508</v>
      </c>
      <c r="F246" s="500"/>
      <c r="G246" s="500"/>
      <c r="H246" s="500"/>
      <c r="I246" s="500"/>
      <c r="J246" s="500"/>
      <c r="K246" s="500"/>
      <c r="L246" s="508"/>
      <c r="M246" s="664"/>
      <c r="N246" s="449">
        <v>1</v>
      </c>
      <c r="O246" s="450"/>
    </row>
    <row r="247" spans="1:15" s="49" customFormat="1" ht="15.75">
      <c r="B247" s="664"/>
      <c r="C247" s="664"/>
      <c r="D247" s="436" t="str">
        <f>IF(ROUNDDOWN(D245,0)=$N$3,$P$3,$O$3)</f>
        <v>　レベル　2</v>
      </c>
      <c r="E247" s="463" t="s">
        <v>414</v>
      </c>
      <c r="F247" s="501"/>
      <c r="G247" s="501"/>
      <c r="H247" s="501"/>
      <c r="I247" s="501"/>
      <c r="J247" s="501"/>
      <c r="K247" s="501"/>
      <c r="L247" s="509"/>
      <c r="M247" s="62"/>
      <c r="N247" s="449" t="s">
        <v>312</v>
      </c>
      <c r="O247" s="450"/>
    </row>
    <row r="248" spans="1:15" s="49" customFormat="1" ht="15.75">
      <c r="B248" s="664"/>
      <c r="C248" s="664"/>
      <c r="D248" s="436" t="str">
        <f>IF(ROUNDDOWN(D245,0)=$N$4,$P$4,$O$4)</f>
        <v>■レベル　3</v>
      </c>
      <c r="E248" s="463" t="s">
        <v>524</v>
      </c>
      <c r="F248" s="501"/>
      <c r="G248" s="501"/>
      <c r="H248" s="501"/>
      <c r="I248" s="501"/>
      <c r="J248" s="501"/>
      <c r="K248" s="501"/>
      <c r="L248" s="509"/>
      <c r="M248" s="664"/>
      <c r="N248" s="449">
        <v>3</v>
      </c>
      <c r="O248" s="450"/>
    </row>
    <row r="249" spans="1:15" s="49" customFormat="1" ht="15.75">
      <c r="B249" s="664"/>
      <c r="C249" s="664"/>
      <c r="D249" s="436" t="str">
        <f>IF(ROUNDDOWN(D245,0)=$N$5,$P$5,$O$5)</f>
        <v>　レベル　4</v>
      </c>
      <c r="E249" s="466" t="s">
        <v>525</v>
      </c>
      <c r="F249" s="502"/>
      <c r="G249" s="502"/>
      <c r="H249" s="502"/>
      <c r="I249" s="502"/>
      <c r="J249" s="502"/>
      <c r="K249" s="502"/>
      <c r="L249" s="510"/>
      <c r="M249" s="62"/>
      <c r="N249" s="449">
        <v>4</v>
      </c>
      <c r="O249" s="450"/>
    </row>
    <row r="250" spans="1:15" s="49" customFormat="1" ht="15.75">
      <c r="B250" s="664"/>
      <c r="C250" s="664"/>
      <c r="D250" s="437" t="str">
        <f>IF(ROUNDDOWN(D245,0)=$N$6,$P$6,$O$6)</f>
        <v>　レベル　5</v>
      </c>
      <c r="E250" s="469" t="s">
        <v>1288</v>
      </c>
      <c r="F250" s="480"/>
      <c r="G250" s="480"/>
      <c r="H250" s="480"/>
      <c r="I250" s="480"/>
      <c r="J250" s="480"/>
      <c r="K250" s="480"/>
      <c r="L250" s="511"/>
      <c r="M250" s="664"/>
      <c r="N250" s="449">
        <v>5</v>
      </c>
      <c r="O250" s="450"/>
    </row>
    <row r="251" spans="1:15" s="49" customFormat="1" ht="15.75">
      <c r="B251" s="664"/>
      <c r="C251" s="664"/>
      <c r="D251" s="438" t="s">
        <v>341</v>
      </c>
      <c r="E251" s="1002"/>
      <c r="F251" s="494"/>
      <c r="G251" s="494"/>
      <c r="H251" s="679"/>
      <c r="I251"/>
      <c r="J251"/>
      <c r="K251"/>
      <c r="L251"/>
      <c r="M251" s="62"/>
      <c r="N251" s="449" t="s">
        <v>312</v>
      </c>
      <c r="O251" s="452"/>
    </row>
    <row r="252" spans="1:15" customFormat="1" ht="13.5">
      <c r="F252" s="306"/>
    </row>
    <row r="253" spans="1:15" s="49" customFormat="1" ht="16.5" thickBot="1">
      <c r="A253" s="664"/>
      <c r="B253" s="668" t="s">
        <v>1002</v>
      </c>
      <c r="C253" s="668"/>
      <c r="D253" s="163"/>
      <c r="E253" s="664"/>
      <c r="F253" s="675"/>
      <c r="G253" s="664"/>
      <c r="H253" s="664"/>
      <c r="I253" s="664"/>
      <c r="J253" s="664"/>
      <c r="K253" s="664"/>
      <c r="L253" s="174"/>
      <c r="M253" s="664"/>
      <c r="N253" s="96"/>
    </row>
    <row r="254" spans="1:15" s="49" customFormat="1" ht="16.5" hidden="1" thickBot="1">
      <c r="A254" s="664"/>
      <c r="B254" s="163"/>
      <c r="C254" s="668"/>
      <c r="D254" s="163"/>
      <c r="E254" s="447"/>
      <c r="F254" s="495"/>
      <c r="G254" s="495"/>
      <c r="H254" s="495"/>
      <c r="I254" s="459"/>
      <c r="J254" s="447"/>
      <c r="K254" s="447"/>
      <c r="L254" s="447"/>
      <c r="M254" s="447"/>
      <c r="N254" s="447"/>
      <c r="O254" s="62"/>
    </row>
    <row r="255" spans="1:15" s="49" customFormat="1" ht="16.5" thickBot="1">
      <c r="B255" s="664"/>
      <c r="C255" s="664"/>
      <c r="D255" s="1031">
        <f>IF(G262=O262,0,IF(E263&gt;=O260,N260,IF(E263&gt;=O259,N259,IF(E263&gt;=O258,N258,IF(E263&gt;=O257,N257,N256)))))</f>
        <v>3</v>
      </c>
      <c r="E255" s="453" t="s">
        <v>1229</v>
      </c>
      <c r="F255" s="453"/>
      <c r="G255" s="453"/>
      <c r="H255" s="453"/>
      <c r="I255" s="453"/>
      <c r="J255" s="453"/>
      <c r="K255" s="453"/>
      <c r="L255" s="454"/>
      <c r="M255" s="62"/>
      <c r="N255" s="448" t="s">
        <v>336</v>
      </c>
      <c r="O255" s="448" t="s">
        <v>337</v>
      </c>
    </row>
    <row r="256" spans="1:15" s="49" customFormat="1" ht="15.75">
      <c r="B256" s="664"/>
      <c r="C256" s="664"/>
      <c r="D256" s="435" t="str">
        <f>IF(ROUNDDOWN(D255,0)=$N$2,$P$2,$O$2)</f>
        <v>　レベル　1</v>
      </c>
      <c r="E256" s="460" t="s">
        <v>473</v>
      </c>
      <c r="F256" s="461"/>
      <c r="G256" s="461"/>
      <c r="H256" s="461"/>
      <c r="I256" s="461"/>
      <c r="J256" s="461"/>
      <c r="K256" s="461"/>
      <c r="L256" s="462"/>
      <c r="M256" s="664"/>
      <c r="N256" s="449">
        <v>1</v>
      </c>
      <c r="O256" s="448">
        <v>0</v>
      </c>
    </row>
    <row r="257" spans="1:26" s="49" customFormat="1" ht="15.75">
      <c r="B257" s="664"/>
      <c r="C257" s="664"/>
      <c r="D257" s="436" t="str">
        <f>IF(ROUNDDOWN(D255,0)=$N$3,$P$3,$O$3)</f>
        <v>　レベル　2</v>
      </c>
      <c r="E257" s="463" t="s">
        <v>520</v>
      </c>
      <c r="F257" s="464"/>
      <c r="G257" s="464"/>
      <c r="H257" s="464"/>
      <c r="I257" s="464"/>
      <c r="J257" s="464"/>
      <c r="K257" s="464"/>
      <c r="L257" s="465"/>
      <c r="M257" s="62"/>
      <c r="N257" s="449">
        <v>2</v>
      </c>
      <c r="O257" s="448">
        <v>1</v>
      </c>
    </row>
    <row r="258" spans="1:26" s="49" customFormat="1" ht="15.75">
      <c r="B258" s="664"/>
      <c r="C258" s="664"/>
      <c r="D258" s="436" t="str">
        <f>IF(ROUNDDOWN(D255,0)=$N$4,$P$4,$O$4)</f>
        <v>■レベル　3</v>
      </c>
      <c r="E258" s="463" t="s">
        <v>515</v>
      </c>
      <c r="F258" s="464"/>
      <c r="G258" s="464"/>
      <c r="H258" s="464"/>
      <c r="I258" s="464"/>
      <c r="J258" s="464"/>
      <c r="K258" s="464"/>
      <c r="L258" s="465"/>
      <c r="M258" s="664"/>
      <c r="N258" s="449">
        <v>3</v>
      </c>
      <c r="O258" s="448">
        <v>2</v>
      </c>
    </row>
    <row r="259" spans="1:26" s="49" customFormat="1" ht="15.75">
      <c r="B259" s="664"/>
      <c r="C259" s="664"/>
      <c r="D259" s="436" t="str">
        <f>IF(ROUNDDOWN(D255,0)=$N$5,$P$5,$O$5)</f>
        <v>　レベル　4</v>
      </c>
      <c r="E259" s="466" t="s">
        <v>516</v>
      </c>
      <c r="F259" s="467"/>
      <c r="G259" s="467"/>
      <c r="H259" s="467"/>
      <c r="I259" s="467"/>
      <c r="J259" s="467"/>
      <c r="K259" s="467"/>
      <c r="L259" s="468"/>
      <c r="M259" s="62"/>
      <c r="N259" s="449">
        <v>4</v>
      </c>
      <c r="O259" s="448">
        <v>3</v>
      </c>
    </row>
    <row r="260" spans="1:26" s="49" customFormat="1" ht="15.75">
      <c r="B260" s="664"/>
      <c r="C260" s="664"/>
      <c r="D260" s="437" t="str">
        <f>IF(ROUNDDOWN(D255,0)=$N$6,$P$6,$O$6)</f>
        <v>　レベル　5</v>
      </c>
      <c r="E260" s="469" t="s">
        <v>526</v>
      </c>
      <c r="F260" s="470"/>
      <c r="G260" s="470"/>
      <c r="H260" s="470"/>
      <c r="I260" s="470"/>
      <c r="J260" s="470"/>
      <c r="K260" s="470"/>
      <c r="L260" s="471"/>
      <c r="M260" s="664"/>
      <c r="N260" s="449">
        <v>5</v>
      </c>
      <c r="O260" s="448">
        <v>4</v>
      </c>
    </row>
    <row r="261" spans="1:26" s="49" customFormat="1" ht="15.75">
      <c r="B261" s="664"/>
      <c r="C261" s="664"/>
      <c r="D261" s="438" t="s">
        <v>341</v>
      </c>
      <c r="E261" s="1002"/>
      <c r="F261" s="494"/>
      <c r="G261" s="494"/>
      <c r="H261" s="679"/>
      <c r="I261" s="737"/>
      <c r="J261"/>
      <c r="K261"/>
      <c r="L261"/>
      <c r="M261" s="664"/>
      <c r="N261" s="449" t="s">
        <v>312</v>
      </c>
      <c r="O261" s="448"/>
    </row>
    <row r="262" spans="1:26" s="49" customFormat="1" ht="15.75">
      <c r="B262" s="664"/>
      <c r="C262" s="664"/>
      <c r="D262" s="438" t="s">
        <v>384</v>
      </c>
      <c r="E262"/>
      <c r="F262"/>
      <c r="G262"/>
      <c r="H262"/>
      <c r="I262"/>
      <c r="J262"/>
      <c r="K262"/>
      <c r="L262"/>
      <c r="M262" s="96"/>
      <c r="N262" s="802"/>
      <c r="O262" s="802" t="s">
        <v>971</v>
      </c>
    </row>
    <row r="263" spans="1:26" s="164" customFormat="1" ht="15.75" thickBot="1">
      <c r="A263" s="96"/>
      <c r="B263" s="96"/>
      <c r="C263" s="120"/>
      <c r="D263" s="174" t="s">
        <v>385</v>
      </c>
      <c r="E263" s="472">
        <f>COUNTIF(E264:E269,$R$3)</f>
        <v>2</v>
      </c>
      <c r="F263" s="793" t="s">
        <v>830</v>
      </c>
      <c r="G263" s="1378" t="s">
        <v>831</v>
      </c>
      <c r="H263" s="1379"/>
      <c r="I263" s="1379"/>
      <c r="J263" s="1379"/>
      <c r="K263" s="1379"/>
      <c r="L263" s="1380"/>
      <c r="M263" s="447"/>
      <c r="N263"/>
      <c r="O263"/>
      <c r="P263" s="140"/>
      <c r="Q263" s="140"/>
      <c r="R263" s="140"/>
      <c r="S263" s="140"/>
      <c r="T263" s="140"/>
      <c r="U263" s="140"/>
      <c r="V263" s="140"/>
      <c r="W263" s="140"/>
      <c r="X263" s="140"/>
      <c r="Y263" s="96"/>
      <c r="Z263" s="96"/>
    </row>
    <row r="264" spans="1:26" s="164" customFormat="1" ht="40.9" customHeight="1">
      <c r="A264" s="96"/>
      <c r="B264" s="96"/>
      <c r="C264" s="120"/>
      <c r="D264" s="439" t="s">
        <v>300</v>
      </c>
      <c r="E264" s="440"/>
      <c r="F264" s="790" t="s">
        <v>840</v>
      </c>
      <c r="G264" s="1409" t="s">
        <v>862</v>
      </c>
      <c r="H264" s="1409"/>
      <c r="I264" s="1409"/>
      <c r="J264" s="1409"/>
      <c r="K264" s="1409"/>
      <c r="L264" s="1410"/>
      <c r="M264" s="96"/>
      <c r="N264"/>
      <c r="O264"/>
      <c r="P264"/>
      <c r="Q264"/>
      <c r="R264" s="140"/>
      <c r="S264" s="140"/>
      <c r="T264" s="140"/>
      <c r="U264" s="140"/>
      <c r="V264" s="140"/>
      <c r="W264" s="140"/>
      <c r="X264" s="140"/>
      <c r="Y264" s="96"/>
      <c r="Z264" s="96"/>
    </row>
    <row r="265" spans="1:26" s="164" customFormat="1" ht="28.15" customHeight="1">
      <c r="A265" s="96"/>
      <c r="B265" s="96"/>
      <c r="C265" s="120"/>
      <c r="D265" s="439" t="s">
        <v>301</v>
      </c>
      <c r="E265" s="441" t="s">
        <v>390</v>
      </c>
      <c r="F265" s="790" t="s">
        <v>842</v>
      </c>
      <c r="G265" s="1409" t="s">
        <v>863</v>
      </c>
      <c r="H265" s="1409"/>
      <c r="I265" s="1409"/>
      <c r="J265" s="1409"/>
      <c r="K265" s="1409"/>
      <c r="L265" s="1410"/>
      <c r="M265" s="96"/>
      <c r="N265"/>
      <c r="O265"/>
      <c r="P265"/>
      <c r="Q265"/>
      <c r="R265" s="140"/>
      <c r="S265" s="140"/>
      <c r="T265" s="140"/>
      <c r="U265" s="140"/>
      <c r="V265" s="140"/>
      <c r="W265" s="140"/>
      <c r="X265" s="140"/>
      <c r="Y265" s="96"/>
      <c r="Z265" s="96"/>
    </row>
    <row r="266" spans="1:26" s="164" customFormat="1" ht="28.15" customHeight="1">
      <c r="A266" s="96"/>
      <c r="B266" s="96"/>
      <c r="C266" s="120"/>
      <c r="D266" s="439" t="s">
        <v>302</v>
      </c>
      <c r="E266" s="441"/>
      <c r="F266" s="790" t="s">
        <v>844</v>
      </c>
      <c r="G266" s="1409" t="s">
        <v>864</v>
      </c>
      <c r="H266" s="1409"/>
      <c r="I266" s="1409"/>
      <c r="J266" s="1409"/>
      <c r="K266" s="1409"/>
      <c r="L266" s="1410"/>
      <c r="M266" s="96"/>
      <c r="N266"/>
      <c r="O266"/>
      <c r="P266"/>
      <c r="Q266"/>
      <c r="R266" s="140"/>
      <c r="S266" s="140"/>
      <c r="T266" s="140"/>
      <c r="U266" s="140"/>
      <c r="V266" s="140"/>
      <c r="W266" s="140"/>
      <c r="X266" s="140"/>
      <c r="Y266" s="96"/>
      <c r="Z266" s="96"/>
    </row>
    <row r="267" spans="1:26" s="164" customFormat="1" ht="28.15" customHeight="1">
      <c r="A267" s="96"/>
      <c r="B267" s="96"/>
      <c r="C267" s="120"/>
      <c r="D267" s="439" t="s">
        <v>303</v>
      </c>
      <c r="E267" s="441"/>
      <c r="F267" s="790" t="s">
        <v>846</v>
      </c>
      <c r="G267" s="1409" t="s">
        <v>865</v>
      </c>
      <c r="H267" s="1409"/>
      <c r="I267" s="1409"/>
      <c r="J267" s="1409"/>
      <c r="K267" s="1409"/>
      <c r="L267" s="1410"/>
      <c r="M267" s="96"/>
      <c r="N267"/>
      <c r="O267"/>
      <c r="P267"/>
      <c r="Q267"/>
      <c r="R267" s="140"/>
      <c r="S267" s="140"/>
      <c r="T267" s="140"/>
      <c r="U267" s="140"/>
      <c r="V267" s="140"/>
      <c r="W267" s="140"/>
      <c r="X267" s="140"/>
      <c r="Y267" s="96"/>
      <c r="Z267" s="96"/>
    </row>
    <row r="268" spans="1:26" s="164" customFormat="1" ht="28.15" customHeight="1">
      <c r="A268" s="96"/>
      <c r="B268" s="96"/>
      <c r="C268" s="120"/>
      <c r="D268" s="439" t="s">
        <v>304</v>
      </c>
      <c r="E268" s="441"/>
      <c r="F268" s="790" t="s">
        <v>866</v>
      </c>
      <c r="G268" s="1409" t="s">
        <v>867</v>
      </c>
      <c r="H268" s="1409"/>
      <c r="I268" s="1409"/>
      <c r="J268" s="1409"/>
      <c r="K268" s="1409"/>
      <c r="L268" s="1410"/>
      <c r="M268" s="96"/>
      <c r="N268"/>
      <c r="O268"/>
      <c r="P268"/>
      <c r="Q268"/>
      <c r="R268" s="140"/>
      <c r="S268" s="140"/>
      <c r="T268" s="140"/>
      <c r="U268" s="140"/>
      <c r="V268" s="140"/>
      <c r="W268" s="140"/>
      <c r="X268" s="140"/>
      <c r="Y268" s="96"/>
      <c r="Z268" s="96"/>
    </row>
    <row r="269" spans="1:26" s="164" customFormat="1" ht="15.75" thickBot="1">
      <c r="A269" s="96"/>
      <c r="B269" s="96"/>
      <c r="C269" s="120"/>
      <c r="D269" s="439" t="s">
        <v>305</v>
      </c>
      <c r="E269" s="442" t="s">
        <v>390</v>
      </c>
      <c r="F269" s="794" t="s">
        <v>868</v>
      </c>
      <c r="G269" s="1407" t="s">
        <v>869</v>
      </c>
      <c r="H269" s="1407"/>
      <c r="I269" s="1407"/>
      <c r="J269" s="1407"/>
      <c r="K269" s="1407"/>
      <c r="L269" s="1408"/>
      <c r="M269" s="96"/>
      <c r="N269"/>
      <c r="O269"/>
      <c r="P269"/>
      <c r="Q269"/>
      <c r="R269" s="140"/>
      <c r="S269" s="140"/>
      <c r="T269" s="140"/>
      <c r="U269" s="140"/>
      <c r="V269" s="140"/>
      <c r="W269" s="140"/>
      <c r="X269" s="140"/>
      <c r="Y269" s="96"/>
      <c r="Z269" s="96"/>
    </row>
    <row r="270" spans="1:26" customFormat="1" ht="13.5"/>
    <row r="271" spans="1:26" s="49" customFormat="1" ht="15.75">
      <c r="B271" s="664"/>
      <c r="C271" s="664"/>
      <c r="D271"/>
      <c r="E271"/>
      <c r="F271"/>
      <c r="G271"/>
      <c r="H271"/>
      <c r="I271"/>
      <c r="J271"/>
      <c r="K271"/>
      <c r="L271"/>
      <c r="M271"/>
      <c r="N271"/>
      <c r="O271"/>
    </row>
    <row r="272" spans="1:26" s="49" customFormat="1" ht="15.75">
      <c r="B272" s="664"/>
      <c r="C272" s="664"/>
      <c r="D272"/>
      <c r="E272"/>
      <c r="F272"/>
      <c r="G272"/>
      <c r="H272"/>
      <c r="I272"/>
      <c r="J272"/>
      <c r="K272"/>
      <c r="L272"/>
      <c r="M272"/>
      <c r="N272"/>
      <c r="O272"/>
    </row>
    <row r="273" spans="4:25">
      <c r="D273"/>
      <c r="E273"/>
      <c r="F273"/>
      <c r="G273"/>
      <c r="H273"/>
      <c r="I273"/>
      <c r="J273"/>
      <c r="K273"/>
      <c r="L273"/>
      <c r="M273"/>
      <c r="N273"/>
      <c r="O273"/>
      <c r="P273" s="140"/>
      <c r="Q273" s="140"/>
      <c r="R273" s="140"/>
      <c r="S273" s="140"/>
      <c r="T273" s="140"/>
      <c r="U273" s="140"/>
      <c r="V273" s="140"/>
      <c r="W273" s="140"/>
      <c r="X273" s="140"/>
      <c r="Y273" s="140"/>
    </row>
    <row r="274" spans="4:25">
      <c r="D274"/>
      <c r="E274"/>
      <c r="F274"/>
      <c r="G274"/>
      <c r="H274"/>
      <c r="I274"/>
      <c r="J274"/>
      <c r="K274"/>
      <c r="L274"/>
      <c r="M274"/>
      <c r="N274"/>
      <c r="O274"/>
      <c r="P274" s="140"/>
      <c r="Q274" s="140"/>
      <c r="R274" s="140"/>
      <c r="S274" s="140"/>
      <c r="T274" s="140"/>
      <c r="U274" s="140"/>
      <c r="V274" s="140"/>
      <c r="W274" s="140"/>
      <c r="X274" s="140"/>
      <c r="Y274" s="140"/>
    </row>
    <row r="275" spans="4:25">
      <c r="D275"/>
      <c r="E275"/>
      <c r="F275"/>
      <c r="G275"/>
      <c r="H275"/>
      <c r="I275"/>
      <c r="J275"/>
      <c r="K275"/>
      <c r="L275"/>
      <c r="M275"/>
      <c r="N275"/>
      <c r="O275"/>
      <c r="P275" s="140"/>
      <c r="Q275" s="140"/>
      <c r="R275" s="140"/>
      <c r="S275" s="140"/>
      <c r="T275" s="140"/>
      <c r="U275" s="140"/>
      <c r="V275" s="140"/>
      <c r="W275" s="140"/>
      <c r="X275" s="140"/>
      <c r="Y275" s="140"/>
    </row>
  </sheetData>
  <sheetProtection algorithmName="SHA-512" hashValue="cf4EVMe6FHFBPTvcwPZPP0icumB7DEiMIbHOa4q4iWKpMFBHPBcLZNsGbUJzLvKvp2lkX/T+FQGvdT2SfaqEqA==" saltValue="AzD8O/x1Y1xbdaV9buF/Tg==" spinCount="100000" sheet="1" formatCells="0"/>
  <mergeCells count="49">
    <mergeCell ref="E192:L192"/>
    <mergeCell ref="I167:L167"/>
    <mergeCell ref="G163:H163"/>
    <mergeCell ref="G166:H166"/>
    <mergeCell ref="G165:H165"/>
    <mergeCell ref="E176:L176"/>
    <mergeCell ref="I180:L180"/>
    <mergeCell ref="I166:L166"/>
    <mergeCell ref="I181:L181"/>
    <mergeCell ref="I183:L183"/>
    <mergeCell ref="F183:H183"/>
    <mergeCell ref="E190:L190"/>
    <mergeCell ref="E191:L191"/>
    <mergeCell ref="I164:L164"/>
    <mergeCell ref="F41:G41"/>
    <mergeCell ref="H41:L41"/>
    <mergeCell ref="F160:H160"/>
    <mergeCell ref="I160:L160"/>
    <mergeCell ref="F179:H179"/>
    <mergeCell ref="I179:L179"/>
    <mergeCell ref="H42:L42"/>
    <mergeCell ref="E63:L63"/>
    <mergeCell ref="E146:L146"/>
    <mergeCell ref="I162:L162"/>
    <mergeCell ref="F213:G213"/>
    <mergeCell ref="H213:L213"/>
    <mergeCell ref="F214:G214"/>
    <mergeCell ref="H214:L214"/>
    <mergeCell ref="F215:G215"/>
    <mergeCell ref="H215:L215"/>
    <mergeCell ref="F216:G216"/>
    <mergeCell ref="H216:L216"/>
    <mergeCell ref="F217:G217"/>
    <mergeCell ref="H217:L217"/>
    <mergeCell ref="F230:H230"/>
    <mergeCell ref="I230:L230"/>
    <mergeCell ref="F231:H231"/>
    <mergeCell ref="I231:L231"/>
    <mergeCell ref="F232:H232"/>
    <mergeCell ref="I232:L232"/>
    <mergeCell ref="F233:H233"/>
    <mergeCell ref="I233:L233"/>
    <mergeCell ref="G269:L269"/>
    <mergeCell ref="G263:L263"/>
    <mergeCell ref="G264:L264"/>
    <mergeCell ref="G265:L265"/>
    <mergeCell ref="G266:L266"/>
    <mergeCell ref="G267:L267"/>
    <mergeCell ref="G268:L268"/>
  </mergeCells>
  <phoneticPr fontId="3"/>
  <conditionalFormatting sqref="D14">
    <cfRule type="expression" dxfId="96" priority="58" stopIfTrue="1">
      <formula>AND(OR(D14&lt;1,D14&gt;5),D14&lt;&gt;0)</formula>
    </cfRule>
  </conditionalFormatting>
  <conditionalFormatting sqref="D24">
    <cfRule type="expression" dxfId="95" priority="17" stopIfTrue="1">
      <formula>AND(OR(D24&lt;1,D24&gt;5),D24&lt;&gt;0)</formula>
    </cfRule>
  </conditionalFormatting>
  <conditionalFormatting sqref="D33">
    <cfRule type="expression" dxfId="94" priority="23" stopIfTrue="1">
      <formula>AND(OR(D33&lt;1,D33&gt;5),D33&lt;&gt;0)</formula>
    </cfRule>
  </conditionalFormatting>
  <conditionalFormatting sqref="D50">
    <cfRule type="expression" dxfId="93" priority="16" stopIfTrue="1">
      <formula>AND(OR(D50&lt;1,D50&gt;5),D50&lt;&gt;0)</formula>
    </cfRule>
  </conditionalFormatting>
  <conditionalFormatting sqref="D58">
    <cfRule type="expression" dxfId="92" priority="15" stopIfTrue="1">
      <formula>AND(OR(D58&lt;1,D58&gt;5),D58&lt;&gt;0)</formula>
    </cfRule>
  </conditionalFormatting>
  <conditionalFormatting sqref="D68">
    <cfRule type="expression" dxfId="91" priority="14" stopIfTrue="1">
      <formula>AND(OR(D68&lt;1,D68&gt;5),D68&lt;&gt;0)</formula>
    </cfRule>
  </conditionalFormatting>
  <conditionalFormatting sqref="D77">
    <cfRule type="expression" dxfId="90" priority="13" stopIfTrue="1">
      <formula>AND(OR(D77&lt;1,D77&gt;5),D77&lt;&gt;0)</formula>
    </cfRule>
  </conditionalFormatting>
  <conditionalFormatting sqref="D86">
    <cfRule type="expression" dxfId="89" priority="12" stopIfTrue="1">
      <formula>AND(OR(D86&lt;1,D86&gt;5),D86&lt;&gt;0)</formula>
    </cfRule>
  </conditionalFormatting>
  <conditionalFormatting sqref="D95">
    <cfRule type="expression" dxfId="88" priority="11" stopIfTrue="1">
      <formula>AND(OR(D95&lt;1,D95&gt;5),D95&lt;&gt;0)</formula>
    </cfRule>
  </conditionalFormatting>
  <conditionalFormatting sqref="D105">
    <cfRule type="expression" dxfId="87" priority="10" stopIfTrue="1">
      <formula>AND(OR(D105&lt;1,D105&gt;5),D105&lt;&gt;0)</formula>
    </cfRule>
  </conditionalFormatting>
  <conditionalFormatting sqref="D114">
    <cfRule type="expression" dxfId="86" priority="9" stopIfTrue="1">
      <formula>AND(OR(D114&lt;1,D114&gt;5),D114&lt;&gt;0)</formula>
    </cfRule>
  </conditionalFormatting>
  <conditionalFormatting sqref="D123">
    <cfRule type="expression" dxfId="85" priority="8" stopIfTrue="1">
      <formula>AND(OR(D123&lt;1,D123&gt;5),D123&lt;&gt;0)</formula>
    </cfRule>
  </conditionalFormatting>
  <conditionalFormatting sqref="D132">
    <cfRule type="expression" dxfId="84" priority="7" stopIfTrue="1">
      <formula>AND(OR(D132&lt;1,D132&gt;5),D132&lt;&gt;0)</formula>
    </cfRule>
  </conditionalFormatting>
  <conditionalFormatting sqref="D143">
    <cfRule type="expression" dxfId="83" priority="6" stopIfTrue="1">
      <formula>AND(OR(D143&lt;1,D143&gt;5),D143&lt;&gt;0)</formula>
    </cfRule>
  </conditionalFormatting>
  <conditionalFormatting sqref="D152">
    <cfRule type="expression" dxfId="82" priority="22" stopIfTrue="1">
      <formula>AND(OR(D152&lt;1,D152&gt;5),D152&lt;&gt;0)</formula>
    </cfRule>
  </conditionalFormatting>
  <conditionalFormatting sqref="D171">
    <cfRule type="expression" dxfId="81" priority="21" stopIfTrue="1">
      <formula>AND(OR(D171&lt;1,D171&gt;5),D171&lt;&gt;0)</formula>
    </cfRule>
  </conditionalFormatting>
  <conditionalFormatting sqref="D187">
    <cfRule type="expression" dxfId="80" priority="5" stopIfTrue="1">
      <formula>AND(OR(D187&lt;1,D187&gt;5),D187&lt;&gt;0)</formula>
    </cfRule>
  </conditionalFormatting>
  <conditionalFormatting sqref="D196">
    <cfRule type="expression" dxfId="79" priority="4" stopIfTrue="1">
      <formula>AND(OR(D196&lt;1,D196&gt;5),D196&lt;&gt;0)</formula>
    </cfRule>
  </conditionalFormatting>
  <conditionalFormatting sqref="D205">
    <cfRule type="expression" dxfId="78" priority="20" stopIfTrue="1">
      <formula>AND(OR(D205&lt;1,D205&gt;5),D205&lt;&gt;0)</formula>
    </cfRule>
  </conditionalFormatting>
  <conditionalFormatting sqref="D222">
    <cfRule type="expression" dxfId="77" priority="19" stopIfTrue="1">
      <formula>AND(OR(D222&lt;1,D222&gt;5),D222&lt;&gt;0)</formula>
    </cfRule>
  </conditionalFormatting>
  <conditionalFormatting sqref="D236">
    <cfRule type="expression" dxfId="76" priority="3" stopIfTrue="1">
      <formula>AND(OR(D236&lt;1,D236&gt;5),D236&lt;&gt;0)</formula>
    </cfRule>
  </conditionalFormatting>
  <conditionalFormatting sqref="D245">
    <cfRule type="expression" dxfId="75" priority="2" stopIfTrue="1">
      <formula>AND(OR(D245&lt;1,D245&gt;5),D245&lt;&gt;0)</formula>
    </cfRule>
  </conditionalFormatting>
  <conditionalFormatting sqref="D255">
    <cfRule type="expression" dxfId="74" priority="1" stopIfTrue="1">
      <formula>AND(OR(D255&lt;1,D255&gt;5),D255&lt;&gt;0)</formula>
    </cfRule>
  </conditionalFormatting>
  <conditionalFormatting sqref="E42:E46 E264:E269">
    <cfRule type="expression" dxfId="73" priority="199" stopIfTrue="1">
      <formula>$D$263="対象外"</formula>
    </cfRule>
  </conditionalFormatting>
  <conditionalFormatting sqref="E161:E167">
    <cfRule type="expression" dxfId="72" priority="200" stopIfTrue="1">
      <formula>$D$160="対象外"</formula>
    </cfRule>
  </conditionalFormatting>
  <conditionalFormatting sqref="E168">
    <cfRule type="expression" dxfId="71" priority="104" stopIfTrue="1">
      <formula>$D$263="対象外"</formula>
    </cfRule>
  </conditionalFormatting>
  <conditionalFormatting sqref="E180:E184">
    <cfRule type="expression" dxfId="70" priority="105" stopIfTrue="1">
      <formula>$D$263="対象外"</formula>
    </cfRule>
  </conditionalFormatting>
  <conditionalFormatting sqref="E214:E218">
    <cfRule type="expression" dxfId="69" priority="161" stopIfTrue="1">
      <formula>$D$263="対象外"</formula>
    </cfRule>
  </conditionalFormatting>
  <conditionalFormatting sqref="E231:E233">
    <cfRule type="expression" dxfId="68" priority="198" stopIfTrue="1">
      <formula>$D$230="対象外"</formula>
    </cfRule>
  </conditionalFormatting>
  <dataValidations count="4">
    <dataValidation type="list" allowBlank="1" showInputMessage="1" showErrorMessage="1" sqref="N124" xr:uid="{00000000-0002-0000-0500-00000C000000}">
      <formula1>$N$124:$N$128</formula1>
    </dataValidation>
    <dataValidation type="list" allowBlank="1" showInputMessage="1" showErrorMessage="1" sqref="E214:E218 E42:E46 E180:E184 E264:E269 E231:E233 E161:E168" xr:uid="{00000000-0002-0000-0500-000006000000}">
      <formula1>$R$2:$R$4</formula1>
    </dataValidation>
    <dataValidation type="list" allowBlank="1" showInputMessage="1" sqref="D14 D196 D245 D50 D58 D68 D77 D86 D95 D105 D114 D123 D132 D143 D236 D187 D24" xr:uid="{78EB15F8-5F17-4066-9407-95989769840E}">
      <formula1>N15:N20</formula1>
    </dataValidation>
    <dataValidation allowBlank="1" showInputMessage="1" sqref="D33 D152 D171 D205 D222 D255" xr:uid="{061C5527-FDE9-4E2F-AE7D-E8FD0107C53C}"/>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2" manualBreakCount="2">
    <brk id="65" max="12" man="1"/>
    <brk id="2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AA216"/>
  <sheetViews>
    <sheetView showGridLines="0" zoomScaleNormal="100" zoomScaleSheetLayoutView="85" workbookViewId="0">
      <selection activeCell="D15" sqref="D15"/>
    </sheetView>
  </sheetViews>
  <sheetFormatPr defaultColWidth="9" defaultRowHeight="13.5"/>
  <cols>
    <col min="1" max="1" width="0.75" style="96" customWidth="1"/>
    <col min="2" max="2" width="2" style="96" customWidth="1"/>
    <col min="3" max="3" width="2.875" style="96" customWidth="1"/>
    <col min="4" max="4" width="14.25" style="96" customWidth="1"/>
    <col min="5" max="5" width="11.75" style="96" customWidth="1"/>
    <col min="6" max="7" width="9.875" style="96" customWidth="1"/>
    <col min="8" max="12" width="10.875" style="96" customWidth="1"/>
    <col min="13" max="13" width="1.75" style="96" customWidth="1"/>
    <col min="14" max="19" width="7.875" style="164" hidden="1" customWidth="1"/>
    <col min="20" max="21" width="7.875" style="164" customWidth="1"/>
    <col min="22" max="26" width="8.875" style="164" customWidth="1"/>
    <col min="27" max="16384" width="9" style="96"/>
  </cols>
  <sheetData>
    <row r="1" spans="1:27" customFormat="1">
      <c r="I1" s="483" t="s">
        <v>319</v>
      </c>
      <c r="J1" s="484" t="str">
        <f>メイン!C10</f>
        <v>Aプロジェクト</v>
      </c>
      <c r="K1" s="485"/>
      <c r="L1" s="484"/>
      <c r="N1" s="140"/>
      <c r="O1" s="140"/>
      <c r="P1" s="140"/>
      <c r="Q1" s="140"/>
      <c r="R1" s="140"/>
    </row>
    <row r="2" spans="1:27" customFormat="1" ht="14.25" hidden="1">
      <c r="N2" s="448">
        <v>1</v>
      </c>
      <c r="O2" s="448" t="s">
        <v>320</v>
      </c>
      <c r="P2" s="448" t="s">
        <v>321</v>
      </c>
      <c r="Q2" s="140"/>
      <c r="R2" s="369"/>
    </row>
    <row r="3" spans="1:27" customFormat="1" ht="14.25" hidden="1">
      <c r="N3" s="448">
        <v>2</v>
      </c>
      <c r="O3" s="448" t="s">
        <v>322</v>
      </c>
      <c r="P3" s="448" t="s">
        <v>323</v>
      </c>
      <c r="Q3" s="140"/>
      <c r="R3" s="369" t="s">
        <v>324</v>
      </c>
    </row>
    <row r="4" spans="1:27" customFormat="1" ht="14.25" hidden="1">
      <c r="N4" s="448">
        <v>3</v>
      </c>
      <c r="O4" s="448" t="s">
        <v>325</v>
      </c>
      <c r="P4" s="448" t="s">
        <v>326</v>
      </c>
      <c r="Q4" s="140"/>
      <c r="R4" s="444" t="s">
        <v>327</v>
      </c>
    </row>
    <row r="5" spans="1:27" customFormat="1" ht="14.25" hidden="1">
      <c r="N5" s="448">
        <v>4</v>
      </c>
      <c r="O5" s="448" t="s">
        <v>328</v>
      </c>
      <c r="P5" s="448" t="s">
        <v>329</v>
      </c>
      <c r="Q5" s="140"/>
      <c r="R5" s="140"/>
    </row>
    <row r="6" spans="1:27" customFormat="1" ht="14.25" hidden="1">
      <c r="N6" s="448">
        <v>5</v>
      </c>
      <c r="O6" s="448" t="s">
        <v>330</v>
      </c>
      <c r="P6" s="448" t="s">
        <v>331</v>
      </c>
    </row>
    <row r="7" spans="1:27" customFormat="1" hidden="1">
      <c r="G7" s="96"/>
    </row>
    <row r="8" spans="1:27" customFormat="1" hidden="1"/>
    <row r="9" spans="1:27" s="7" customFormat="1" ht="18.75" thickBot="1">
      <c r="A9" s="670"/>
      <c r="B9" s="665" t="s">
        <v>1084</v>
      </c>
      <c r="C9" s="666"/>
      <c r="E9" s="671"/>
      <c r="F9" s="80"/>
      <c r="G9"/>
      <c r="H9"/>
      <c r="I9"/>
      <c r="J9"/>
      <c r="K9"/>
      <c r="L9"/>
      <c r="M9"/>
      <c r="N9"/>
      <c r="O9"/>
      <c r="P9"/>
      <c r="Q9"/>
      <c r="R9"/>
      <c r="S9"/>
    </row>
    <row r="10" spans="1:27" s="7" customFormat="1" ht="18.75" thickBot="1">
      <c r="A10" s="671"/>
      <c r="B10" s="667"/>
      <c r="C10" s="667"/>
      <c r="E10" s="671"/>
      <c r="F10" s="496"/>
      <c r="G10" s="576" t="s">
        <v>332</v>
      </c>
      <c r="H10"/>
      <c r="I10"/>
      <c r="J10"/>
      <c r="K10"/>
      <c r="L10"/>
      <c r="M10"/>
      <c r="N10"/>
      <c r="O10"/>
      <c r="P10"/>
      <c r="Q10"/>
      <c r="R10"/>
      <c r="S10"/>
      <c r="U10" s="49"/>
      <c r="V10" s="49"/>
      <c r="W10" s="49"/>
      <c r="X10" s="49"/>
      <c r="Y10" s="49"/>
      <c r="Z10" s="49"/>
      <c r="AA10" s="49"/>
    </row>
    <row r="11" spans="1:27" s="50" customFormat="1" ht="15.75">
      <c r="A11" s="120"/>
      <c r="B11" s="666"/>
      <c r="C11" s="666"/>
      <c r="D11" s="672"/>
      <c r="E11" s="120"/>
      <c r="F11" s="736" t="s">
        <v>333</v>
      </c>
      <c r="G11"/>
      <c r="H11"/>
      <c r="I11"/>
      <c r="J11"/>
      <c r="K11"/>
      <c r="L11"/>
      <c r="M11"/>
      <c r="N11"/>
      <c r="O11"/>
      <c r="P11"/>
      <c r="Q11"/>
      <c r="R11"/>
      <c r="S11"/>
    </row>
    <row r="12" spans="1:27" s="50" customFormat="1" ht="15.75">
      <c r="B12" s="666" t="s">
        <v>1003</v>
      </c>
      <c r="C12" s="666"/>
      <c r="D12" s="672"/>
      <c r="H12" s="674"/>
      <c r="I12" s="96"/>
      <c r="J12" s="96"/>
      <c r="K12" s="96"/>
      <c r="L12" s="96"/>
      <c r="M12" s="96"/>
    </row>
    <row r="13" spans="1:27" s="50" customFormat="1" ht="15.75">
      <c r="C13" s="666" t="s">
        <v>1004</v>
      </c>
      <c r="D13" s="672"/>
      <c r="H13" s="677"/>
      <c r="I13" s="96"/>
      <c r="J13" s="96"/>
      <c r="K13" s="96"/>
      <c r="L13" s="96"/>
      <c r="M13" s="96"/>
    </row>
    <row r="14" spans="1:27" s="50" customFormat="1" ht="16.5" thickBot="1">
      <c r="B14" s="666"/>
      <c r="C14" s="666"/>
      <c r="D14" s="163" t="s">
        <v>1005</v>
      </c>
      <c r="E14" s="664"/>
      <c r="F14" s="675"/>
      <c r="G14" s="675"/>
      <c r="H14" s="675"/>
      <c r="I14" s="459"/>
      <c r="J14" s="664"/>
      <c r="K14" s="664"/>
      <c r="L14" s="676"/>
      <c r="M14" s="664"/>
      <c r="N14" s="62"/>
      <c r="O14" s="62"/>
    </row>
    <row r="15" spans="1:27" s="49" customFormat="1" ht="16.5" thickBot="1">
      <c r="B15" s="664"/>
      <c r="C15" s="664"/>
      <c r="D15" s="434">
        <v>3</v>
      </c>
      <c r="E15" s="453" t="s">
        <v>1229</v>
      </c>
      <c r="F15" s="453"/>
      <c r="G15" s="453"/>
      <c r="H15" s="453"/>
      <c r="I15" s="453"/>
      <c r="J15" s="453"/>
      <c r="K15" s="453"/>
      <c r="L15" s="454"/>
      <c r="M15" s="62"/>
      <c r="N15" s="448" t="s">
        <v>336</v>
      </c>
      <c r="O15" s="448" t="s">
        <v>337</v>
      </c>
    </row>
    <row r="16" spans="1:27" s="49" customFormat="1" ht="15.75">
      <c r="B16" s="664"/>
      <c r="C16" s="664"/>
      <c r="D16" s="435" t="str">
        <f>IF(ROUNDDOWN(D15,0)=$N$2,$P$2,$O$2)</f>
        <v>　レベル　1</v>
      </c>
      <c r="E16" s="460" t="s">
        <v>527</v>
      </c>
      <c r="F16" s="500"/>
      <c r="G16" s="500"/>
      <c r="H16" s="500"/>
      <c r="I16" s="500"/>
      <c r="J16" s="500"/>
      <c r="K16" s="500"/>
      <c r="L16" s="508"/>
      <c r="M16" s="664"/>
      <c r="N16" s="449">
        <v>1</v>
      </c>
      <c r="O16" s="450"/>
    </row>
    <row r="17" spans="1:15" s="49" customFormat="1" ht="15.75">
      <c r="B17" s="664"/>
      <c r="C17" s="664"/>
      <c r="D17" s="436" t="str">
        <f>IF(ROUNDDOWN(D15,0)=$N$3,$P$3,$O$3)</f>
        <v>　レベル　2</v>
      </c>
      <c r="E17" s="463" t="s">
        <v>414</v>
      </c>
      <c r="F17" s="501"/>
      <c r="G17" s="501"/>
      <c r="H17" s="501"/>
      <c r="I17" s="501"/>
      <c r="J17" s="501"/>
      <c r="K17" s="501"/>
      <c r="L17" s="509"/>
      <c r="M17" s="62"/>
      <c r="N17" s="449" t="s">
        <v>312</v>
      </c>
      <c r="O17" s="450"/>
    </row>
    <row r="18" spans="1:15" s="49" customFormat="1" ht="15.75">
      <c r="B18" s="664"/>
      <c r="C18" s="664"/>
      <c r="D18" s="436" t="str">
        <f>IF(ROUNDDOWN(D15,0)=$N$4,$P$4,$O$4)</f>
        <v>■レベル　3</v>
      </c>
      <c r="E18" s="463" t="s">
        <v>528</v>
      </c>
      <c r="F18" s="501"/>
      <c r="G18" s="501"/>
      <c r="H18" s="501"/>
      <c r="I18" s="501"/>
      <c r="J18" s="501"/>
      <c r="K18" s="501"/>
      <c r="L18" s="509"/>
      <c r="M18" s="664"/>
      <c r="N18" s="449">
        <v>3</v>
      </c>
      <c r="O18" s="450"/>
    </row>
    <row r="19" spans="1:15" s="49" customFormat="1" ht="15.75">
      <c r="B19" s="664"/>
      <c r="C19" s="664"/>
      <c r="D19" s="436" t="str">
        <f>IF(ROUNDDOWN(D15,0)=$N$5,$P$5,$O$5)</f>
        <v>　レベル　4</v>
      </c>
      <c r="E19" s="466" t="s">
        <v>414</v>
      </c>
      <c r="F19" s="502"/>
      <c r="G19" s="502"/>
      <c r="H19" s="502"/>
      <c r="I19" s="502"/>
      <c r="J19" s="502"/>
      <c r="K19" s="502"/>
      <c r="L19" s="510"/>
      <c r="M19" s="62"/>
      <c r="N19" s="449" t="s">
        <v>312</v>
      </c>
      <c r="O19" s="450"/>
    </row>
    <row r="20" spans="1:15" s="49" customFormat="1" ht="15.75">
      <c r="B20" s="664"/>
      <c r="C20" s="664"/>
      <c r="D20" s="437" t="str">
        <f>IF(ROUNDDOWN(D15,0)=$N$6,$P$6,$O$6)</f>
        <v>　レベル　5</v>
      </c>
      <c r="E20" s="469" t="s">
        <v>529</v>
      </c>
      <c r="F20" s="480"/>
      <c r="G20" s="480"/>
      <c r="H20" s="480"/>
      <c r="I20" s="480"/>
      <c r="J20" s="480"/>
      <c r="K20" s="480"/>
      <c r="L20" s="511"/>
      <c r="M20" s="664"/>
      <c r="N20" s="449">
        <v>5</v>
      </c>
      <c r="O20" s="450"/>
    </row>
    <row r="21" spans="1:15" s="49" customFormat="1" ht="15.75">
      <c r="B21" s="664"/>
      <c r="C21" s="664"/>
      <c r="D21" s="438" t="s">
        <v>341</v>
      </c>
      <c r="E21" s="1002"/>
      <c r="F21" s="494"/>
      <c r="G21" s="494"/>
      <c r="H21" s="679"/>
      <c r="I21"/>
      <c r="J21"/>
      <c r="K21"/>
      <c r="L21"/>
      <c r="M21" s="62"/>
      <c r="N21" s="449" t="s">
        <v>312</v>
      </c>
      <c r="O21" s="452"/>
    </row>
    <row r="22" spans="1:15" customFormat="1">
      <c r="F22" s="306"/>
    </row>
    <row r="23" spans="1:15" s="49" customFormat="1" ht="16.5" thickBot="1">
      <c r="A23" s="664"/>
      <c r="B23" s="668"/>
      <c r="C23" s="668"/>
      <c r="D23" s="163" t="s">
        <v>1006</v>
      </c>
      <c r="E23" s="664"/>
      <c r="F23" s="675"/>
      <c r="G23" s="675"/>
      <c r="H23" s="675"/>
      <c r="I23" s="459"/>
      <c r="J23" s="664"/>
      <c r="K23" s="664"/>
      <c r="L23" s="676"/>
      <c r="M23" s="664"/>
      <c r="N23" s="62"/>
      <c r="O23" s="62"/>
    </row>
    <row r="24" spans="1:15" s="49" customFormat="1" ht="16.5" thickBot="1">
      <c r="B24" s="664"/>
      <c r="C24" s="664"/>
      <c r="D24" s="434">
        <v>3</v>
      </c>
      <c r="E24" s="453" t="s">
        <v>1229</v>
      </c>
      <c r="F24" s="453"/>
      <c r="G24" s="453"/>
      <c r="H24" s="453"/>
      <c r="I24" s="453"/>
      <c r="J24" s="453"/>
      <c r="K24" s="453"/>
      <c r="L24" s="454"/>
      <c r="M24" s="62"/>
      <c r="N24" s="448" t="s">
        <v>336</v>
      </c>
      <c r="O24" s="448" t="s">
        <v>337</v>
      </c>
    </row>
    <row r="25" spans="1:15" s="49" customFormat="1" ht="28.15" customHeight="1">
      <c r="B25" s="664"/>
      <c r="C25" s="664"/>
      <c r="D25" s="435" t="str">
        <f>IF(ROUNDDOWN(D24,0)=$N$2,$P$2,$O$2)</f>
        <v>　レベル　1</v>
      </c>
      <c r="E25" s="1436" t="s">
        <v>530</v>
      </c>
      <c r="F25" s="1437"/>
      <c r="G25" s="1437"/>
      <c r="H25" s="1437"/>
      <c r="I25" s="1437"/>
      <c r="J25" s="1437"/>
      <c r="K25" s="1437"/>
      <c r="L25" s="1438"/>
      <c r="M25" s="664"/>
      <c r="N25" s="449">
        <v>1</v>
      </c>
      <c r="O25" s="450"/>
    </row>
    <row r="26" spans="1:15" s="49" customFormat="1" ht="15.75">
      <c r="B26" s="664"/>
      <c r="C26" s="664"/>
      <c r="D26" s="436" t="str">
        <f>IF(ROUNDDOWN(D24,0)=$N$3,$P$3,$O$3)</f>
        <v>　レベル　2</v>
      </c>
      <c r="E26" s="463" t="s">
        <v>414</v>
      </c>
      <c r="F26" s="501"/>
      <c r="G26" s="501"/>
      <c r="H26" s="501"/>
      <c r="I26" s="501"/>
      <c r="J26" s="501"/>
      <c r="K26" s="501"/>
      <c r="L26" s="509"/>
      <c r="M26" s="62"/>
      <c r="N26" s="449" t="s">
        <v>312</v>
      </c>
      <c r="O26" s="450"/>
    </row>
    <row r="27" spans="1:15" s="49" customFormat="1" ht="31.15" customHeight="1">
      <c r="B27" s="664"/>
      <c r="C27" s="664"/>
      <c r="D27" s="436" t="str">
        <f>IF(ROUNDDOWN(D24,0)=$N$4,$P$4,$O$4)</f>
        <v>■レベル　3</v>
      </c>
      <c r="E27" s="1417" t="s">
        <v>531</v>
      </c>
      <c r="F27" s="1418"/>
      <c r="G27" s="1418"/>
      <c r="H27" s="1418"/>
      <c r="I27" s="1418"/>
      <c r="J27" s="1418"/>
      <c r="K27" s="1418"/>
      <c r="L27" s="1419"/>
      <c r="M27" s="664"/>
      <c r="N27" s="449">
        <v>3</v>
      </c>
      <c r="O27" s="450"/>
    </row>
    <row r="28" spans="1:15" s="49" customFormat="1" ht="15.75">
      <c r="B28" s="664"/>
      <c r="C28" s="664"/>
      <c r="D28" s="436" t="str">
        <f>IF(ROUNDDOWN(D24,0)=$N$5,$P$5,$O$5)</f>
        <v>　レベル　4</v>
      </c>
      <c r="E28" s="466" t="s">
        <v>414</v>
      </c>
      <c r="F28" s="502"/>
      <c r="G28" s="502"/>
      <c r="H28" s="502"/>
      <c r="I28" s="502"/>
      <c r="J28" s="502"/>
      <c r="K28" s="502"/>
      <c r="L28" s="510"/>
      <c r="M28" s="62"/>
      <c r="N28" s="449" t="s">
        <v>312</v>
      </c>
      <c r="O28" s="450"/>
    </row>
    <row r="29" spans="1:15" s="49" customFormat="1" ht="27" customHeight="1">
      <c r="B29" s="664"/>
      <c r="C29" s="664"/>
      <c r="D29" s="437" t="str">
        <f>IF(ROUNDDOWN(D24,0)=$N$6,$P$6,$O$6)</f>
        <v>　レベル　5</v>
      </c>
      <c r="E29" s="1439" t="s">
        <v>532</v>
      </c>
      <c r="F29" s="1440"/>
      <c r="G29" s="1440"/>
      <c r="H29" s="1440"/>
      <c r="I29" s="1440"/>
      <c r="J29" s="1440"/>
      <c r="K29" s="1440"/>
      <c r="L29" s="1441"/>
      <c r="M29" s="664"/>
      <c r="N29" s="449">
        <v>5</v>
      </c>
      <c r="O29" s="450"/>
    </row>
    <row r="30" spans="1:15" s="49" customFormat="1" ht="15.75">
      <c r="B30" s="664"/>
      <c r="C30" s="664"/>
      <c r="D30" s="438" t="s">
        <v>341</v>
      </c>
      <c r="E30" s="1002"/>
      <c r="F30" s="484"/>
      <c r="G30" s="484"/>
      <c r="H30" s="717"/>
      <c r="I30"/>
      <c r="J30"/>
      <c r="K30"/>
      <c r="L30"/>
      <c r="M30" s="62"/>
      <c r="N30" s="449" t="s">
        <v>312</v>
      </c>
      <c r="O30" s="452"/>
    </row>
    <row r="31" spans="1:15" customFormat="1">
      <c r="F31" s="306"/>
    </row>
    <row r="32" spans="1:15" s="49" customFormat="1" ht="16.5" thickBot="1">
      <c r="A32" s="664"/>
      <c r="B32" s="668"/>
      <c r="C32" s="668"/>
      <c r="D32" s="163" t="s">
        <v>1007</v>
      </c>
      <c r="E32" s="664"/>
      <c r="F32" s="675"/>
      <c r="G32" s="675"/>
      <c r="H32" s="675"/>
      <c r="I32" s="459"/>
      <c r="J32" s="664"/>
      <c r="K32" s="664"/>
      <c r="L32" s="676"/>
      <c r="M32" s="664"/>
      <c r="N32" s="62"/>
      <c r="O32" s="62"/>
    </row>
    <row r="33" spans="1:15" s="49" customFormat="1" ht="16.5" thickBot="1">
      <c r="B33" s="664"/>
      <c r="C33" s="664"/>
      <c r="D33" s="434">
        <v>3</v>
      </c>
      <c r="E33" s="453" t="s">
        <v>1229</v>
      </c>
      <c r="F33" s="453"/>
      <c r="G33" s="453"/>
      <c r="H33" s="453"/>
      <c r="I33" s="453"/>
      <c r="J33" s="453"/>
      <c r="K33" s="453"/>
      <c r="L33" s="454"/>
      <c r="M33" s="62"/>
      <c r="N33" s="448" t="s">
        <v>336</v>
      </c>
      <c r="O33" s="448" t="s">
        <v>337</v>
      </c>
    </row>
    <row r="34" spans="1:15" s="49" customFormat="1" ht="15.75">
      <c r="B34" s="664"/>
      <c r="C34" s="664"/>
      <c r="D34" s="435" t="str">
        <f>IF(ROUNDDOWN(D33,0)=$N$2,$P$2,$O$2)</f>
        <v>　レベル　1</v>
      </c>
      <c r="E34" s="460" t="s">
        <v>533</v>
      </c>
      <c r="F34" s="500"/>
      <c r="G34" s="500"/>
      <c r="H34" s="500"/>
      <c r="I34" s="500"/>
      <c r="J34" s="500"/>
      <c r="K34" s="500"/>
      <c r="L34" s="508"/>
      <c r="M34" s="664"/>
      <c r="N34" s="449">
        <v>1</v>
      </c>
      <c r="O34" s="450"/>
    </row>
    <row r="35" spans="1:15" s="49" customFormat="1" ht="15.75">
      <c r="B35" s="664"/>
      <c r="C35" s="664"/>
      <c r="D35" s="436" t="str">
        <f>IF(ROUNDDOWN(D33,0)=$N$3,$P$3,$O$3)</f>
        <v>　レベル　2</v>
      </c>
      <c r="E35" s="463" t="s">
        <v>534</v>
      </c>
      <c r="F35" s="501"/>
      <c r="G35" s="501"/>
      <c r="H35" s="501"/>
      <c r="I35" s="501"/>
      <c r="J35" s="501"/>
      <c r="K35" s="501"/>
      <c r="L35" s="509"/>
      <c r="M35" s="62"/>
      <c r="N35" s="449">
        <v>2</v>
      </c>
      <c r="O35" s="450"/>
    </row>
    <row r="36" spans="1:15" s="49" customFormat="1" ht="27.6" customHeight="1">
      <c r="B36" s="664"/>
      <c r="C36" s="664"/>
      <c r="D36" s="436" t="str">
        <f>IF(ROUNDDOWN(D33,0)=$N$4,$P$4,$O$4)</f>
        <v>■レベル　3</v>
      </c>
      <c r="E36" s="1417" t="s">
        <v>535</v>
      </c>
      <c r="F36" s="1418"/>
      <c r="G36" s="1418"/>
      <c r="H36" s="1418"/>
      <c r="I36" s="1418"/>
      <c r="J36" s="1418"/>
      <c r="K36" s="1418"/>
      <c r="L36" s="1419"/>
      <c r="M36" s="664"/>
      <c r="N36" s="449">
        <v>3</v>
      </c>
      <c r="O36" s="450"/>
    </row>
    <row r="37" spans="1:15" s="49" customFormat="1" ht="15.75">
      <c r="B37" s="664"/>
      <c r="C37" s="664"/>
      <c r="D37" s="436" t="str">
        <f>IF(ROUNDDOWN(D33,0)=$N$5,$P$5,$O$5)</f>
        <v>　レベル　4</v>
      </c>
      <c r="E37" s="466" t="s">
        <v>414</v>
      </c>
      <c r="F37" s="502"/>
      <c r="G37" s="502"/>
      <c r="H37" s="502"/>
      <c r="I37" s="502"/>
      <c r="J37" s="502"/>
      <c r="K37" s="502"/>
      <c r="L37" s="510"/>
      <c r="M37" s="62"/>
      <c r="N37" s="449" t="s">
        <v>312</v>
      </c>
      <c r="O37" s="450"/>
    </row>
    <row r="38" spans="1:15" s="49" customFormat="1" ht="29.45" customHeight="1">
      <c r="B38" s="664"/>
      <c r="C38" s="664"/>
      <c r="D38" s="437" t="str">
        <f>IF(ROUNDDOWN(D33,0)=$N$6,$P$6,$O$6)</f>
        <v>　レベル　5</v>
      </c>
      <c r="E38" s="1439" t="s">
        <v>536</v>
      </c>
      <c r="F38" s="1440"/>
      <c r="G38" s="1440"/>
      <c r="H38" s="1440"/>
      <c r="I38" s="1440"/>
      <c r="J38" s="1440"/>
      <c r="K38" s="1440"/>
      <c r="L38" s="1441"/>
      <c r="M38" s="664"/>
      <c r="N38" s="449">
        <v>5</v>
      </c>
      <c r="O38" s="450"/>
    </row>
    <row r="39" spans="1:15" s="49" customFormat="1" ht="15.75">
      <c r="B39" s="664"/>
      <c r="C39" s="664"/>
      <c r="D39" s="438" t="s">
        <v>341</v>
      </c>
      <c r="E39" s="1002"/>
      <c r="F39" s="484"/>
      <c r="G39" s="484"/>
      <c r="H39" s="717"/>
      <c r="I39"/>
      <c r="J39"/>
      <c r="K39"/>
      <c r="L39"/>
      <c r="M39" s="62"/>
      <c r="N39" s="449" t="s">
        <v>312</v>
      </c>
      <c r="O39" s="452"/>
    </row>
    <row r="40" spans="1:15" customFormat="1">
      <c r="F40" s="306"/>
    </row>
    <row r="41" spans="1:15" s="50" customFormat="1" ht="15.75">
      <c r="C41" s="666" t="s">
        <v>1008</v>
      </c>
      <c r="D41" s="672"/>
      <c r="F41" s="137"/>
      <c r="H41" s="677"/>
      <c r="I41" s="96"/>
      <c r="J41" s="96"/>
      <c r="K41" s="96"/>
      <c r="L41" s="96"/>
      <c r="M41" s="96"/>
    </row>
    <row r="42" spans="1:15" s="49" customFormat="1" ht="16.5" thickBot="1">
      <c r="A42" s="664"/>
      <c r="B42" s="668"/>
      <c r="C42" s="668"/>
      <c r="D42" s="163" t="s">
        <v>1009</v>
      </c>
      <c r="E42" s="664"/>
      <c r="F42" s="675"/>
      <c r="G42" s="675"/>
      <c r="H42" s="675"/>
      <c r="I42" s="459"/>
      <c r="J42" s="664"/>
      <c r="K42" s="664"/>
      <c r="L42" s="676"/>
      <c r="M42" s="664"/>
      <c r="N42" s="62"/>
      <c r="O42" s="62"/>
    </row>
    <row r="43" spans="1:15" s="49" customFormat="1" ht="16.5" thickBot="1">
      <c r="B43" s="664"/>
      <c r="C43" s="664"/>
      <c r="D43" s="434">
        <v>3</v>
      </c>
      <c r="E43" s="453" t="s">
        <v>1229</v>
      </c>
      <c r="F43" s="453"/>
      <c r="G43" s="453"/>
      <c r="H43" s="453"/>
      <c r="I43" s="453"/>
      <c r="J43" s="453"/>
      <c r="K43" s="453"/>
      <c r="L43" s="454"/>
      <c r="M43" s="62"/>
      <c r="N43" s="448" t="s">
        <v>336</v>
      </c>
      <c r="O43" s="448" t="s">
        <v>337</v>
      </c>
    </row>
    <row r="44" spans="1:15" s="49" customFormat="1" ht="15.75">
      <c r="B44" s="664"/>
      <c r="C44" s="664"/>
      <c r="D44" s="435" t="str">
        <f>IF(ROUNDDOWN(D43,0)=$N$2,$P$2,$O$2)</f>
        <v>　レベル　1</v>
      </c>
      <c r="E44" s="460" t="s">
        <v>537</v>
      </c>
      <c r="F44" s="500"/>
      <c r="G44" s="500"/>
      <c r="H44" s="500"/>
      <c r="I44" s="500"/>
      <c r="J44" s="500"/>
      <c r="K44" s="500"/>
      <c r="L44" s="508"/>
      <c r="M44" s="664"/>
      <c r="N44" s="449">
        <v>1</v>
      </c>
      <c r="O44" s="450"/>
    </row>
    <row r="45" spans="1:15" s="49" customFormat="1" ht="15.75">
      <c r="B45" s="664"/>
      <c r="C45" s="664"/>
      <c r="D45" s="436" t="str">
        <f>IF(ROUNDDOWN(D43,0)=$N$3,$P$3,$O$3)</f>
        <v>　レベル　2</v>
      </c>
      <c r="E45" s="463" t="s">
        <v>414</v>
      </c>
      <c r="F45" s="501"/>
      <c r="G45" s="501"/>
      <c r="H45" s="501"/>
      <c r="I45" s="501"/>
      <c r="J45" s="501"/>
      <c r="K45" s="501"/>
      <c r="L45" s="509"/>
      <c r="M45" s="62"/>
      <c r="N45" s="449" t="s">
        <v>312</v>
      </c>
      <c r="O45" s="450"/>
    </row>
    <row r="46" spans="1:15" s="49" customFormat="1" ht="15.75">
      <c r="B46" s="664"/>
      <c r="C46" s="664"/>
      <c r="D46" s="436" t="str">
        <f>IF(ROUNDDOWN(D43,0)=$N$4,$P$4,$O$4)</f>
        <v>■レベル　3</v>
      </c>
      <c r="E46" s="463" t="s">
        <v>538</v>
      </c>
      <c r="F46" s="501"/>
      <c r="G46" s="501"/>
      <c r="H46" s="501"/>
      <c r="I46" s="501"/>
      <c r="J46" s="501"/>
      <c r="K46" s="501"/>
      <c r="L46" s="509"/>
      <c r="M46" s="664"/>
      <c r="N46" s="449">
        <v>3</v>
      </c>
      <c r="O46" s="450"/>
    </row>
    <row r="47" spans="1:15" s="49" customFormat="1" ht="15.75">
      <c r="B47" s="664"/>
      <c r="C47" s="664"/>
      <c r="D47" s="436" t="str">
        <f>IF(ROUNDDOWN(D43,0)=$N$5,$P$5,$O$5)</f>
        <v>　レベル　4</v>
      </c>
      <c r="E47" s="466" t="s">
        <v>414</v>
      </c>
      <c r="F47" s="502"/>
      <c r="G47" s="502"/>
      <c r="H47" s="502"/>
      <c r="I47" s="502"/>
      <c r="J47" s="502"/>
      <c r="K47" s="502"/>
      <c r="L47" s="510"/>
      <c r="M47" s="62"/>
      <c r="N47" s="449" t="s">
        <v>312</v>
      </c>
      <c r="O47" s="450"/>
    </row>
    <row r="48" spans="1:15" s="49" customFormat="1" ht="15.75">
      <c r="B48" s="664"/>
      <c r="C48" s="664"/>
      <c r="D48" s="437" t="str">
        <f>IF(ROUNDDOWN(D43,0)=$N$6,$P$6,$O$6)</f>
        <v>　レベル　5</v>
      </c>
      <c r="E48" s="469" t="s">
        <v>539</v>
      </c>
      <c r="F48" s="480"/>
      <c r="G48" s="480"/>
      <c r="H48" s="480"/>
      <c r="I48" s="480"/>
      <c r="J48" s="480"/>
      <c r="K48" s="480"/>
      <c r="L48" s="511"/>
      <c r="M48" s="664"/>
      <c r="N48" s="449">
        <v>5</v>
      </c>
      <c r="O48" s="450"/>
    </row>
    <row r="49" spans="1:25" s="49" customFormat="1" ht="15.75">
      <c r="B49" s="664"/>
      <c r="C49" s="664"/>
      <c r="D49" s="438" t="s">
        <v>341</v>
      </c>
      <c r="E49" s="1002"/>
      <c r="F49" s="494"/>
      <c r="G49" s="494"/>
      <c r="H49" s="679"/>
      <c r="I49"/>
      <c r="J49"/>
      <c r="K49"/>
      <c r="L49"/>
      <c r="M49" s="62"/>
      <c r="N49" s="449" t="s">
        <v>312</v>
      </c>
      <c r="O49" s="452"/>
    </row>
    <row r="50" spans="1:25" customFormat="1">
      <c r="F50" s="306"/>
    </row>
    <row r="51" spans="1:25" s="49" customFormat="1" ht="16.5" thickBot="1">
      <c r="B51" s="664"/>
      <c r="C51" s="664"/>
      <c r="D51" s="163" t="s">
        <v>1010</v>
      </c>
      <c r="E51" s="447"/>
      <c r="F51" s="495"/>
      <c r="G51" s="495"/>
      <c r="H51" s="495"/>
      <c r="I51" s="459"/>
      <c r="J51" s="447"/>
      <c r="K51" s="447"/>
      <c r="L51" s="447"/>
      <c r="M51" s="447"/>
      <c r="N51" s="447"/>
      <c r="O51" s="62"/>
      <c r="P51"/>
      <c r="Q51"/>
    </row>
    <row r="52" spans="1:25" s="49" customFormat="1" ht="16.5" thickBot="1">
      <c r="B52" s="664"/>
      <c r="C52" s="664"/>
      <c r="D52" s="1031">
        <f>IF(E60&gt;=O57,N57,IF(E60&gt;=O56,N56,IF(E60&gt;=O55,N55,IF(E60&gt;=O54,N54,N53))))</f>
        <v>3</v>
      </c>
      <c r="E52" s="453" t="s">
        <v>1229</v>
      </c>
      <c r="F52" s="453"/>
      <c r="G52" s="453"/>
      <c r="H52" s="453"/>
      <c r="I52" s="453"/>
      <c r="J52" s="453"/>
      <c r="K52" s="453"/>
      <c r="L52" s="454"/>
      <c r="M52" s="62"/>
      <c r="N52" s="448" t="s">
        <v>336</v>
      </c>
      <c r="O52" s="448" t="s">
        <v>337</v>
      </c>
    </row>
    <row r="53" spans="1:25" s="49" customFormat="1" ht="15.75">
      <c r="B53" s="664"/>
      <c r="C53" s="664"/>
      <c r="D53" s="435" t="str">
        <f>IF(ROUNDDOWN(D52,0)=$N$2,$P$2,$O$2)</f>
        <v>　レベル　1</v>
      </c>
      <c r="E53" s="460" t="s">
        <v>473</v>
      </c>
      <c r="F53" s="461"/>
      <c r="G53" s="461"/>
      <c r="H53" s="461"/>
      <c r="I53" s="461"/>
      <c r="J53" s="461"/>
      <c r="K53" s="461"/>
      <c r="L53" s="462"/>
      <c r="M53" s="664"/>
      <c r="N53" s="449">
        <v>1</v>
      </c>
      <c r="O53" s="448">
        <v>0</v>
      </c>
    </row>
    <row r="54" spans="1:25" s="49" customFormat="1" ht="15.75">
      <c r="B54" s="664"/>
      <c r="C54" s="664"/>
      <c r="D54" s="436" t="str">
        <f>IF(ROUNDDOWN(D52,0)=$N$3,$P$3,$O$3)</f>
        <v>　レベル　2</v>
      </c>
      <c r="E54" s="463" t="s">
        <v>414</v>
      </c>
      <c r="F54" s="464"/>
      <c r="G54" s="464"/>
      <c r="H54" s="464"/>
      <c r="I54" s="464"/>
      <c r="J54" s="464"/>
      <c r="K54" s="464"/>
      <c r="L54" s="465"/>
      <c r="M54" s="62"/>
      <c r="N54" s="449" t="s">
        <v>312</v>
      </c>
      <c r="O54" s="448" t="s">
        <v>312</v>
      </c>
    </row>
    <row r="55" spans="1:25" s="49" customFormat="1" ht="15.75">
      <c r="B55" s="664"/>
      <c r="C55" s="664"/>
      <c r="D55" s="436" t="str">
        <f>IF(ROUNDDOWN(D52,0)=$N$4,$P$4,$O$4)</f>
        <v>■レベル　3</v>
      </c>
      <c r="E55" s="463" t="s">
        <v>540</v>
      </c>
      <c r="F55" s="464"/>
      <c r="G55" s="464"/>
      <c r="H55" s="464"/>
      <c r="I55" s="464"/>
      <c r="J55" s="464"/>
      <c r="K55" s="464"/>
      <c r="L55" s="465"/>
      <c r="M55" s="664"/>
      <c r="N55" s="449">
        <v>3</v>
      </c>
      <c r="O55" s="448">
        <v>1</v>
      </c>
    </row>
    <row r="56" spans="1:25" s="49" customFormat="1" ht="15.75">
      <c r="B56" s="664"/>
      <c r="C56" s="664"/>
      <c r="D56" s="436" t="str">
        <f>IF(ROUNDDOWN(D52,0)=$N$5,$P$5,$O$5)</f>
        <v>　レベル　4</v>
      </c>
      <c r="E56" s="466" t="s">
        <v>494</v>
      </c>
      <c r="F56" s="467"/>
      <c r="G56" s="467"/>
      <c r="H56" s="467"/>
      <c r="I56" s="467"/>
      <c r="J56" s="467"/>
      <c r="K56" s="467"/>
      <c r="L56" s="468"/>
      <c r="M56" s="62"/>
      <c r="N56" s="449">
        <v>4</v>
      </c>
      <c r="O56" s="448">
        <v>2</v>
      </c>
    </row>
    <row r="57" spans="1:25" s="49" customFormat="1" ht="15.75">
      <c r="B57" s="664"/>
      <c r="C57" s="664"/>
      <c r="D57" s="437" t="str">
        <f>IF(ROUNDDOWN(D52,0)=$N$6,$P$6,$O$6)</f>
        <v>　レベル　5</v>
      </c>
      <c r="E57" s="469" t="s">
        <v>541</v>
      </c>
      <c r="F57" s="470"/>
      <c r="G57" s="470"/>
      <c r="H57" s="470"/>
      <c r="I57" s="470"/>
      <c r="J57" s="470"/>
      <c r="K57" s="470"/>
      <c r="L57" s="471"/>
      <c r="M57" s="664"/>
      <c r="N57" s="449">
        <v>5</v>
      </c>
      <c r="O57" s="448">
        <v>3</v>
      </c>
    </row>
    <row r="58" spans="1:25" s="49" customFormat="1" ht="15.75">
      <c r="B58" s="664"/>
      <c r="C58" s="664"/>
      <c r="D58" s="438" t="s">
        <v>341</v>
      </c>
      <c r="E58" s="1002"/>
      <c r="F58" s="494"/>
      <c r="G58" s="494"/>
      <c r="H58" s="679"/>
      <c r="I58"/>
      <c r="J58"/>
      <c r="K58"/>
      <c r="L58"/>
      <c r="M58" s="664"/>
      <c r="N58" s="449" t="s">
        <v>312</v>
      </c>
      <c r="O58" s="448"/>
    </row>
    <row r="59" spans="1:25" s="49" customFormat="1" ht="15.75">
      <c r="B59" s="664"/>
      <c r="C59" s="664"/>
      <c r="D59" s="438" t="s">
        <v>384</v>
      </c>
      <c r="E59" s="447"/>
      <c r="F59" s="495"/>
      <c r="G59" s="495"/>
      <c r="H59" s="495"/>
      <c r="I59" s="495"/>
      <c r="J59" s="447"/>
      <c r="K59" s="447"/>
      <c r="L59" s="447"/>
      <c r="M59" s="447"/>
    </row>
    <row r="60" spans="1:25" s="164" customFormat="1" ht="15.75" thickBot="1">
      <c r="A60" s="96"/>
      <c r="B60" s="50"/>
      <c r="C60" s="50"/>
      <c r="D60" s="174" t="s">
        <v>385</v>
      </c>
      <c r="E60" s="493">
        <f>COUNTIF(E61:E65,$R$3)</f>
        <v>1</v>
      </c>
      <c r="F60" s="1388" t="s">
        <v>830</v>
      </c>
      <c r="G60" s="1380"/>
      <c r="H60" s="1378" t="s">
        <v>831</v>
      </c>
      <c r="I60" s="1379"/>
      <c r="J60" s="1379"/>
      <c r="K60" s="1379"/>
      <c r="L60" s="1380"/>
      <c r="M60" s="447"/>
      <c r="N60"/>
      <c r="O60"/>
      <c r="P60"/>
      <c r="Q60"/>
      <c r="R60" s="140"/>
      <c r="S60" s="140"/>
      <c r="T60" s="140"/>
      <c r="U60" s="140"/>
      <c r="V60" s="140"/>
      <c r="W60" s="140"/>
      <c r="X60" s="96"/>
      <c r="Y60" s="96"/>
    </row>
    <row r="61" spans="1:25" s="164" customFormat="1" ht="41.45" customHeight="1">
      <c r="A61" s="96"/>
      <c r="B61" s="50"/>
      <c r="C61" s="50"/>
      <c r="D61" s="439" t="s">
        <v>300</v>
      </c>
      <c r="E61" s="440" t="s">
        <v>390</v>
      </c>
      <c r="F61" s="1412" t="s">
        <v>870</v>
      </c>
      <c r="G61" s="1410"/>
      <c r="H61" s="1409" t="s">
        <v>871</v>
      </c>
      <c r="I61" s="1409"/>
      <c r="J61" s="1409"/>
      <c r="K61" s="1409"/>
      <c r="L61" s="1410"/>
      <c r="M61" s="96"/>
      <c r="N61"/>
      <c r="O61"/>
      <c r="P61"/>
      <c r="Q61"/>
      <c r="R61" s="140"/>
      <c r="S61" s="140"/>
      <c r="T61" s="140"/>
      <c r="U61" s="140"/>
      <c r="V61" s="140"/>
      <c r="W61" s="140"/>
      <c r="X61" s="96"/>
      <c r="Y61" s="96"/>
    </row>
    <row r="62" spans="1:25" s="164" customFormat="1" ht="35.450000000000003" customHeight="1">
      <c r="A62" s="96"/>
      <c r="B62" s="50"/>
      <c r="C62" s="50"/>
      <c r="D62" s="439" t="s">
        <v>301</v>
      </c>
      <c r="E62" s="441"/>
      <c r="F62" s="1442" t="s">
        <v>872</v>
      </c>
      <c r="G62" s="1443"/>
      <c r="H62" s="1409" t="s">
        <v>873</v>
      </c>
      <c r="I62" s="1409"/>
      <c r="J62" s="1409"/>
      <c r="K62" s="1409"/>
      <c r="L62" s="1410"/>
      <c r="M62" s="96"/>
      <c r="N62"/>
      <c r="O62"/>
      <c r="P62"/>
      <c r="Q62"/>
      <c r="R62" s="140"/>
      <c r="S62" s="140"/>
      <c r="T62" s="140"/>
      <c r="U62" s="140"/>
      <c r="V62" s="140"/>
      <c r="W62" s="140"/>
      <c r="X62" s="96"/>
      <c r="Y62" s="96"/>
    </row>
    <row r="63" spans="1:25" s="164" customFormat="1" ht="35.450000000000003" customHeight="1">
      <c r="A63" s="96"/>
      <c r="B63" s="50"/>
      <c r="C63" s="50"/>
      <c r="D63" s="439" t="s">
        <v>302</v>
      </c>
      <c r="E63" s="441"/>
      <c r="F63" s="1412" t="s">
        <v>874</v>
      </c>
      <c r="G63" s="1410"/>
      <c r="H63" s="1409" t="s">
        <v>875</v>
      </c>
      <c r="I63" s="1409"/>
      <c r="J63" s="1409"/>
      <c r="K63" s="1409"/>
      <c r="L63" s="1410"/>
      <c r="M63" s="96"/>
      <c r="N63"/>
      <c r="O63"/>
      <c r="P63"/>
      <c r="Q63"/>
      <c r="R63" s="140"/>
      <c r="S63" s="140"/>
      <c r="T63" s="140"/>
      <c r="U63" s="140"/>
      <c r="V63" s="140"/>
      <c r="W63" s="140"/>
      <c r="X63" s="96"/>
      <c r="Y63" s="96"/>
    </row>
    <row r="64" spans="1:25" s="164" customFormat="1" ht="35.450000000000003" customHeight="1">
      <c r="A64" s="96"/>
      <c r="B64" s="50"/>
      <c r="C64" s="50"/>
      <c r="D64" s="439" t="s">
        <v>303</v>
      </c>
      <c r="E64" s="441"/>
      <c r="F64" s="1412" t="s">
        <v>876</v>
      </c>
      <c r="G64" s="1410"/>
      <c r="H64" s="1409" t="s">
        <v>877</v>
      </c>
      <c r="I64" s="1409"/>
      <c r="J64" s="1409"/>
      <c r="K64" s="1409"/>
      <c r="L64" s="1410"/>
      <c r="M64" s="96"/>
      <c r="N64"/>
      <c r="O64"/>
      <c r="P64"/>
      <c r="Q64"/>
      <c r="R64" s="140"/>
      <c r="S64" s="140"/>
      <c r="T64" s="140"/>
      <c r="U64" s="140"/>
      <c r="V64" s="140"/>
      <c r="W64" s="140"/>
      <c r="X64" s="96"/>
      <c r="Y64" s="96"/>
    </row>
    <row r="65" spans="1:25" s="164" customFormat="1" ht="35.450000000000003" customHeight="1" thickBot="1">
      <c r="A65" s="96"/>
      <c r="B65" s="50"/>
      <c r="C65" s="50"/>
      <c r="D65" s="439" t="s">
        <v>304</v>
      </c>
      <c r="E65" s="442"/>
      <c r="F65" s="1412" t="s">
        <v>878</v>
      </c>
      <c r="G65" s="1410"/>
      <c r="H65" s="1409" t="s">
        <v>879</v>
      </c>
      <c r="I65" s="1409"/>
      <c r="J65" s="1409"/>
      <c r="K65" s="1409"/>
      <c r="L65" s="1410"/>
      <c r="M65" s="96"/>
      <c r="N65"/>
      <c r="O65"/>
      <c r="P65"/>
      <c r="Q65"/>
      <c r="R65" s="140"/>
      <c r="S65" s="140"/>
      <c r="T65" s="140"/>
      <c r="U65" s="140"/>
      <c r="V65" s="140"/>
      <c r="W65" s="140"/>
      <c r="X65" s="96"/>
      <c r="Y65" s="96"/>
    </row>
    <row r="66" spans="1:25" customFormat="1">
      <c r="F66" s="306"/>
    </row>
    <row r="67" spans="1:25" s="49" customFormat="1" ht="16.5" thickBot="1">
      <c r="A67" s="664"/>
      <c r="B67" s="668"/>
      <c r="C67" s="668"/>
      <c r="D67" s="163" t="s">
        <v>1011</v>
      </c>
      <c r="E67" s="664"/>
      <c r="F67" s="675"/>
      <c r="G67" s="675"/>
      <c r="H67" s="675"/>
      <c r="I67" s="459"/>
      <c r="J67" s="664"/>
      <c r="K67" s="664"/>
      <c r="L67" s="676"/>
      <c r="M67" s="664"/>
      <c r="N67" s="62"/>
      <c r="O67" s="62"/>
    </row>
    <row r="68" spans="1:25" s="49" customFormat="1" ht="16.5" thickBot="1">
      <c r="B68" s="664"/>
      <c r="C68" s="664"/>
      <c r="D68" s="434">
        <v>3</v>
      </c>
      <c r="E68" s="453" t="s">
        <v>1229</v>
      </c>
      <c r="F68" s="453"/>
      <c r="G68" s="453"/>
      <c r="H68" s="453"/>
      <c r="I68" s="453"/>
      <c r="J68" s="453"/>
      <c r="K68" s="453"/>
      <c r="L68" s="454"/>
      <c r="M68" s="62"/>
      <c r="N68" s="448" t="s">
        <v>336</v>
      </c>
      <c r="O68" s="448" t="s">
        <v>337</v>
      </c>
    </row>
    <row r="69" spans="1:25" s="49" customFormat="1" ht="15.75">
      <c r="B69" s="664"/>
      <c r="C69" s="664"/>
      <c r="D69" s="435" t="str">
        <f>IF(ROUNDDOWN(D68,0)=$N$2,$P$2,$O$2)</f>
        <v>　レベル　1</v>
      </c>
      <c r="E69" s="460" t="s">
        <v>542</v>
      </c>
      <c r="F69" s="500"/>
      <c r="G69" s="500"/>
      <c r="H69" s="500"/>
      <c r="I69" s="500"/>
      <c r="J69" s="500"/>
      <c r="K69" s="500"/>
      <c r="L69" s="508"/>
      <c r="M69" s="664"/>
      <c r="N69" s="449">
        <v>1</v>
      </c>
      <c r="O69" s="450"/>
    </row>
    <row r="70" spans="1:25" s="49" customFormat="1" ht="15.75">
      <c r="B70" s="664"/>
      <c r="C70" s="664"/>
      <c r="D70" s="436" t="str">
        <f>IF(ROUNDDOWN(D68,0)=$N$3,$P$3,$O$3)</f>
        <v>　レベル　2</v>
      </c>
      <c r="E70" s="463" t="s">
        <v>414</v>
      </c>
      <c r="F70" s="501"/>
      <c r="G70" s="501"/>
      <c r="H70" s="501"/>
      <c r="I70" s="501"/>
      <c r="J70" s="501"/>
      <c r="K70" s="501"/>
      <c r="L70" s="509"/>
      <c r="M70" s="62"/>
      <c r="N70" s="449" t="s">
        <v>312</v>
      </c>
      <c r="O70" s="450"/>
    </row>
    <row r="71" spans="1:25" s="49" customFormat="1" ht="15.75">
      <c r="B71" s="664"/>
      <c r="C71" s="664"/>
      <c r="D71" s="436" t="str">
        <f>IF(ROUNDDOWN(D68,0)=$N$4,$P$4,$O$4)</f>
        <v>■レベル　3</v>
      </c>
      <c r="E71" s="463" t="s">
        <v>543</v>
      </c>
      <c r="F71" s="501"/>
      <c r="G71" s="501"/>
      <c r="H71" s="501"/>
      <c r="I71" s="501"/>
      <c r="J71" s="501"/>
      <c r="K71" s="501"/>
      <c r="L71" s="509"/>
      <c r="M71" s="664"/>
      <c r="N71" s="449">
        <v>3</v>
      </c>
      <c r="O71" s="450"/>
    </row>
    <row r="72" spans="1:25" s="49" customFormat="1" ht="15.75">
      <c r="B72" s="664"/>
      <c r="C72" s="664"/>
      <c r="D72" s="436" t="str">
        <f>IF(ROUNDDOWN(D68,0)=$N$5,$P$5,$O$5)</f>
        <v>　レベル　4</v>
      </c>
      <c r="E72" s="466" t="s">
        <v>544</v>
      </c>
      <c r="F72" s="502"/>
      <c r="G72" s="502"/>
      <c r="H72" s="502"/>
      <c r="I72" s="502"/>
      <c r="J72" s="502"/>
      <c r="K72" s="502"/>
      <c r="L72" s="510"/>
      <c r="M72" s="62"/>
      <c r="N72" s="449">
        <v>4</v>
      </c>
      <c r="O72" s="450"/>
    </row>
    <row r="73" spans="1:25" s="49" customFormat="1" ht="43.9" customHeight="1">
      <c r="B73" s="664"/>
      <c r="C73" s="664"/>
      <c r="D73" s="437" t="str">
        <f>IF(ROUNDDOWN(D68,0)=$N$6,$P$6,$O$6)</f>
        <v>　レベル　5</v>
      </c>
      <c r="E73" s="1439" t="s">
        <v>745</v>
      </c>
      <c r="F73" s="1440"/>
      <c r="G73" s="1440"/>
      <c r="H73" s="1440"/>
      <c r="I73" s="1440"/>
      <c r="J73" s="1440"/>
      <c r="K73" s="1440"/>
      <c r="L73" s="1441"/>
      <c r="M73" s="664"/>
      <c r="N73" s="449">
        <v>5</v>
      </c>
      <c r="O73" s="450"/>
    </row>
    <row r="74" spans="1:25" s="49" customFormat="1" ht="15.75">
      <c r="B74" s="664"/>
      <c r="C74" s="664"/>
      <c r="D74" s="438" t="s">
        <v>341</v>
      </c>
      <c r="E74" s="1002"/>
      <c r="F74" s="494"/>
      <c r="G74" s="494"/>
      <c r="H74" s="679"/>
      <c r="I74"/>
      <c r="J74"/>
      <c r="K74"/>
      <c r="L74"/>
      <c r="M74" s="62"/>
      <c r="N74" s="449" t="s">
        <v>312</v>
      </c>
      <c r="O74" s="452"/>
    </row>
    <row r="75" spans="1:25" customFormat="1">
      <c r="F75" s="306"/>
    </row>
    <row r="76" spans="1:25" s="50" customFormat="1" ht="16.5" thickBot="1">
      <c r="B76" s="666"/>
      <c r="C76" s="666"/>
      <c r="D76" s="163" t="s">
        <v>1012</v>
      </c>
      <c r="E76" s="664"/>
      <c r="F76" s="675"/>
      <c r="G76" s="675"/>
      <c r="H76" s="675"/>
      <c r="I76" s="459"/>
      <c r="J76" s="664"/>
      <c r="K76" s="664"/>
      <c r="L76" s="676"/>
      <c r="M76" s="664"/>
      <c r="N76" s="62"/>
      <c r="O76" s="62"/>
    </row>
    <row r="77" spans="1:25" s="49" customFormat="1" ht="16.5" thickBot="1">
      <c r="B77" s="664"/>
      <c r="C77" s="664"/>
      <c r="D77" s="434">
        <v>3</v>
      </c>
      <c r="E77" s="453" t="s">
        <v>1229</v>
      </c>
      <c r="F77" s="453"/>
      <c r="G77" s="453"/>
      <c r="H77" s="453"/>
      <c r="I77" s="453"/>
      <c r="J77" s="453"/>
      <c r="K77" s="453"/>
      <c r="L77" s="454"/>
      <c r="M77" s="62"/>
      <c r="N77" s="448" t="s">
        <v>336</v>
      </c>
      <c r="O77" s="448" t="s">
        <v>337</v>
      </c>
    </row>
    <row r="78" spans="1:25" s="49" customFormat="1" ht="15.75">
      <c r="B78" s="664"/>
      <c r="C78" s="664"/>
      <c r="D78" s="435" t="str">
        <f>IF(ROUNDDOWN(D77,0)=$N$2,$P$2,$O$2)</f>
        <v>　レベル　1</v>
      </c>
      <c r="E78" s="460" t="s">
        <v>545</v>
      </c>
      <c r="F78" s="500"/>
      <c r="G78" s="500"/>
      <c r="H78" s="500"/>
      <c r="I78" s="500"/>
      <c r="J78" s="500"/>
      <c r="K78" s="500"/>
      <c r="L78" s="508"/>
      <c r="M78" s="664"/>
      <c r="N78" s="449">
        <v>1</v>
      </c>
      <c r="O78" s="450"/>
    </row>
    <row r="79" spans="1:25" s="49" customFormat="1" ht="15.75">
      <c r="B79" s="664"/>
      <c r="C79" s="664"/>
      <c r="D79" s="436" t="str">
        <f>IF(ROUNDDOWN(D77,0)=$N$3,$P$3,$O$3)</f>
        <v>　レベル　2</v>
      </c>
      <c r="E79" s="463" t="s">
        <v>414</v>
      </c>
      <c r="F79" s="501"/>
      <c r="G79" s="501"/>
      <c r="H79" s="501"/>
      <c r="I79" s="501"/>
      <c r="J79" s="501"/>
      <c r="K79" s="501"/>
      <c r="L79" s="509"/>
      <c r="M79" s="62"/>
      <c r="N79" s="449" t="s">
        <v>312</v>
      </c>
      <c r="O79" s="450"/>
    </row>
    <row r="80" spans="1:25" s="49" customFormat="1" ht="15.75">
      <c r="B80" s="664"/>
      <c r="C80" s="664"/>
      <c r="D80" s="436" t="str">
        <f>IF(ROUNDDOWN(D77,0)=$N$4,$P$4,$O$4)</f>
        <v>■レベル　3</v>
      </c>
      <c r="E80" s="463" t="s">
        <v>546</v>
      </c>
      <c r="F80" s="501"/>
      <c r="G80" s="501"/>
      <c r="H80" s="501"/>
      <c r="I80" s="501"/>
      <c r="J80" s="501"/>
      <c r="K80" s="501"/>
      <c r="L80" s="509"/>
      <c r="M80" s="664"/>
      <c r="N80" s="449">
        <v>3</v>
      </c>
      <c r="O80" s="450"/>
    </row>
    <row r="81" spans="1:15" s="49" customFormat="1" ht="15.75">
      <c r="B81" s="664"/>
      <c r="C81" s="664"/>
      <c r="D81" s="436" t="str">
        <f>IF(ROUNDDOWN(D77,0)=$N$5,$P$5,$O$5)</f>
        <v>　レベル　4</v>
      </c>
      <c r="E81" s="466" t="s">
        <v>547</v>
      </c>
      <c r="F81" s="502"/>
      <c r="G81" s="502"/>
      <c r="H81" s="502"/>
      <c r="I81" s="502"/>
      <c r="J81" s="502"/>
      <c r="K81" s="502"/>
      <c r="L81" s="510"/>
      <c r="M81" s="62"/>
      <c r="N81" s="449">
        <v>4</v>
      </c>
      <c r="O81" s="450"/>
    </row>
    <row r="82" spans="1:15" s="49" customFormat="1" ht="15.75">
      <c r="B82" s="664"/>
      <c r="C82" s="664"/>
      <c r="D82" s="437" t="str">
        <f>IF(ROUNDDOWN(D77,0)=$N$6,$P$6,$O$6)</f>
        <v>　レベル　5</v>
      </c>
      <c r="E82" s="469" t="s">
        <v>548</v>
      </c>
      <c r="F82" s="480"/>
      <c r="G82" s="480"/>
      <c r="H82" s="480"/>
      <c r="I82" s="480"/>
      <c r="J82" s="480"/>
      <c r="K82" s="480"/>
      <c r="L82" s="511"/>
      <c r="M82" s="664"/>
      <c r="N82" s="449">
        <v>5</v>
      </c>
      <c r="O82" s="450"/>
    </row>
    <row r="83" spans="1:15" s="49" customFormat="1" ht="15.75">
      <c r="B83" s="664"/>
      <c r="C83" s="664"/>
      <c r="D83" s="438" t="s">
        <v>341</v>
      </c>
      <c r="E83" s="1002"/>
      <c r="F83" s="494"/>
      <c r="G83" s="494"/>
      <c r="H83" s="679"/>
      <c r="I83"/>
      <c r="J83"/>
      <c r="K83"/>
      <c r="L83"/>
      <c r="M83" s="62"/>
      <c r="N83" s="449" t="s">
        <v>312</v>
      </c>
      <c r="O83" s="452"/>
    </row>
    <row r="84" spans="1:15" customFormat="1">
      <c r="F84" s="306"/>
    </row>
    <row r="85" spans="1:15" s="50" customFormat="1" ht="15.75">
      <c r="B85" s="666" t="s">
        <v>1013</v>
      </c>
      <c r="C85" s="666"/>
      <c r="D85" s="672"/>
      <c r="F85" s="137"/>
      <c r="H85" s="677"/>
      <c r="I85" s="96"/>
      <c r="J85" s="96"/>
      <c r="K85" s="96"/>
      <c r="L85" s="96"/>
      <c r="M85" s="96"/>
    </row>
    <row r="86" spans="1:15" s="50" customFormat="1" ht="15.75">
      <c r="C86" s="666" t="s">
        <v>1014</v>
      </c>
      <c r="D86" s="672"/>
      <c r="F86" s="137"/>
      <c r="H86" s="677"/>
      <c r="I86" s="96"/>
      <c r="J86" s="96"/>
      <c r="K86" s="96"/>
      <c r="L86" s="96"/>
      <c r="M86" s="96"/>
    </row>
    <row r="87" spans="1:15" s="49" customFormat="1" ht="16.5" thickBot="1">
      <c r="A87" s="664"/>
      <c r="B87" s="668"/>
      <c r="C87" s="668"/>
      <c r="D87" s="163" t="s">
        <v>1015</v>
      </c>
      <c r="E87" s="664"/>
      <c r="F87" s="675"/>
      <c r="G87" s="675"/>
      <c r="H87" s="675"/>
      <c r="I87" s="459"/>
      <c r="J87" s="447"/>
      <c r="K87" s="447"/>
      <c r="L87" s="738" t="s">
        <v>1325</v>
      </c>
      <c r="M87" s="664"/>
      <c r="N87" s="62"/>
      <c r="O87" s="62"/>
    </row>
    <row r="88" spans="1:15" s="49" customFormat="1" ht="16.5" thickBot="1">
      <c r="B88" s="664"/>
      <c r="C88" s="664"/>
      <c r="D88" s="434">
        <v>3</v>
      </c>
      <c r="E88" s="453" t="s">
        <v>1229</v>
      </c>
      <c r="F88" s="453"/>
      <c r="G88" s="453"/>
      <c r="H88" s="453"/>
      <c r="I88" s="453"/>
      <c r="J88" s="453"/>
      <c r="K88" s="453"/>
      <c r="L88" s="454"/>
      <c r="M88" s="62"/>
      <c r="N88" s="448" t="s">
        <v>336</v>
      </c>
      <c r="O88" s="448" t="s">
        <v>337</v>
      </c>
    </row>
    <row r="89" spans="1:15" s="49" customFormat="1" ht="15.75">
      <c r="B89" s="664"/>
      <c r="C89" s="664"/>
      <c r="D89" s="435" t="str">
        <f>IF(ROUNDDOWN(D88,0)=$N$2,$P$2,$O$2)</f>
        <v>　レベル　1</v>
      </c>
      <c r="E89" s="460" t="s">
        <v>549</v>
      </c>
      <c r="F89" s="500"/>
      <c r="G89" s="500"/>
      <c r="H89" s="500"/>
      <c r="I89" s="500"/>
      <c r="J89" s="500"/>
      <c r="K89" s="500"/>
      <c r="L89" s="508"/>
      <c r="M89" s="664"/>
      <c r="N89" s="449">
        <v>1</v>
      </c>
      <c r="O89" s="450"/>
    </row>
    <row r="90" spans="1:15" s="49" customFormat="1" ht="15.75">
      <c r="B90" s="664"/>
      <c r="C90" s="664"/>
      <c r="D90" s="436" t="str">
        <f>IF(ROUNDDOWN(D88,0)=$N$3,$P$3,$O$3)</f>
        <v>　レベル　2</v>
      </c>
      <c r="E90" s="463" t="s">
        <v>550</v>
      </c>
      <c r="F90" s="501"/>
      <c r="G90" s="501"/>
      <c r="H90" s="501"/>
      <c r="I90" s="501"/>
      <c r="J90" s="501"/>
      <c r="K90" s="501"/>
      <c r="L90" s="509"/>
      <c r="M90" s="62"/>
      <c r="N90" s="449">
        <v>2</v>
      </c>
      <c r="O90" s="450"/>
    </row>
    <row r="91" spans="1:15" s="49" customFormat="1" ht="15.75">
      <c r="B91" s="664"/>
      <c r="C91" s="664"/>
      <c r="D91" s="436" t="str">
        <f>IF(ROUNDDOWN(D88,0)=$N$4,$P$4,$O$4)</f>
        <v>■レベル　3</v>
      </c>
      <c r="E91" s="463" t="s">
        <v>551</v>
      </c>
      <c r="F91" s="501"/>
      <c r="G91" s="501"/>
      <c r="H91" s="501"/>
      <c r="I91" s="501"/>
      <c r="J91" s="501"/>
      <c r="K91" s="501"/>
      <c r="L91" s="509"/>
      <c r="M91" s="664"/>
      <c r="N91" s="449">
        <v>3</v>
      </c>
      <c r="O91" s="450"/>
    </row>
    <row r="92" spans="1:15" s="49" customFormat="1" ht="15.75">
      <c r="B92" s="664"/>
      <c r="C92" s="664"/>
      <c r="D92" s="436" t="str">
        <f>IF(ROUNDDOWN(D88,0)=$N$5,$P$5,$O$5)</f>
        <v>　レベル　4</v>
      </c>
      <c r="E92" s="466" t="s">
        <v>552</v>
      </c>
      <c r="F92" s="502"/>
      <c r="G92" s="502"/>
      <c r="H92" s="502"/>
      <c r="I92" s="502"/>
      <c r="J92" s="502"/>
      <c r="K92" s="502"/>
      <c r="L92" s="510"/>
      <c r="M92" s="62"/>
      <c r="N92" s="449">
        <v>4</v>
      </c>
      <c r="O92" s="450"/>
    </row>
    <row r="93" spans="1:15" s="49" customFormat="1" ht="15.75">
      <c r="B93" s="664"/>
      <c r="C93" s="664"/>
      <c r="D93" s="437" t="str">
        <f>IF(ROUNDDOWN(D88,0)=$N$6,$P$6,$O$6)</f>
        <v>　レベル　5</v>
      </c>
      <c r="E93" s="469" t="s">
        <v>553</v>
      </c>
      <c r="F93" s="480"/>
      <c r="G93" s="480"/>
      <c r="H93" s="480"/>
      <c r="I93" s="480"/>
      <c r="J93" s="480"/>
      <c r="K93" s="480"/>
      <c r="L93" s="511"/>
      <c r="M93" s="664"/>
      <c r="N93" s="449">
        <v>5</v>
      </c>
      <c r="O93" s="450"/>
    </row>
    <row r="94" spans="1:15" s="49" customFormat="1" ht="15.75">
      <c r="B94" s="664"/>
      <c r="C94" s="664"/>
      <c r="D94" s="438" t="s">
        <v>341</v>
      </c>
      <c r="E94" s="1002"/>
      <c r="F94" s="494"/>
      <c r="G94" s="494"/>
      <c r="H94" s="679"/>
      <c r="I94" s="737" t="s">
        <v>715</v>
      </c>
      <c r="J94"/>
      <c r="K94"/>
      <c r="L94"/>
      <c r="M94" s="62"/>
      <c r="N94" s="451">
        <v>0</v>
      </c>
      <c r="O94" s="452"/>
    </row>
    <row r="95" spans="1:15" customFormat="1">
      <c r="F95" s="306"/>
    </row>
    <row r="96" spans="1:15" s="49" customFormat="1" ht="16.5" thickBot="1">
      <c r="A96" s="664"/>
      <c r="B96" s="668"/>
      <c r="C96" s="668"/>
      <c r="D96" s="163" t="s">
        <v>1016</v>
      </c>
      <c r="E96" s="664"/>
      <c r="F96" s="675"/>
      <c r="G96" s="675"/>
      <c r="H96" s="675"/>
      <c r="I96" s="459"/>
      <c r="J96" s="447"/>
      <c r="K96" s="447"/>
      <c r="L96" s="738" t="s">
        <v>1325</v>
      </c>
      <c r="M96" s="664"/>
      <c r="N96" s="62"/>
      <c r="O96" s="62"/>
    </row>
    <row r="97" spans="2:18" s="49" customFormat="1" ht="16.5" thickBot="1">
      <c r="B97" s="664"/>
      <c r="C97" s="664"/>
      <c r="D97" s="434">
        <v>3</v>
      </c>
      <c r="E97" s="453" t="s">
        <v>1229</v>
      </c>
      <c r="F97" s="453"/>
      <c r="G97" s="453"/>
      <c r="H97" s="453"/>
      <c r="I97" s="453"/>
      <c r="J97" s="453"/>
      <c r="K97" s="453"/>
      <c r="L97" s="454"/>
      <c r="M97" s="62"/>
      <c r="N97" s="448" t="s">
        <v>336</v>
      </c>
      <c r="O97" s="448" t="s">
        <v>337</v>
      </c>
    </row>
    <row r="98" spans="2:18" s="49" customFormat="1" ht="15.75">
      <c r="B98" s="664"/>
      <c r="C98" s="664"/>
      <c r="D98" s="435" t="str">
        <f>IF(ROUNDDOWN(D97,0)=$N$2,$P$2,$O$2)</f>
        <v>　レベル　1</v>
      </c>
      <c r="E98" s="460" t="s">
        <v>549</v>
      </c>
      <c r="F98" s="500"/>
      <c r="G98" s="500"/>
      <c r="H98" s="500"/>
      <c r="I98" s="500"/>
      <c r="J98" s="500"/>
      <c r="K98" s="500"/>
      <c r="L98" s="508"/>
      <c r="M98" s="664"/>
      <c r="N98" s="449">
        <v>1</v>
      </c>
      <c r="O98" s="450"/>
    </row>
    <row r="99" spans="2:18" s="49" customFormat="1" ht="15.75">
      <c r="B99" s="664"/>
      <c r="C99" s="664"/>
      <c r="D99" s="436" t="str">
        <f>IF(ROUNDDOWN(D97,0)=$N$3,$P$3,$O$3)</f>
        <v>　レベル　2</v>
      </c>
      <c r="E99" s="463" t="s">
        <v>550</v>
      </c>
      <c r="F99" s="501"/>
      <c r="G99" s="501"/>
      <c r="H99" s="501"/>
      <c r="I99" s="501"/>
      <c r="J99" s="501"/>
      <c r="K99" s="501"/>
      <c r="L99" s="509"/>
      <c r="M99" s="62"/>
      <c r="N99" s="449">
        <v>2</v>
      </c>
      <c r="O99" s="450"/>
    </row>
    <row r="100" spans="2:18" s="49" customFormat="1" ht="15.75">
      <c r="B100" s="664"/>
      <c r="C100" s="664"/>
      <c r="D100" s="436" t="str">
        <f>IF(ROUNDDOWN(D97,0)=$N$4,$P$4,$O$4)</f>
        <v>■レベル　3</v>
      </c>
      <c r="E100" s="463" t="s">
        <v>551</v>
      </c>
      <c r="F100" s="501"/>
      <c r="G100" s="501"/>
      <c r="H100" s="501"/>
      <c r="I100" s="501"/>
      <c r="J100" s="501"/>
      <c r="K100" s="501"/>
      <c r="L100" s="509"/>
      <c r="M100" s="664"/>
      <c r="N100" s="449">
        <v>3</v>
      </c>
      <c r="O100" s="450"/>
    </row>
    <row r="101" spans="2:18" s="49" customFormat="1" ht="15.75">
      <c r="B101" s="664"/>
      <c r="C101" s="664"/>
      <c r="D101" s="436" t="str">
        <f>IF(ROUNDDOWN(D97,0)=$N$5,$P$5,$O$5)</f>
        <v>　レベル　4</v>
      </c>
      <c r="E101" s="466" t="s">
        <v>552</v>
      </c>
      <c r="F101" s="502"/>
      <c r="G101" s="502"/>
      <c r="H101" s="502"/>
      <c r="I101" s="502"/>
      <c r="J101" s="502"/>
      <c r="K101" s="502"/>
      <c r="L101" s="510"/>
      <c r="M101" s="62"/>
      <c r="N101" s="449">
        <v>4</v>
      </c>
      <c r="O101" s="450"/>
    </row>
    <row r="102" spans="2:18" s="49" customFormat="1" ht="15.75">
      <c r="B102" s="664"/>
      <c r="C102" s="664"/>
      <c r="D102" s="437" t="str">
        <f>IF(ROUNDDOWN(D97,0)=$N$6,$P$6,$O$6)</f>
        <v>　レベル　5</v>
      </c>
      <c r="E102" s="469" t="s">
        <v>553</v>
      </c>
      <c r="F102" s="480"/>
      <c r="G102" s="480"/>
      <c r="H102" s="480"/>
      <c r="I102" s="480"/>
      <c r="J102" s="480"/>
      <c r="K102" s="480"/>
      <c r="L102" s="511"/>
      <c r="M102" s="664"/>
      <c r="N102" s="449">
        <v>5</v>
      </c>
      <c r="O102" s="450"/>
    </row>
    <row r="103" spans="2:18" s="49" customFormat="1" ht="15.75">
      <c r="B103" s="664"/>
      <c r="C103" s="664"/>
      <c r="D103" s="438" t="s">
        <v>341</v>
      </c>
      <c r="E103" s="1002"/>
      <c r="F103" s="494"/>
      <c r="G103" s="494"/>
      <c r="H103" s="679"/>
      <c r="I103" s="737" t="s">
        <v>715</v>
      </c>
      <c r="J103"/>
      <c r="K103"/>
      <c r="L103"/>
      <c r="M103" s="62"/>
      <c r="N103" s="451">
        <v>0</v>
      </c>
      <c r="O103" s="452"/>
    </row>
    <row r="104" spans="2:18" customFormat="1">
      <c r="F104" s="306"/>
    </row>
    <row r="105" spans="2:18" s="50" customFormat="1" ht="16.5" thickBot="1">
      <c r="C105" s="666" t="s">
        <v>1017</v>
      </c>
      <c r="D105" s="163"/>
      <c r="E105" s="447"/>
      <c r="F105" s="495"/>
      <c r="G105" s="495"/>
      <c r="H105" s="495"/>
      <c r="I105" s="459"/>
      <c r="J105" s="447"/>
      <c r="K105" s="447"/>
      <c r="L105" s="738" t="s">
        <v>1272</v>
      </c>
      <c r="M105" s="447"/>
      <c r="N105" s="447"/>
      <c r="O105" s="62"/>
      <c r="P105" s="387"/>
      <c r="Q105" s="387"/>
      <c r="R105" s="387"/>
    </row>
    <row r="106" spans="2:18" s="49" customFormat="1" ht="16.5" thickBot="1">
      <c r="B106" s="664"/>
      <c r="C106" s="664"/>
      <c r="D106" s="1031">
        <f>IF(G113=O113,0,IF(E114&gt;=O111,N111,IF(E114&gt;=O110,N110,IF(E114&gt;=O109,N109,IF(E114&gt;=O108,N108,N107)))))</f>
        <v>4</v>
      </c>
      <c r="E106" s="453" t="s">
        <v>1229</v>
      </c>
      <c r="F106" s="453"/>
      <c r="G106" s="453"/>
      <c r="H106" s="453"/>
      <c r="I106" s="453"/>
      <c r="J106" s="453"/>
      <c r="K106" s="453"/>
      <c r="L106" s="454"/>
      <c r="M106" s="62"/>
      <c r="N106" s="448" t="s">
        <v>336</v>
      </c>
      <c r="O106" s="448" t="s">
        <v>337</v>
      </c>
    </row>
    <row r="107" spans="2:18" s="49" customFormat="1" ht="15.75">
      <c r="B107" s="664"/>
      <c r="C107" s="664"/>
      <c r="D107" s="435" t="str">
        <f>IF(ROUNDDOWN(D106,0)=$N$2,$P$2,$O$2)</f>
        <v>　レベル　1</v>
      </c>
      <c r="E107" s="460" t="s">
        <v>473</v>
      </c>
      <c r="F107" s="461"/>
      <c r="G107" s="461"/>
      <c r="H107" s="461"/>
      <c r="I107" s="461"/>
      <c r="J107" s="461"/>
      <c r="K107" s="461"/>
      <c r="L107" s="462"/>
      <c r="M107" s="664"/>
      <c r="N107" s="449">
        <v>1</v>
      </c>
      <c r="O107" s="448">
        <v>0</v>
      </c>
    </row>
    <row r="108" spans="2:18" s="49" customFormat="1" ht="15.75">
      <c r="B108" s="664"/>
      <c r="C108" s="664"/>
      <c r="D108" s="436" t="str">
        <f>IF(ROUNDDOWN(D106,0)=$N$3,$P$3,$O$3)</f>
        <v>　レベル　2</v>
      </c>
      <c r="E108" s="463" t="s">
        <v>414</v>
      </c>
      <c r="F108" s="464"/>
      <c r="G108" s="464"/>
      <c r="H108" s="464"/>
      <c r="I108" s="464"/>
      <c r="J108" s="464"/>
      <c r="K108" s="464"/>
      <c r="L108" s="465"/>
      <c r="M108" s="62"/>
      <c r="N108" s="449" t="s">
        <v>312</v>
      </c>
      <c r="O108" s="448" t="s">
        <v>312</v>
      </c>
    </row>
    <row r="109" spans="2:18" s="49" customFormat="1" ht="15.75">
      <c r="B109" s="664"/>
      <c r="C109" s="664"/>
      <c r="D109" s="436" t="str">
        <f>IF(ROUNDDOWN(D106,0)=$N$4,$P$4,$O$4)</f>
        <v>　レベル　3</v>
      </c>
      <c r="E109" s="463" t="s">
        <v>540</v>
      </c>
      <c r="F109" s="464"/>
      <c r="G109" s="464"/>
      <c r="H109" s="464"/>
      <c r="I109" s="464"/>
      <c r="J109" s="464"/>
      <c r="K109" s="464"/>
      <c r="L109" s="465"/>
      <c r="M109" s="664"/>
      <c r="N109" s="449">
        <v>3</v>
      </c>
      <c r="O109" s="448">
        <v>1</v>
      </c>
    </row>
    <row r="110" spans="2:18" s="49" customFormat="1" ht="15.75">
      <c r="B110" s="664"/>
      <c r="C110" s="664"/>
      <c r="D110" s="436" t="str">
        <f>IF(ROUNDDOWN(D106,0)=$N$5,$P$5,$O$5)</f>
        <v>■レベル　4</v>
      </c>
      <c r="E110" s="466" t="s">
        <v>494</v>
      </c>
      <c r="F110" s="467"/>
      <c r="G110" s="467"/>
      <c r="H110" s="467"/>
      <c r="I110" s="467"/>
      <c r="J110" s="467"/>
      <c r="K110" s="467"/>
      <c r="L110" s="468"/>
      <c r="M110" s="62"/>
      <c r="N110" s="449">
        <v>4</v>
      </c>
      <c r="O110" s="448">
        <v>2</v>
      </c>
    </row>
    <row r="111" spans="2:18" s="49" customFormat="1" ht="15.75">
      <c r="B111" s="664"/>
      <c r="C111" s="664"/>
      <c r="D111" s="437" t="str">
        <f>IF(ROUNDDOWN(D106,0)=$N$6,$P$6,$O$6)</f>
        <v>　レベル　5</v>
      </c>
      <c r="E111" s="469" t="s">
        <v>541</v>
      </c>
      <c r="F111" s="470"/>
      <c r="G111" s="470"/>
      <c r="H111" s="470"/>
      <c r="I111" s="470"/>
      <c r="J111" s="470"/>
      <c r="K111" s="470"/>
      <c r="L111" s="471"/>
      <c r="M111" s="664"/>
      <c r="N111" s="449">
        <v>5</v>
      </c>
      <c r="O111" s="448">
        <v>3</v>
      </c>
    </row>
    <row r="112" spans="2:18" s="49" customFormat="1" ht="15.75">
      <c r="B112" s="664"/>
      <c r="C112" s="664"/>
      <c r="D112" s="438" t="s">
        <v>341</v>
      </c>
      <c r="E112" s="1002"/>
      <c r="F112" s="494"/>
      <c r="G112" s="494"/>
      <c r="H112" s="679"/>
      <c r="I112" s="737" t="s">
        <v>715</v>
      </c>
      <c r="J112"/>
      <c r="K112"/>
      <c r="L112"/>
      <c r="M112" s="664"/>
      <c r="N112" s="451">
        <v>0</v>
      </c>
      <c r="O112" s="448"/>
    </row>
    <row r="113" spans="1:27" s="49" customFormat="1" ht="15.75">
      <c r="B113" s="664"/>
      <c r="C113" s="664"/>
      <c r="D113" s="438" t="s">
        <v>384</v>
      </c>
      <c r="F113" s="806" t="s">
        <v>973</v>
      </c>
      <c r="G113" s="807"/>
      <c r="H113" s="96"/>
      <c r="I113" s="96"/>
      <c r="J113" s="96"/>
      <c r="K113" s="96"/>
      <c r="L113" s="96"/>
      <c r="M113" s="96"/>
      <c r="N113" s="802"/>
      <c r="O113" s="802" t="s">
        <v>971</v>
      </c>
    </row>
    <row r="114" spans="1:27" s="164" customFormat="1" ht="15.75" thickBot="1">
      <c r="A114" s="96"/>
      <c r="B114" s="50"/>
      <c r="C114" s="50"/>
      <c r="D114" s="174" t="s">
        <v>385</v>
      </c>
      <c r="E114" s="493">
        <f>COUNTIF(E115:E118,$R$3)</f>
        <v>2</v>
      </c>
      <c r="F114" s="1388" t="s">
        <v>830</v>
      </c>
      <c r="G114" s="1380"/>
      <c r="H114" s="1378" t="s">
        <v>831</v>
      </c>
      <c r="I114" s="1379"/>
      <c r="J114" s="1379"/>
      <c r="K114" s="1379"/>
      <c r="L114" s="1380"/>
      <c r="M114" s="447"/>
      <c r="N114"/>
      <c r="O114"/>
      <c r="P114"/>
      <c r="Q114"/>
      <c r="R114"/>
      <c r="S114" s="140"/>
      <c r="T114" s="140"/>
      <c r="U114" s="140"/>
      <c r="V114" s="140"/>
      <c r="W114" s="140"/>
      <c r="X114" s="96"/>
      <c r="Y114" s="96"/>
    </row>
    <row r="115" spans="1:27" s="164" customFormat="1" ht="44.45" customHeight="1">
      <c r="A115" s="96"/>
      <c r="B115" s="50"/>
      <c r="C115" s="50"/>
      <c r="D115" s="439" t="s">
        <v>300</v>
      </c>
      <c r="E115" s="440"/>
      <c r="F115" s="1412" t="s">
        <v>880</v>
      </c>
      <c r="G115" s="1410"/>
      <c r="H115" s="1409" t="s">
        <v>881</v>
      </c>
      <c r="I115" s="1409"/>
      <c r="J115" s="1409"/>
      <c r="K115" s="1409"/>
      <c r="L115" s="1410"/>
      <c r="M115" s="96"/>
      <c r="N115"/>
      <c r="O115"/>
      <c r="P115"/>
      <c r="Q115"/>
      <c r="R115"/>
      <c r="S115" s="140"/>
      <c r="T115" s="140"/>
      <c r="U115" s="140"/>
      <c r="V115" s="140"/>
      <c r="W115" s="140"/>
      <c r="X115" s="96"/>
      <c r="Y115" s="96"/>
      <c r="Z115" s="140"/>
      <c r="AA115" s="140"/>
    </row>
    <row r="116" spans="1:27" s="164" customFormat="1" ht="31.9" customHeight="1">
      <c r="A116" s="96"/>
      <c r="B116" s="50"/>
      <c r="C116" s="50"/>
      <c r="D116" s="439" t="s">
        <v>301</v>
      </c>
      <c r="E116" s="441" t="s">
        <v>390</v>
      </c>
      <c r="F116" s="1412" t="s">
        <v>887</v>
      </c>
      <c r="G116" s="1410"/>
      <c r="H116" s="1409" t="s">
        <v>882</v>
      </c>
      <c r="I116" s="1409"/>
      <c r="J116" s="1409"/>
      <c r="K116" s="1409"/>
      <c r="L116" s="1410"/>
      <c r="M116" s="96"/>
      <c r="N116"/>
      <c r="O116"/>
      <c r="P116"/>
      <c r="Q116"/>
      <c r="R116"/>
      <c r="S116" s="140"/>
      <c r="T116" s="140"/>
      <c r="U116" s="140"/>
      <c r="V116" s="140"/>
      <c r="W116" s="140"/>
      <c r="X116" s="96"/>
      <c r="Y116" s="96"/>
      <c r="Z116" s="140"/>
      <c r="AA116" s="140"/>
    </row>
    <row r="117" spans="1:27" s="164" customFormat="1" ht="43.9" customHeight="1">
      <c r="A117" s="96"/>
      <c r="B117" s="50"/>
      <c r="C117" s="50"/>
      <c r="D117" s="439" t="s">
        <v>302</v>
      </c>
      <c r="E117" s="441" t="s">
        <v>390</v>
      </c>
      <c r="F117" s="1412" t="s">
        <v>883</v>
      </c>
      <c r="G117" s="1410"/>
      <c r="H117" s="1409" t="s">
        <v>884</v>
      </c>
      <c r="I117" s="1409"/>
      <c r="J117" s="1409"/>
      <c r="K117" s="1409"/>
      <c r="L117" s="1410"/>
      <c r="M117" s="96"/>
      <c r="N117"/>
      <c r="O117"/>
      <c r="P117"/>
      <c r="Q117"/>
      <c r="R117"/>
      <c r="S117" s="140"/>
      <c r="T117" s="140"/>
      <c r="U117" s="140"/>
      <c r="V117" s="140"/>
      <c r="W117" s="140"/>
      <c r="X117" s="96"/>
      <c r="Y117" s="96"/>
      <c r="Z117" s="140"/>
      <c r="AA117" s="140"/>
    </row>
    <row r="118" spans="1:27" s="164" customFormat="1" ht="31.9" customHeight="1" thickBot="1">
      <c r="A118" s="96"/>
      <c r="B118" s="50"/>
      <c r="C118" s="50"/>
      <c r="D118" s="439" t="s">
        <v>713</v>
      </c>
      <c r="E118" s="442"/>
      <c r="F118" s="1412" t="s">
        <v>885</v>
      </c>
      <c r="G118" s="1410"/>
      <c r="H118" s="1409" t="s">
        <v>886</v>
      </c>
      <c r="I118" s="1409"/>
      <c r="J118" s="1409"/>
      <c r="K118" s="1409"/>
      <c r="L118" s="1410"/>
      <c r="M118" s="96"/>
      <c r="N118"/>
      <c r="O118"/>
      <c r="P118"/>
      <c r="Q118"/>
      <c r="R118"/>
      <c r="S118" s="140"/>
      <c r="T118" s="140"/>
      <c r="U118" s="140"/>
      <c r="V118" s="140"/>
      <c r="W118" s="140"/>
      <c r="X118" s="96"/>
      <c r="Y118" s="96"/>
      <c r="Z118" s="140"/>
      <c r="AA118" s="140"/>
    </row>
    <row r="119" spans="1:27" customFormat="1">
      <c r="F119" s="306"/>
    </row>
    <row r="120" spans="1:27" s="50" customFormat="1" ht="15.75">
      <c r="B120" s="666" t="s">
        <v>1018</v>
      </c>
      <c r="C120" s="666"/>
      <c r="D120" s="672"/>
      <c r="F120" s="137"/>
      <c r="H120" s="677"/>
      <c r="I120" s="96"/>
      <c r="J120" s="96"/>
      <c r="K120" s="96"/>
      <c r="L120" s="96"/>
      <c r="M120" s="96"/>
    </row>
    <row r="121" spans="1:27" s="49" customFormat="1" ht="15.75">
      <c r="A121" s="664"/>
      <c r="B121" s="50"/>
      <c r="C121" s="668" t="s">
        <v>1019</v>
      </c>
      <c r="D121" s="163"/>
      <c r="E121" s="664"/>
      <c r="F121" s="675"/>
      <c r="G121" s="664"/>
      <c r="H121" s="664"/>
      <c r="I121" s="664"/>
      <c r="J121" s="664"/>
      <c r="K121" s="664"/>
      <c r="L121" s="174"/>
      <c r="M121" s="664"/>
      <c r="N121" s="96"/>
    </row>
    <row r="122" spans="1:27" s="49" customFormat="1" ht="16.5" thickBot="1">
      <c r="A122" s="664"/>
      <c r="B122" s="668"/>
      <c r="C122" s="668"/>
      <c r="D122" s="163" t="s">
        <v>1020</v>
      </c>
      <c r="E122" s="447"/>
      <c r="F122" s="495"/>
      <c r="G122" s="495"/>
      <c r="H122" s="495"/>
      <c r="I122" s="459"/>
      <c r="J122" s="447"/>
      <c r="K122" s="447"/>
      <c r="L122" s="738" t="s">
        <v>1272</v>
      </c>
      <c r="M122" s="447"/>
      <c r="N122" s="447"/>
      <c r="O122" s="62"/>
    </row>
    <row r="123" spans="1:27" s="49" customFormat="1" ht="16.5" thickBot="1">
      <c r="B123" s="664"/>
      <c r="C123" s="664"/>
      <c r="D123" s="1031">
        <f>IF(G130=O130,0,IF(E131&gt;=O128,N128,IF(E131&gt;=O127,N127,IF(E131&gt;=O126,N126,IF(E131&gt;=O125,N125,N124)))))</f>
        <v>3</v>
      </c>
      <c r="E123" s="453" t="s">
        <v>1229</v>
      </c>
      <c r="F123" s="453"/>
      <c r="G123" s="453"/>
      <c r="H123" s="453"/>
      <c r="I123" s="453"/>
      <c r="J123" s="453"/>
      <c r="K123" s="453"/>
      <c r="L123" s="454"/>
      <c r="M123" s="62"/>
      <c r="N123" s="448" t="s">
        <v>336</v>
      </c>
      <c r="O123" s="448" t="s">
        <v>337</v>
      </c>
    </row>
    <row r="124" spans="1:27" s="49" customFormat="1" ht="15.75">
      <c r="B124" s="664"/>
      <c r="C124" s="664"/>
      <c r="D124" s="435" t="str">
        <f>IF(ROUNDDOWN(D123,0)=$N$2,$P$2,$O$2)</f>
        <v>　レベル　1</v>
      </c>
      <c r="E124" s="460" t="s">
        <v>473</v>
      </c>
      <c r="F124" s="461"/>
      <c r="G124" s="461"/>
      <c r="H124" s="461"/>
      <c r="I124" s="461"/>
      <c r="J124" s="461"/>
      <c r="K124" s="461"/>
      <c r="L124" s="462"/>
      <c r="M124" s="664"/>
      <c r="N124" s="449">
        <v>1</v>
      </c>
      <c r="O124" s="448">
        <v>0</v>
      </c>
    </row>
    <row r="125" spans="1:27" s="49" customFormat="1" ht="15.75">
      <c r="B125" s="664"/>
      <c r="C125" s="664"/>
      <c r="D125" s="436" t="str">
        <f>IF(ROUNDDOWN(D123,0)=$N$3,$P$3,$O$3)</f>
        <v>　レベル　2</v>
      </c>
      <c r="E125" s="463" t="s">
        <v>540</v>
      </c>
      <c r="F125" s="464"/>
      <c r="G125" s="464"/>
      <c r="H125" s="464"/>
      <c r="I125" s="464"/>
      <c r="J125" s="464"/>
      <c r="K125" s="464"/>
      <c r="L125" s="465"/>
      <c r="M125" s="62"/>
      <c r="N125" s="449">
        <v>2</v>
      </c>
      <c r="O125" s="448">
        <v>1</v>
      </c>
    </row>
    <row r="126" spans="1:27" s="49" customFormat="1" ht="15.75">
      <c r="B126" s="664"/>
      <c r="C126" s="664"/>
      <c r="D126" s="436" t="str">
        <f>IF(ROUNDDOWN(D123,0)=$N$4,$P$4,$O$4)</f>
        <v>■レベル　3</v>
      </c>
      <c r="E126" s="463" t="s">
        <v>494</v>
      </c>
      <c r="F126" s="464"/>
      <c r="G126" s="464"/>
      <c r="H126" s="464"/>
      <c r="I126" s="464"/>
      <c r="J126" s="464"/>
      <c r="K126" s="464"/>
      <c r="L126" s="465"/>
      <c r="M126" s="664"/>
      <c r="N126" s="449">
        <v>3</v>
      </c>
      <c r="O126" s="448">
        <v>2</v>
      </c>
    </row>
    <row r="127" spans="1:27" s="49" customFormat="1" ht="15.75">
      <c r="B127" s="664"/>
      <c r="C127" s="664"/>
      <c r="D127" s="436" t="str">
        <f>IF(ROUNDDOWN(D123,0)=$N$5,$P$5,$O$5)</f>
        <v>　レベル　4</v>
      </c>
      <c r="E127" s="466" t="s">
        <v>495</v>
      </c>
      <c r="F127" s="467"/>
      <c r="G127" s="467"/>
      <c r="H127" s="467"/>
      <c r="I127" s="467"/>
      <c r="J127" s="467"/>
      <c r="K127" s="467"/>
      <c r="L127" s="468"/>
      <c r="M127" s="62"/>
      <c r="N127" s="449">
        <v>4</v>
      </c>
      <c r="O127" s="448">
        <v>3</v>
      </c>
    </row>
    <row r="128" spans="1:27" s="49" customFormat="1" ht="15.75">
      <c r="B128" s="664"/>
      <c r="C128" s="664"/>
      <c r="D128" s="437" t="str">
        <f>IF(ROUNDDOWN(D123,0)=$N$6,$P$6,$O$6)</f>
        <v>　レベル　5</v>
      </c>
      <c r="E128" s="469" t="s">
        <v>554</v>
      </c>
      <c r="F128" s="470"/>
      <c r="G128" s="470"/>
      <c r="H128" s="470"/>
      <c r="I128" s="470"/>
      <c r="J128" s="470"/>
      <c r="K128" s="470"/>
      <c r="L128" s="471"/>
      <c r="M128" s="664"/>
      <c r="N128" s="449">
        <v>5</v>
      </c>
      <c r="O128" s="448">
        <v>4</v>
      </c>
    </row>
    <row r="129" spans="1:27" s="49" customFormat="1" ht="15.75">
      <c r="B129" s="664"/>
      <c r="C129" s="664"/>
      <c r="D129" s="438" t="s">
        <v>341</v>
      </c>
      <c r="E129" s="1002"/>
      <c r="F129" s="494"/>
      <c r="G129" s="494"/>
      <c r="H129" s="679"/>
      <c r="I129" s="737" t="s">
        <v>715</v>
      </c>
      <c r="J129"/>
      <c r="K129"/>
      <c r="L129"/>
      <c r="M129" s="664"/>
      <c r="N129" s="451">
        <v>0</v>
      </c>
      <c r="O129" s="448"/>
    </row>
    <row r="130" spans="1:27" s="49" customFormat="1" ht="15.75">
      <c r="B130" s="664"/>
      <c r="C130" s="664"/>
      <c r="D130" s="438" t="s">
        <v>384</v>
      </c>
      <c r="F130" s="806" t="s">
        <v>973</v>
      </c>
      <c r="G130" s="807"/>
      <c r="H130" s="96"/>
      <c r="I130" s="96"/>
      <c r="J130" s="96"/>
      <c r="K130" s="96"/>
      <c r="L130" s="96"/>
      <c r="M130" s="96"/>
      <c r="N130" s="802"/>
      <c r="O130" s="802" t="s">
        <v>971</v>
      </c>
      <c r="P130"/>
      <c r="Q130"/>
    </row>
    <row r="131" spans="1:27" s="164" customFormat="1" ht="15.75" thickBot="1">
      <c r="A131" s="96"/>
      <c r="B131" s="50"/>
      <c r="C131" s="50"/>
      <c r="D131" s="174" t="s">
        <v>385</v>
      </c>
      <c r="E131" s="472">
        <f>COUNTIF(E132:E137,$R$3)</f>
        <v>2</v>
      </c>
      <c r="F131" s="1388" t="s">
        <v>830</v>
      </c>
      <c r="G131" s="1380"/>
      <c r="H131" s="1378" t="s">
        <v>831</v>
      </c>
      <c r="I131" s="1379"/>
      <c r="J131" s="1379"/>
      <c r="K131" s="1379"/>
      <c r="L131" s="1380"/>
      <c r="M131" s="447"/>
      <c r="N131"/>
      <c r="O131"/>
      <c r="P131"/>
      <c r="Q131"/>
      <c r="R131" s="140"/>
      <c r="S131" s="140"/>
      <c r="T131" s="140"/>
      <c r="U131" s="140"/>
      <c r="V131" s="140"/>
      <c r="W131" s="140"/>
      <c r="X131" s="140"/>
      <c r="Y131" s="140"/>
      <c r="Z131" s="96"/>
      <c r="AA131" s="96"/>
    </row>
    <row r="132" spans="1:27" s="164" customFormat="1" ht="41.45" customHeight="1">
      <c r="A132" s="96"/>
      <c r="B132" s="50"/>
      <c r="C132" s="50"/>
      <c r="D132" s="439" t="s">
        <v>300</v>
      </c>
      <c r="E132" s="440"/>
      <c r="F132" s="1412" t="s">
        <v>897</v>
      </c>
      <c r="G132" s="1410"/>
      <c r="H132" s="1434" t="s">
        <v>888</v>
      </c>
      <c r="I132" s="1434"/>
      <c r="J132" s="1434"/>
      <c r="K132" s="1434"/>
      <c r="L132" s="1435"/>
      <c r="M132" s="96"/>
      <c r="N132"/>
      <c r="O132"/>
      <c r="P132"/>
      <c r="Q132"/>
      <c r="R132" s="140"/>
      <c r="S132" s="140"/>
      <c r="T132" s="140"/>
      <c r="U132" s="140"/>
      <c r="V132" s="140"/>
      <c r="W132" s="140"/>
      <c r="X132" s="140"/>
      <c r="Y132" s="140"/>
      <c r="Z132" s="96"/>
      <c r="AA132" s="96"/>
    </row>
    <row r="133" spans="1:27" s="164" customFormat="1" ht="29.45" customHeight="1">
      <c r="A133" s="96"/>
      <c r="B133" s="50"/>
      <c r="C133" s="50"/>
      <c r="D133" s="439" t="s">
        <v>301</v>
      </c>
      <c r="E133" s="441"/>
      <c r="F133" s="1412" t="s">
        <v>898</v>
      </c>
      <c r="G133" s="1410"/>
      <c r="H133" s="1409" t="s">
        <v>889</v>
      </c>
      <c r="I133" s="1409"/>
      <c r="J133" s="1409"/>
      <c r="K133" s="1409"/>
      <c r="L133" s="1410"/>
      <c r="M133" s="96"/>
      <c r="N133"/>
      <c r="O133"/>
      <c r="P133"/>
      <c r="Q133"/>
      <c r="R133" s="140"/>
      <c r="S133" s="140"/>
      <c r="T133" s="140"/>
      <c r="U133" s="140"/>
      <c r="V133" s="140"/>
      <c r="W133" s="140"/>
      <c r="X133" s="140"/>
      <c r="Y133" s="140"/>
      <c r="Z133" s="96"/>
      <c r="AA133" s="96"/>
    </row>
    <row r="134" spans="1:27" s="164" customFormat="1" ht="29.45" customHeight="1">
      <c r="A134" s="96"/>
      <c r="B134" s="50"/>
      <c r="C134" s="50"/>
      <c r="D134" s="439" t="s">
        <v>302</v>
      </c>
      <c r="E134" s="441" t="s">
        <v>390</v>
      </c>
      <c r="F134" s="1412" t="s">
        <v>890</v>
      </c>
      <c r="G134" s="1410"/>
      <c r="H134" s="1409" t="s">
        <v>891</v>
      </c>
      <c r="I134" s="1409"/>
      <c r="J134" s="1409"/>
      <c r="K134" s="1409"/>
      <c r="L134" s="1410"/>
      <c r="M134" s="96"/>
      <c r="N134"/>
      <c r="O134"/>
      <c r="P134"/>
      <c r="Q134"/>
      <c r="R134" s="140"/>
      <c r="S134" s="140"/>
      <c r="T134" s="140"/>
      <c r="U134" s="140"/>
      <c r="V134" s="140"/>
      <c r="W134" s="140"/>
      <c r="X134" s="140"/>
      <c r="Y134" s="140"/>
      <c r="Z134" s="96"/>
      <c r="AA134" s="96"/>
    </row>
    <row r="135" spans="1:27" s="164" customFormat="1" ht="29.45" customHeight="1">
      <c r="A135" s="96"/>
      <c r="B135" s="50"/>
      <c r="C135" s="50"/>
      <c r="D135" s="439" t="s">
        <v>303</v>
      </c>
      <c r="E135" s="441"/>
      <c r="F135" s="1412" t="s">
        <v>899</v>
      </c>
      <c r="G135" s="1410"/>
      <c r="H135" s="1409" t="s">
        <v>892</v>
      </c>
      <c r="I135" s="1409"/>
      <c r="J135" s="1409"/>
      <c r="K135" s="1409"/>
      <c r="L135" s="1410"/>
      <c r="M135" s="96"/>
      <c r="N135"/>
      <c r="O135"/>
      <c r="P135"/>
      <c r="Q135"/>
      <c r="R135" s="140"/>
      <c r="S135" s="140"/>
      <c r="T135" s="140"/>
      <c r="U135" s="140"/>
      <c r="V135" s="140"/>
      <c r="W135" s="140"/>
      <c r="X135" s="140"/>
      <c r="Y135" s="140"/>
      <c r="Z135" s="96"/>
      <c r="AA135" s="96"/>
    </row>
    <row r="136" spans="1:27" s="164" customFormat="1" ht="29.45" customHeight="1">
      <c r="A136" s="96"/>
      <c r="B136" s="50"/>
      <c r="C136" s="50"/>
      <c r="D136" s="439" t="s">
        <v>304</v>
      </c>
      <c r="E136" s="441" t="s">
        <v>390</v>
      </c>
      <c r="F136" s="1412" t="s">
        <v>893</v>
      </c>
      <c r="G136" s="1410"/>
      <c r="H136" s="1409" t="s">
        <v>894</v>
      </c>
      <c r="I136" s="1409"/>
      <c r="J136" s="1409"/>
      <c r="K136" s="1409"/>
      <c r="L136" s="1410"/>
      <c r="M136" s="96"/>
      <c r="N136"/>
      <c r="O136"/>
      <c r="P136"/>
      <c r="Q136"/>
      <c r="R136" s="140"/>
      <c r="S136" s="140"/>
      <c r="T136" s="140"/>
      <c r="U136" s="140"/>
      <c r="V136" s="140"/>
      <c r="W136" s="140"/>
      <c r="X136" s="140"/>
      <c r="Y136" s="140"/>
      <c r="Z136" s="96"/>
      <c r="AA136" s="96"/>
    </row>
    <row r="137" spans="1:27" s="164" customFormat="1" ht="29.45" customHeight="1" thickBot="1">
      <c r="A137" s="96"/>
      <c r="B137" s="50"/>
      <c r="C137" s="50"/>
      <c r="D137" s="439" t="s">
        <v>305</v>
      </c>
      <c r="E137" s="442"/>
      <c r="F137" s="1412" t="s">
        <v>895</v>
      </c>
      <c r="G137" s="1410"/>
      <c r="H137" s="1409" t="s">
        <v>896</v>
      </c>
      <c r="I137" s="1409"/>
      <c r="J137" s="1409"/>
      <c r="K137" s="1409"/>
      <c r="L137" s="1410"/>
      <c r="M137" s="96"/>
      <c r="N137"/>
      <c r="O137"/>
      <c r="P137"/>
      <c r="Q137"/>
      <c r="R137" s="140"/>
      <c r="S137" s="140"/>
      <c r="T137" s="140"/>
      <c r="U137" s="140"/>
      <c r="V137" s="140"/>
      <c r="W137" s="140"/>
      <c r="X137" s="140"/>
      <c r="Y137" s="140"/>
      <c r="Z137" s="96"/>
      <c r="AA137" s="96"/>
    </row>
    <row r="138" spans="1:27" customFormat="1">
      <c r="F138" s="306"/>
    </row>
    <row r="139" spans="1:27" s="49" customFormat="1" ht="16.5" thickBot="1">
      <c r="A139" s="664"/>
      <c r="B139" s="668"/>
      <c r="C139" s="668"/>
      <c r="D139" s="163" t="s">
        <v>1021</v>
      </c>
      <c r="E139" s="664"/>
      <c r="F139" s="675"/>
      <c r="G139" s="675"/>
      <c r="H139" s="675"/>
      <c r="I139" s="459"/>
      <c r="J139" s="664"/>
      <c r="K139" s="664"/>
      <c r="L139" s="738" t="s">
        <v>1272</v>
      </c>
      <c r="M139" s="664"/>
      <c r="N139" s="62"/>
      <c r="O139" s="62"/>
    </row>
    <row r="140" spans="1:27" s="49" customFormat="1" ht="16.5" thickBot="1">
      <c r="B140" s="664"/>
      <c r="C140" s="664"/>
      <c r="D140" s="434">
        <v>3</v>
      </c>
      <c r="E140" s="453" t="s">
        <v>1229</v>
      </c>
      <c r="F140" s="453"/>
      <c r="G140" s="453"/>
      <c r="H140" s="453"/>
      <c r="I140" s="453"/>
      <c r="J140" s="453"/>
      <c r="K140" s="453"/>
      <c r="L140" s="454"/>
      <c r="M140" s="62"/>
      <c r="N140" s="448" t="s">
        <v>336</v>
      </c>
      <c r="O140" s="448" t="s">
        <v>337</v>
      </c>
    </row>
    <row r="141" spans="1:27" s="49" customFormat="1" ht="15.75">
      <c r="B141" s="664"/>
      <c r="C141" s="664"/>
      <c r="D141" s="435" t="str">
        <f>IF(ROUNDDOWN(D140,0)=$N$2,$P$2,$O$2)</f>
        <v>　レベル　1</v>
      </c>
      <c r="E141" s="460" t="s">
        <v>555</v>
      </c>
      <c r="F141" s="500"/>
      <c r="G141" s="500"/>
      <c r="H141" s="500"/>
      <c r="I141" s="500"/>
      <c r="J141" s="500"/>
      <c r="K141" s="500"/>
      <c r="L141" s="508"/>
      <c r="M141" s="664"/>
      <c r="N141" s="449">
        <v>1</v>
      </c>
      <c r="O141" s="450"/>
    </row>
    <row r="142" spans="1:27" s="49" customFormat="1" ht="15.75">
      <c r="B142" s="664"/>
      <c r="C142" s="664"/>
      <c r="D142" s="436" t="str">
        <f>IF(ROUNDDOWN(D140,0)=$N$3,$P$3,$O$3)</f>
        <v>　レベル　2</v>
      </c>
      <c r="E142" s="463" t="s">
        <v>414</v>
      </c>
      <c r="F142" s="501"/>
      <c r="G142" s="501"/>
      <c r="H142" s="501"/>
      <c r="I142" s="501"/>
      <c r="J142" s="501"/>
      <c r="K142" s="501"/>
      <c r="L142" s="509"/>
      <c r="M142" s="62"/>
      <c r="N142" s="449" t="s">
        <v>312</v>
      </c>
      <c r="O142" s="450"/>
    </row>
    <row r="143" spans="1:27" s="49" customFormat="1" ht="15.75">
      <c r="B143" s="664"/>
      <c r="C143" s="664"/>
      <c r="D143" s="436" t="str">
        <f>IF(ROUNDDOWN(D140,0)=$N$4,$P$4,$O$4)</f>
        <v>■レベル　3</v>
      </c>
      <c r="E143" s="463" t="s">
        <v>556</v>
      </c>
      <c r="F143" s="501"/>
      <c r="G143" s="501"/>
      <c r="H143" s="501"/>
      <c r="I143" s="501"/>
      <c r="J143" s="501"/>
      <c r="K143" s="501"/>
      <c r="L143" s="509"/>
      <c r="M143" s="664"/>
      <c r="N143" s="449">
        <v>3</v>
      </c>
      <c r="O143" s="450"/>
    </row>
    <row r="144" spans="1:27" s="49" customFormat="1" ht="15.75">
      <c r="B144" s="664"/>
      <c r="C144" s="664"/>
      <c r="D144" s="436" t="str">
        <f>IF(ROUNDDOWN(D140,0)=$N$5,$P$5,$O$5)</f>
        <v>　レベル　4</v>
      </c>
      <c r="E144" s="466" t="s">
        <v>414</v>
      </c>
      <c r="F144" s="502"/>
      <c r="G144" s="502"/>
      <c r="H144" s="502"/>
      <c r="I144" s="502"/>
      <c r="J144" s="502"/>
      <c r="K144" s="502"/>
      <c r="L144" s="510"/>
      <c r="M144" s="62"/>
      <c r="N144" s="449" t="s">
        <v>312</v>
      </c>
      <c r="O144" s="450"/>
    </row>
    <row r="145" spans="1:25" s="49" customFormat="1" ht="15.75">
      <c r="B145" s="664"/>
      <c r="C145" s="664"/>
      <c r="D145" s="437" t="str">
        <f>IF(ROUNDDOWN(D140,0)=$N$6,$P$6,$O$6)</f>
        <v>　レベル　5</v>
      </c>
      <c r="E145" s="469" t="s">
        <v>557</v>
      </c>
      <c r="F145" s="480"/>
      <c r="G145" s="480"/>
      <c r="H145" s="480"/>
      <c r="I145" s="480"/>
      <c r="J145" s="480"/>
      <c r="K145" s="480"/>
      <c r="L145" s="511"/>
      <c r="M145" s="664"/>
      <c r="N145" s="449">
        <v>5</v>
      </c>
      <c r="O145" s="450"/>
    </row>
    <row r="146" spans="1:25" s="49" customFormat="1" ht="15.75">
      <c r="B146" s="664"/>
      <c r="C146" s="664"/>
      <c r="D146" s="438" t="s">
        <v>341</v>
      </c>
      <c r="E146" s="1002"/>
      <c r="F146" s="494"/>
      <c r="G146" s="494"/>
      <c r="H146" s="679"/>
      <c r="I146"/>
      <c r="J146"/>
      <c r="K146"/>
      <c r="L146"/>
      <c r="M146" s="62"/>
      <c r="N146" s="451">
        <v>0</v>
      </c>
      <c r="O146" s="452"/>
    </row>
    <row r="147" spans="1:25" customFormat="1">
      <c r="F147" s="306"/>
    </row>
    <row r="148" spans="1:25" s="50" customFormat="1" ht="15.75">
      <c r="C148" s="666" t="s">
        <v>1022</v>
      </c>
      <c r="D148" s="672"/>
      <c r="F148" s="137"/>
      <c r="H148" s="677"/>
      <c r="I148" s="96"/>
      <c r="J148" s="96"/>
      <c r="K148" s="96"/>
      <c r="L148" s="96"/>
      <c r="M148" s="96"/>
    </row>
    <row r="149" spans="1:25" s="50" customFormat="1" ht="15.75">
      <c r="B149" s="666"/>
      <c r="C149" s="666"/>
      <c r="D149" s="163" t="s">
        <v>1023</v>
      </c>
      <c r="E149" s="664"/>
      <c r="F149" s="675"/>
      <c r="G149" s="664"/>
      <c r="H149" s="664"/>
      <c r="I149" s="459"/>
      <c r="J149" s="664"/>
      <c r="K149" s="664"/>
      <c r="L149" s="676"/>
      <c r="M149" s="664"/>
      <c r="N149" s="62"/>
      <c r="O149" s="62"/>
    </row>
    <row r="150" spans="1:25" s="50" customFormat="1" ht="16.5" thickBot="1">
      <c r="B150" s="666"/>
      <c r="C150" s="666"/>
      <c r="D150" s="1009" t="s">
        <v>1218</v>
      </c>
      <c r="E150" s="453" t="s">
        <v>1229</v>
      </c>
      <c r="F150" s="453"/>
      <c r="G150" s="453"/>
      <c r="H150" s="453"/>
      <c r="I150" s="453"/>
      <c r="J150" s="453"/>
      <c r="K150" s="453"/>
      <c r="L150" s="454"/>
      <c r="M150" s="62"/>
      <c r="N150"/>
      <c r="O150"/>
      <c r="P150"/>
      <c r="Q150"/>
    </row>
    <row r="151" spans="1:25" s="49" customFormat="1" ht="16.5" thickBot="1">
      <c r="B151" s="664"/>
      <c r="C151" s="664"/>
      <c r="D151" s="1031">
        <f>E151*G151/100+I151*K151/100</f>
        <v>3</v>
      </c>
      <c r="E151" s="1031">
        <f>IF(E159&gt;=O156,N156,IF(E159&gt;=O155,N155,IF(E159&gt;=O154,N154,IF(E159&gt;=O153,N153,N152))))</f>
        <v>5</v>
      </c>
      <c r="F151" s="455" t="s">
        <v>558</v>
      </c>
      <c r="G151" s="455">
        <f>メイン!C23</f>
        <v>0</v>
      </c>
      <c r="H151" s="455" t="s">
        <v>16</v>
      </c>
      <c r="I151" s="1031">
        <f>IF(E159&gt;=P156,N156,IF(E159&gt;=P155,N155,IF(E159&gt;=P154,N154,IF(E159&gt;=P153,N153,N152))))</f>
        <v>3</v>
      </c>
      <c r="J151" s="455" t="s">
        <v>559</v>
      </c>
      <c r="K151" s="453">
        <f>メイン!D23</f>
        <v>100</v>
      </c>
      <c r="L151" s="455" t="s">
        <v>16</v>
      </c>
      <c r="M151" s="62"/>
      <c r="N151" s="448" t="s">
        <v>336</v>
      </c>
      <c r="O151" s="339" t="s">
        <v>558</v>
      </c>
      <c r="P151" s="339" t="s">
        <v>559</v>
      </c>
      <c r="Q151"/>
    </row>
    <row r="152" spans="1:25" s="49" customFormat="1" ht="15.75">
      <c r="B152" s="664"/>
      <c r="C152" s="664"/>
      <c r="D152" s="435" t="str">
        <f>IF(ROUNDDOWN(D151,0)=$N$2,$P$2,$O$2)</f>
        <v>　レベル　1</v>
      </c>
      <c r="E152" s="435" t="str">
        <f>IF(ROUNDDOWN(E151,0)=$N$2,$P$2,$O$2)</f>
        <v>　レベル　1</v>
      </c>
      <c r="F152" s="460" t="s">
        <v>338</v>
      </c>
      <c r="G152" s="461"/>
      <c r="H152" s="461"/>
      <c r="I152" s="435" t="str">
        <f>IF(ROUNDDOWN(I151,0)=$N$2,$P$2,$O$2)</f>
        <v>　レベル　1</v>
      </c>
      <c r="J152" s="500" t="s">
        <v>1289</v>
      </c>
      <c r="K152" s="461"/>
      <c r="L152" s="462"/>
      <c r="M152" s="56"/>
      <c r="N152" s="449">
        <v>1</v>
      </c>
      <c r="O152" s="450" t="s">
        <v>312</v>
      </c>
      <c r="P152" s="450">
        <v>0</v>
      </c>
      <c r="Q152" s="5"/>
    </row>
    <row r="153" spans="1:25" s="49" customFormat="1" ht="15.75">
      <c r="B153" s="664"/>
      <c r="C153" s="664"/>
      <c r="D153" s="436" t="str">
        <f>IF(ROUNDDOWN(D151,0)=$N$3,$P$3,$O$3)</f>
        <v>　レベル　2</v>
      </c>
      <c r="E153" s="436" t="str">
        <f>IF(ROUNDDOWN(E151,0)=$N$3,$P$3,$O$3)</f>
        <v>　レベル　2</v>
      </c>
      <c r="F153" s="463" t="s">
        <v>338</v>
      </c>
      <c r="G153" s="464"/>
      <c r="H153" s="464"/>
      <c r="I153" s="436" t="str">
        <f>IF(ROUNDDOWN(I151,0)=$N$3,$P$3,$O$3)</f>
        <v>　レベル　2</v>
      </c>
      <c r="J153" s="501" t="s">
        <v>1290</v>
      </c>
      <c r="K153" s="464"/>
      <c r="L153" s="465"/>
      <c r="M153" s="62"/>
      <c r="N153" s="449">
        <v>2</v>
      </c>
      <c r="O153" s="450" t="s">
        <v>312</v>
      </c>
      <c r="P153" s="450">
        <v>1</v>
      </c>
    </row>
    <row r="154" spans="1:25" s="49" customFormat="1" ht="15.75">
      <c r="B154" s="664"/>
      <c r="C154" s="664"/>
      <c r="D154" s="436" t="str">
        <f>IF(ROUNDDOWN(D151,0)=$N$4,$P$4,$O$4)</f>
        <v>■レベル　3</v>
      </c>
      <c r="E154" s="436" t="str">
        <f>IF(ROUNDDOWN(E151,0)=$N$4,$P$4,$O$4)</f>
        <v>　レベル　3</v>
      </c>
      <c r="F154" s="463" t="s">
        <v>900</v>
      </c>
      <c r="G154" s="464"/>
      <c r="H154" s="464"/>
      <c r="I154" s="436" t="str">
        <f>IF(ROUNDDOWN(I151,0)=$N$4,$P$4,$O$4)</f>
        <v>■レベル　3</v>
      </c>
      <c r="J154" s="501" t="s">
        <v>1291</v>
      </c>
      <c r="K154" s="464"/>
      <c r="L154" s="465"/>
      <c r="M154" s="56"/>
      <c r="N154" s="449">
        <v>3</v>
      </c>
      <c r="O154" s="450">
        <v>0</v>
      </c>
      <c r="P154" s="450">
        <v>2</v>
      </c>
    </row>
    <row r="155" spans="1:25" s="49" customFormat="1" ht="15.75">
      <c r="B155" s="664"/>
      <c r="C155" s="664"/>
      <c r="D155" s="436" t="str">
        <f>IF(ROUNDDOWN(D151,0)=$N$5,$P$5,$O$5)</f>
        <v>　レベル　4</v>
      </c>
      <c r="E155" s="436" t="str">
        <f>IF(ROUNDDOWN(E151,0)=$N$5,$P$5,$O$5)</f>
        <v>　レベル　4</v>
      </c>
      <c r="F155" s="466" t="s">
        <v>901</v>
      </c>
      <c r="G155" s="467"/>
      <c r="H155" s="467"/>
      <c r="I155" s="436" t="str">
        <f>IF(ROUNDDOWN(I151,0)=$N$5,$P$5,$O$5)</f>
        <v>　レベル　4</v>
      </c>
      <c r="J155" s="502" t="s">
        <v>1292</v>
      </c>
      <c r="K155" s="467"/>
      <c r="L155" s="468"/>
      <c r="M155" s="62"/>
      <c r="N155" s="449">
        <v>4</v>
      </c>
      <c r="O155" s="450">
        <v>1</v>
      </c>
      <c r="P155" s="450">
        <v>3</v>
      </c>
    </row>
    <row r="156" spans="1:25" s="49" customFormat="1" ht="15.75">
      <c r="B156" s="664"/>
      <c r="C156" s="664"/>
      <c r="D156" s="437" t="str">
        <f>IF(ROUNDDOWN(D151,0)=$N$6,$P$6,$O$6)</f>
        <v>　レベル　5</v>
      </c>
      <c r="E156" s="437" t="str">
        <f>IF(ROUNDDOWN(E151,0)=$N$6,$P$6,$O$6)</f>
        <v>■レベル　5</v>
      </c>
      <c r="F156" s="469" t="s">
        <v>902</v>
      </c>
      <c r="G156" s="470"/>
      <c r="H156" s="470"/>
      <c r="I156" s="437" t="str">
        <f>IF(ROUNDDOWN(I151,0)=$N$6,$P$6,$O$6)</f>
        <v>　レベル　5</v>
      </c>
      <c r="J156" s="480" t="s">
        <v>1293</v>
      </c>
      <c r="K156" s="470"/>
      <c r="L156" s="471"/>
      <c r="M156" s="56"/>
      <c r="N156" s="449">
        <v>5</v>
      </c>
      <c r="O156" s="450">
        <v>2</v>
      </c>
      <c r="P156" s="450">
        <v>4</v>
      </c>
    </row>
    <row r="157" spans="1:25" s="49" customFormat="1" ht="15.75">
      <c r="B157" s="664"/>
      <c r="C157" s="664"/>
      <c r="D157" s="438" t="s">
        <v>341</v>
      </c>
      <c r="E157" s="1002"/>
      <c r="F157" s="494"/>
      <c r="G157" s="494"/>
      <c r="H157" s="679"/>
      <c r="I157"/>
      <c r="J157"/>
      <c r="K157"/>
      <c r="L157"/>
      <c r="M157" s="56"/>
      <c r="N157" s="449" t="s">
        <v>312</v>
      </c>
      <c r="O157" s="452"/>
      <c r="P157" s="452"/>
    </row>
    <row r="158" spans="1:25" s="49" customFormat="1" ht="15.75">
      <c r="B158" s="664"/>
      <c r="C158" s="664"/>
      <c r="D158" s="438" t="s">
        <v>384</v>
      </c>
      <c r="E158" s="447"/>
      <c r="F158" s="495"/>
      <c r="G158" s="447"/>
      <c r="H158" s="447"/>
      <c r="I158" s="447"/>
      <c r="J158" s="447"/>
      <c r="K158" s="447"/>
      <c r="L158" s="447"/>
      <c r="M158" s="447"/>
      <c r="Q158" s="62"/>
    </row>
    <row r="159" spans="1:25" s="164" customFormat="1" ht="15.75" thickBot="1">
      <c r="A159" s="96"/>
      <c r="B159" s="50"/>
      <c r="C159" s="50"/>
      <c r="D159" s="174" t="s">
        <v>385</v>
      </c>
      <c r="E159" s="472">
        <f>COUNTIF(E160:E165,$R$3)</f>
        <v>2</v>
      </c>
      <c r="F159" s="1388" t="s">
        <v>830</v>
      </c>
      <c r="G159" s="1390"/>
      <c r="H159" s="1389" t="s">
        <v>831</v>
      </c>
      <c r="I159" s="1389"/>
      <c r="J159" s="1389"/>
      <c r="K159" s="1389"/>
      <c r="L159" s="1390"/>
      <c r="M159" s="447"/>
      <c r="N159"/>
      <c r="O159"/>
      <c r="P159"/>
      <c r="Q159"/>
      <c r="R159" s="140"/>
      <c r="S159" s="140"/>
      <c r="T159" s="140"/>
      <c r="U159" s="140"/>
      <c r="V159" s="140"/>
      <c r="W159" s="140"/>
      <c r="X159" s="96"/>
      <c r="Y159" s="96"/>
    </row>
    <row r="160" spans="1:25" s="164" customFormat="1" ht="32.450000000000003" customHeight="1">
      <c r="A160" s="96"/>
      <c r="B160" s="50"/>
      <c r="C160" s="50"/>
      <c r="D160" s="439" t="s">
        <v>300</v>
      </c>
      <c r="E160" s="440" t="s">
        <v>390</v>
      </c>
      <c r="F160" s="1412" t="s">
        <v>903</v>
      </c>
      <c r="G160" s="1409"/>
      <c r="H160" s="1433" t="s">
        <v>904</v>
      </c>
      <c r="I160" s="1409"/>
      <c r="J160" s="1409"/>
      <c r="K160" s="1409"/>
      <c r="L160" s="1410"/>
      <c r="M160"/>
      <c r="N160"/>
      <c r="O160"/>
      <c r="P160"/>
      <c r="Q160"/>
      <c r="R160" s="140"/>
      <c r="S160" s="140"/>
      <c r="T160" s="140"/>
      <c r="U160" s="140"/>
      <c r="V160" s="140"/>
      <c r="W160" s="140"/>
      <c r="X160" s="96"/>
      <c r="Y160" s="96"/>
    </row>
    <row r="161" spans="1:27" s="164" customFormat="1" ht="32.450000000000003" customHeight="1">
      <c r="A161" s="96"/>
      <c r="B161" s="50"/>
      <c r="C161" s="50"/>
      <c r="D161" s="439" t="s">
        <v>301</v>
      </c>
      <c r="E161" s="441"/>
      <c r="F161" s="1412" t="s">
        <v>905</v>
      </c>
      <c r="G161" s="1409"/>
      <c r="H161" s="1433" t="s">
        <v>906</v>
      </c>
      <c r="I161" s="1409"/>
      <c r="J161" s="1409"/>
      <c r="K161" s="1409"/>
      <c r="L161" s="1410"/>
      <c r="M161"/>
      <c r="N161"/>
      <c r="O161"/>
      <c r="P161"/>
      <c r="Q161"/>
      <c r="R161" s="140"/>
      <c r="S161" s="140"/>
      <c r="T161" s="140"/>
      <c r="U161" s="140"/>
      <c r="V161" s="140"/>
      <c r="W161" s="140"/>
      <c r="X161" s="96"/>
      <c r="Y161" s="96"/>
    </row>
    <row r="162" spans="1:27" s="164" customFormat="1" ht="32.450000000000003" customHeight="1">
      <c r="A162" s="96"/>
      <c r="B162" s="50"/>
      <c r="C162" s="50"/>
      <c r="D162" s="439" t="s">
        <v>302</v>
      </c>
      <c r="E162" s="441"/>
      <c r="F162" s="1412" t="s">
        <v>907</v>
      </c>
      <c r="G162" s="1409"/>
      <c r="H162" s="1433" t="s">
        <v>908</v>
      </c>
      <c r="I162" s="1409"/>
      <c r="J162" s="1409"/>
      <c r="K162" s="1409"/>
      <c r="L162" s="1410"/>
      <c r="M162"/>
      <c r="N162"/>
      <c r="O162"/>
      <c r="P162"/>
      <c r="Q162"/>
      <c r="R162" s="140"/>
      <c r="S162" s="140"/>
      <c r="T162" s="140"/>
      <c r="U162" s="140"/>
      <c r="V162" s="140"/>
      <c r="W162" s="140"/>
      <c r="X162" s="96"/>
      <c r="Y162" s="96"/>
    </row>
    <row r="163" spans="1:27" s="164" customFormat="1" ht="32.450000000000003" customHeight="1">
      <c r="A163" s="96"/>
      <c r="B163" s="50"/>
      <c r="C163" s="50"/>
      <c r="D163" s="439" t="s">
        <v>303</v>
      </c>
      <c r="E163" s="441" t="s">
        <v>390</v>
      </c>
      <c r="F163" s="1412" t="s">
        <v>909</v>
      </c>
      <c r="G163" s="1409"/>
      <c r="H163" s="1433" t="s">
        <v>910</v>
      </c>
      <c r="I163" s="1409"/>
      <c r="J163" s="1409"/>
      <c r="K163" s="1409"/>
      <c r="L163" s="1410"/>
      <c r="M163"/>
      <c r="N163"/>
      <c r="O163"/>
      <c r="P163"/>
      <c r="Q163"/>
      <c r="R163" s="140"/>
      <c r="S163" s="140"/>
      <c r="T163" s="140"/>
      <c r="U163" s="140"/>
      <c r="V163" s="140"/>
      <c r="W163" s="140"/>
      <c r="X163" s="96"/>
      <c r="Y163" s="96"/>
    </row>
    <row r="164" spans="1:27" s="164" customFormat="1" ht="32.450000000000003" customHeight="1">
      <c r="A164" s="96"/>
      <c r="B164" s="50"/>
      <c r="C164" s="50"/>
      <c r="D164" s="439" t="s">
        <v>304</v>
      </c>
      <c r="E164" s="441"/>
      <c r="F164" s="1413" t="s">
        <v>911</v>
      </c>
      <c r="G164" s="1416"/>
      <c r="H164" s="1433" t="s">
        <v>912</v>
      </c>
      <c r="I164" s="1409"/>
      <c r="J164" s="1409"/>
      <c r="K164" s="1409"/>
      <c r="L164" s="1410"/>
      <c r="M164"/>
      <c r="N164"/>
      <c r="O164"/>
      <c r="P164"/>
      <c r="Q164"/>
      <c r="R164" s="140"/>
      <c r="S164" s="140"/>
      <c r="T164" s="140"/>
      <c r="U164" s="140"/>
      <c r="V164" s="140"/>
      <c r="W164" s="140"/>
      <c r="X164" s="96"/>
      <c r="Y164" s="96"/>
    </row>
    <row r="165" spans="1:27" s="164" customFormat="1" ht="32.450000000000003" customHeight="1" thickBot="1">
      <c r="A165" s="96"/>
      <c r="B165" s="50"/>
      <c r="C165" s="50"/>
      <c r="D165" s="439" t="s">
        <v>305</v>
      </c>
      <c r="E165" s="442"/>
      <c r="F165" s="1412" t="s">
        <v>895</v>
      </c>
      <c r="G165" s="1409"/>
      <c r="H165" s="1433" t="s">
        <v>896</v>
      </c>
      <c r="I165" s="1409"/>
      <c r="J165" s="1409"/>
      <c r="K165" s="1409"/>
      <c r="L165" s="1410"/>
      <c r="M165"/>
      <c r="N165"/>
      <c r="O165"/>
      <c r="P165"/>
      <c r="Q165"/>
      <c r="R165" s="140"/>
      <c r="S165" s="140"/>
      <c r="T165" s="140"/>
      <c r="U165" s="140"/>
      <c r="V165" s="140"/>
      <c r="W165" s="140"/>
      <c r="X165" s="96"/>
      <c r="Y165" s="96"/>
      <c r="Z165" s="140"/>
      <c r="AA165" s="140"/>
    </row>
    <row r="166" spans="1:27" customFormat="1">
      <c r="F166" s="306"/>
    </row>
    <row r="167" spans="1:27" s="49" customFormat="1" ht="16.5" thickBot="1">
      <c r="A167" s="664"/>
      <c r="B167" s="668"/>
      <c r="C167" s="668"/>
      <c r="D167" s="163" t="s">
        <v>1024</v>
      </c>
      <c r="E167" s="447"/>
      <c r="F167" s="495"/>
      <c r="G167" s="495"/>
      <c r="H167" s="495"/>
      <c r="I167" s="459"/>
      <c r="J167" s="447"/>
      <c r="K167" s="447"/>
      <c r="L167" s="447"/>
      <c r="M167" s="447"/>
      <c r="N167" s="447"/>
      <c r="O167" s="62"/>
      <c r="P167"/>
      <c r="Q167"/>
    </row>
    <row r="168" spans="1:27" s="49" customFormat="1" ht="16.5" thickBot="1">
      <c r="B168" s="664"/>
      <c r="C168" s="664"/>
      <c r="D168" s="1031">
        <f>IF(E176&gt;=O173,N173,IF(E176&gt;=O172,N172,IF(E176&gt;=O171,N171,IF(E176&gt;=O170,N170,N169))))</f>
        <v>3</v>
      </c>
      <c r="E168" s="453" t="s">
        <v>1229</v>
      </c>
      <c r="F168" s="453"/>
      <c r="G168" s="453"/>
      <c r="H168" s="453"/>
      <c r="I168" s="453"/>
      <c r="J168" s="453"/>
      <c r="K168" s="453"/>
      <c r="L168" s="454"/>
      <c r="M168" s="62"/>
      <c r="N168" s="448" t="s">
        <v>336</v>
      </c>
      <c r="O168" s="448" t="s">
        <v>337</v>
      </c>
      <c r="P168"/>
      <c r="Q168"/>
    </row>
    <row r="169" spans="1:27" s="49" customFormat="1" ht="15.75">
      <c r="B169" s="664"/>
      <c r="C169" s="664"/>
      <c r="D169" s="435" t="str">
        <f>IF(ROUNDDOWN(D168,0)=$N$2,$P$2,$O$2)</f>
        <v>　レベル　1</v>
      </c>
      <c r="E169" s="1027" t="s">
        <v>900</v>
      </c>
      <c r="F169" s="461"/>
      <c r="G169" s="461"/>
      <c r="H169" s="461"/>
      <c r="I169" s="461"/>
      <c r="J169" s="461"/>
      <c r="K169" s="461"/>
      <c r="L169" s="462"/>
      <c r="M169" s="664"/>
      <c r="N169" s="449">
        <v>1</v>
      </c>
      <c r="O169" s="448">
        <v>0</v>
      </c>
      <c r="P169"/>
      <c r="Q169"/>
    </row>
    <row r="170" spans="1:27" s="49" customFormat="1" ht="15.75">
      <c r="B170" s="664"/>
      <c r="C170" s="664"/>
      <c r="D170" s="436" t="str">
        <f>IF(ROUNDDOWN(D168,0)=$N$3,$P$3,$O$3)</f>
        <v>　レベル　2</v>
      </c>
      <c r="E170" s="1024" t="s">
        <v>520</v>
      </c>
      <c r="F170" s="464"/>
      <c r="G170" s="464"/>
      <c r="H170" s="464"/>
      <c r="I170" s="464"/>
      <c r="J170" s="464"/>
      <c r="K170" s="464"/>
      <c r="L170" s="465"/>
      <c r="M170" s="62"/>
      <c r="N170" s="449">
        <v>2</v>
      </c>
      <c r="O170" s="448">
        <v>1</v>
      </c>
      <c r="P170"/>
      <c r="Q170"/>
    </row>
    <row r="171" spans="1:27" s="49" customFormat="1" ht="15.75">
      <c r="B171" s="664"/>
      <c r="C171" s="664"/>
      <c r="D171" s="436" t="str">
        <f>IF(ROUNDDOWN(D168,0)=$N$4,$P$4,$O$4)</f>
        <v>■レベル　3</v>
      </c>
      <c r="E171" s="1024" t="s">
        <v>1326</v>
      </c>
      <c r="F171" s="464"/>
      <c r="G171" s="464"/>
      <c r="H171" s="464"/>
      <c r="I171" s="464"/>
      <c r="J171" s="464"/>
      <c r="K171" s="464"/>
      <c r="L171" s="465"/>
      <c r="M171" s="664"/>
      <c r="N171" s="449">
        <v>3</v>
      </c>
      <c r="O171" s="448">
        <v>2</v>
      </c>
      <c r="P171"/>
      <c r="Q171"/>
    </row>
    <row r="172" spans="1:27" s="49" customFormat="1" ht="15.75">
      <c r="B172" s="664"/>
      <c r="C172" s="664"/>
      <c r="D172" s="436" t="str">
        <f>IF(ROUNDDOWN(D168,0)=$N$5,$P$5,$O$5)</f>
        <v>　レベル　4</v>
      </c>
      <c r="E172" s="1024" t="s">
        <v>1327</v>
      </c>
      <c r="F172" s="467"/>
      <c r="G172" s="467"/>
      <c r="H172" s="467"/>
      <c r="I172" s="467"/>
      <c r="J172" s="467"/>
      <c r="K172" s="467"/>
      <c r="L172" s="468"/>
      <c r="M172" s="62"/>
      <c r="N172" s="449">
        <v>4</v>
      </c>
      <c r="O172" s="448">
        <v>4</v>
      </c>
      <c r="P172"/>
      <c r="Q172"/>
    </row>
    <row r="173" spans="1:27" s="49" customFormat="1" ht="15.75">
      <c r="B173" s="664"/>
      <c r="C173" s="664"/>
      <c r="D173" s="437" t="str">
        <f>IF(ROUNDDOWN(D168,0)=$N$6,$P$6,$O$6)</f>
        <v>　レベル　5</v>
      </c>
      <c r="E173" s="1026" t="s">
        <v>913</v>
      </c>
      <c r="F173" s="470"/>
      <c r="G173" s="470"/>
      <c r="H173" s="470"/>
      <c r="I173" s="470"/>
      <c r="J173" s="470"/>
      <c r="K173" s="470"/>
      <c r="L173" s="471"/>
      <c r="M173" s="664"/>
      <c r="N173" s="449">
        <v>5</v>
      </c>
      <c r="O173" s="448">
        <v>6</v>
      </c>
      <c r="P173"/>
      <c r="Q173"/>
    </row>
    <row r="174" spans="1:27" s="49" customFormat="1" ht="15.75">
      <c r="B174" s="664"/>
      <c r="C174" s="664"/>
      <c r="D174" s="438" t="s">
        <v>341</v>
      </c>
      <c r="E174" s="1002"/>
      <c r="F174" s="494"/>
      <c r="G174" s="494"/>
      <c r="H174" s="679"/>
      <c r="I174"/>
      <c r="J174"/>
      <c r="K174"/>
      <c r="L174"/>
      <c r="M174" s="664"/>
      <c r="N174" s="449" t="s">
        <v>312</v>
      </c>
      <c r="O174" s="448"/>
      <c r="P174"/>
      <c r="Q174"/>
    </row>
    <row r="175" spans="1:27" s="49" customFormat="1" ht="15.75">
      <c r="B175" s="664"/>
      <c r="C175" s="664"/>
      <c r="D175" s="438" t="s">
        <v>384</v>
      </c>
      <c r="E175" s="447"/>
      <c r="F175" s="495"/>
      <c r="G175" s="495"/>
      <c r="H175" s="495"/>
      <c r="I175" s="495"/>
      <c r="J175" s="447"/>
      <c r="K175" s="447"/>
      <c r="L175" s="447"/>
      <c r="M175" s="447"/>
      <c r="P175"/>
      <c r="Q175"/>
    </row>
    <row r="176" spans="1:27" s="164" customFormat="1" ht="15.75" thickBot="1">
      <c r="A176" s="96"/>
      <c r="B176" s="50"/>
      <c r="C176" s="50"/>
      <c r="D176" s="174" t="s">
        <v>385</v>
      </c>
      <c r="E176" s="472">
        <f>COUNTIF(E177:E186,$R$3)</f>
        <v>2</v>
      </c>
      <c r="F176" s="793" t="s">
        <v>830</v>
      </c>
      <c r="G176" s="1378" t="s">
        <v>831</v>
      </c>
      <c r="H176" s="1379"/>
      <c r="I176" s="1379"/>
      <c r="J176" s="1379"/>
      <c r="K176" s="1379"/>
      <c r="L176" s="1380"/>
      <c r="M176" s="447"/>
      <c r="N176"/>
      <c r="O176"/>
      <c r="P176"/>
      <c r="Q176"/>
      <c r="R176" s="140"/>
      <c r="S176" s="140"/>
      <c r="T176" s="140"/>
      <c r="U176" s="140"/>
      <c r="V176" s="140"/>
      <c r="W176" s="140"/>
      <c r="X176" s="140"/>
      <c r="Y176" s="140"/>
      <c r="Z176" s="96"/>
      <c r="AA176" s="96"/>
    </row>
    <row r="177" spans="1:27" s="164" customFormat="1" ht="18" customHeight="1">
      <c r="A177" s="96"/>
      <c r="B177" s="50"/>
      <c r="C177" s="50"/>
      <c r="D177" s="439" t="s">
        <v>300</v>
      </c>
      <c r="E177" s="440" t="s">
        <v>390</v>
      </c>
      <c r="F177" s="789" t="s">
        <v>840</v>
      </c>
      <c r="G177" s="1427" t="s">
        <v>914</v>
      </c>
      <c r="H177" s="1427"/>
      <c r="I177" s="1427"/>
      <c r="J177" s="1427"/>
      <c r="K177" s="1427"/>
      <c r="L177" s="1428"/>
      <c r="M177" s="96"/>
      <c r="N177"/>
      <c r="O177"/>
      <c r="P177"/>
      <c r="Q177"/>
      <c r="R177" s="140"/>
      <c r="S177" s="140"/>
      <c r="T177" s="140"/>
      <c r="U177" s="140"/>
      <c r="V177" s="140"/>
      <c r="W177" s="140"/>
      <c r="X177" s="140"/>
      <c r="Y177" s="140"/>
      <c r="Z177" s="96"/>
      <c r="AA177" s="96"/>
    </row>
    <row r="178" spans="1:27" s="164" customFormat="1" ht="18" customHeight="1">
      <c r="A178" s="96"/>
      <c r="B178" s="50"/>
      <c r="C178" s="50"/>
      <c r="D178" s="439" t="s">
        <v>301</v>
      </c>
      <c r="E178" s="441"/>
      <c r="F178" s="789" t="s">
        <v>842</v>
      </c>
      <c r="G178" s="1427" t="s">
        <v>915</v>
      </c>
      <c r="H178" s="1427"/>
      <c r="I178" s="1427"/>
      <c r="J178" s="1427"/>
      <c r="K178" s="1427"/>
      <c r="L178" s="1428"/>
      <c r="M178" s="96"/>
      <c r="N178"/>
      <c r="O178"/>
      <c r="P178"/>
      <c r="Q178"/>
      <c r="R178" s="140"/>
      <c r="S178" s="140"/>
      <c r="T178" s="140"/>
      <c r="U178" s="140"/>
      <c r="V178" s="140"/>
      <c r="W178" s="140"/>
      <c r="X178" s="140"/>
      <c r="Y178" s="140"/>
      <c r="Z178" s="96"/>
      <c r="AA178" s="96"/>
    </row>
    <row r="179" spans="1:27" s="164" customFormat="1" ht="18" customHeight="1">
      <c r="A179" s="96"/>
      <c r="B179" s="50"/>
      <c r="C179" s="50"/>
      <c r="D179" s="439" t="s">
        <v>302</v>
      </c>
      <c r="E179" s="441" t="s">
        <v>390</v>
      </c>
      <c r="F179" s="789" t="s">
        <v>844</v>
      </c>
      <c r="G179" s="1427" t="s">
        <v>916</v>
      </c>
      <c r="H179" s="1427"/>
      <c r="I179" s="1427"/>
      <c r="J179" s="1427"/>
      <c r="K179" s="1427"/>
      <c r="L179" s="1428"/>
      <c r="M179" s="96"/>
      <c r="N179"/>
      <c r="O179"/>
      <c r="P179"/>
      <c r="Q179"/>
      <c r="R179" s="140"/>
      <c r="S179" s="140"/>
      <c r="T179" s="140"/>
      <c r="U179" s="140"/>
      <c r="V179" s="140"/>
      <c r="W179" s="140"/>
      <c r="X179" s="140"/>
      <c r="Y179" s="140"/>
      <c r="Z179" s="96"/>
      <c r="AA179" s="96"/>
    </row>
    <row r="180" spans="1:27" s="164" customFormat="1" ht="18" customHeight="1">
      <c r="A180" s="96"/>
      <c r="B180" s="50"/>
      <c r="C180" s="50"/>
      <c r="D180" s="439" t="s">
        <v>303</v>
      </c>
      <c r="E180" s="441"/>
      <c r="F180" s="789" t="s">
        <v>846</v>
      </c>
      <c r="G180" s="1427" t="s">
        <v>917</v>
      </c>
      <c r="H180" s="1427"/>
      <c r="I180" s="1427"/>
      <c r="J180" s="1427"/>
      <c r="K180" s="1427"/>
      <c r="L180" s="1428"/>
      <c r="M180" s="96"/>
      <c r="N180"/>
      <c r="O180"/>
      <c r="P180"/>
      <c r="Q180"/>
      <c r="R180" s="140"/>
      <c r="S180" s="140"/>
      <c r="T180" s="140"/>
      <c r="U180" s="140"/>
      <c r="V180" s="140"/>
      <c r="W180" s="140"/>
      <c r="X180" s="140"/>
      <c r="Y180" s="140"/>
      <c r="Z180" s="96"/>
      <c r="AA180" s="96"/>
    </row>
    <row r="181" spans="1:27" s="164" customFormat="1" ht="18" customHeight="1">
      <c r="A181" s="96"/>
      <c r="B181" s="50"/>
      <c r="C181" s="50"/>
      <c r="D181" s="439" t="s">
        <v>304</v>
      </c>
      <c r="E181" s="441"/>
      <c r="F181" s="789" t="s">
        <v>866</v>
      </c>
      <c r="G181" s="1427" t="s">
        <v>918</v>
      </c>
      <c r="H181" s="1427"/>
      <c r="I181" s="1427"/>
      <c r="J181" s="1427"/>
      <c r="K181" s="1427"/>
      <c r="L181" s="1428"/>
      <c r="M181" s="96"/>
      <c r="N181"/>
      <c r="O181"/>
      <c r="P181"/>
      <c r="Q181"/>
      <c r="R181" s="140"/>
      <c r="S181" s="140"/>
      <c r="T181" s="140"/>
      <c r="U181" s="140"/>
      <c r="V181" s="140"/>
      <c r="W181" s="140"/>
      <c r="X181" s="140"/>
      <c r="Y181" s="140"/>
      <c r="Z181" s="96"/>
      <c r="AA181" s="96"/>
    </row>
    <row r="182" spans="1:27" s="164" customFormat="1" ht="18" customHeight="1">
      <c r="A182" s="96"/>
      <c r="B182" s="50"/>
      <c r="C182" s="50"/>
      <c r="D182" s="439" t="s">
        <v>305</v>
      </c>
      <c r="E182" s="441"/>
      <c r="F182" s="789" t="s">
        <v>868</v>
      </c>
      <c r="G182" s="1427" t="s">
        <v>919</v>
      </c>
      <c r="H182" s="1427"/>
      <c r="I182" s="1427"/>
      <c r="J182" s="1427"/>
      <c r="K182" s="1427"/>
      <c r="L182" s="1428"/>
      <c r="M182" s="96"/>
      <c r="N182"/>
      <c r="O182"/>
      <c r="P182"/>
      <c r="Q182"/>
      <c r="R182" s="140"/>
      <c r="S182" s="140"/>
      <c r="T182" s="140"/>
      <c r="U182" s="140"/>
      <c r="V182" s="140"/>
      <c r="W182" s="140"/>
      <c r="X182" s="140"/>
      <c r="Y182" s="140"/>
      <c r="Z182" s="96"/>
      <c r="AA182" s="96"/>
    </row>
    <row r="183" spans="1:27" s="164" customFormat="1" ht="18" customHeight="1">
      <c r="A183" s="96"/>
      <c r="B183" s="50"/>
      <c r="C183" s="50"/>
      <c r="D183" s="439" t="s">
        <v>306</v>
      </c>
      <c r="E183" s="441"/>
      <c r="F183" s="789" t="s">
        <v>920</v>
      </c>
      <c r="G183" s="1427" t="s">
        <v>921</v>
      </c>
      <c r="H183" s="1427"/>
      <c r="I183" s="1427"/>
      <c r="J183" s="1427"/>
      <c r="K183" s="1427"/>
      <c r="L183" s="1428"/>
      <c r="M183" s="96"/>
      <c r="N183"/>
      <c r="O183"/>
      <c r="P183"/>
      <c r="Q183"/>
      <c r="R183" s="140"/>
      <c r="S183" s="140"/>
      <c r="T183" s="140"/>
      <c r="U183" s="140"/>
      <c r="V183" s="140"/>
      <c r="W183" s="140"/>
      <c r="X183" s="140"/>
      <c r="Y183" s="140"/>
      <c r="Z183" s="96"/>
      <c r="AA183" s="96"/>
    </row>
    <row r="184" spans="1:27" s="164" customFormat="1" ht="18" customHeight="1" thickBot="1">
      <c r="A184" s="96"/>
      <c r="B184" s="50"/>
      <c r="C184" s="50"/>
      <c r="D184" s="439" t="s">
        <v>307</v>
      </c>
      <c r="E184" s="442"/>
      <c r="F184" s="789" t="s">
        <v>922</v>
      </c>
      <c r="G184" s="1427" t="s">
        <v>923</v>
      </c>
      <c r="H184" s="1427"/>
      <c r="I184" s="1427"/>
      <c r="J184" s="1427"/>
      <c r="K184" s="1427"/>
      <c r="L184" s="1428"/>
      <c r="M184" s="96"/>
      <c r="N184"/>
      <c r="O184"/>
      <c r="P184"/>
      <c r="Q184"/>
      <c r="R184" s="140"/>
      <c r="S184" s="140"/>
      <c r="T184" s="140"/>
      <c r="U184" s="140"/>
      <c r="V184" s="140"/>
      <c r="W184" s="140"/>
      <c r="X184" s="140"/>
      <c r="Y184" s="140"/>
      <c r="Z184" s="96"/>
      <c r="AA184" s="96"/>
    </row>
    <row r="185" spans="1:27" s="164" customFormat="1" ht="18" hidden="1" customHeight="1">
      <c r="A185" s="96"/>
      <c r="B185" s="50"/>
      <c r="C185" s="50"/>
      <c r="D185" s="439" t="s">
        <v>308</v>
      </c>
      <c r="E185" s="795"/>
      <c r="F185" s="473"/>
      <c r="G185" s="474"/>
      <c r="H185" s="474"/>
      <c r="I185" s="474"/>
      <c r="J185" s="474"/>
      <c r="K185" s="474"/>
      <c r="L185" s="475"/>
      <c r="M185" s="96"/>
      <c r="N185"/>
      <c r="O185"/>
      <c r="P185"/>
      <c r="Q185"/>
      <c r="R185" s="140"/>
      <c r="S185" s="140"/>
      <c r="T185" s="140"/>
      <c r="U185" s="140"/>
      <c r="V185" s="140"/>
      <c r="W185" s="140"/>
      <c r="X185" s="140"/>
      <c r="Y185" s="140"/>
      <c r="Z185" s="96"/>
      <c r="AA185" s="96"/>
    </row>
    <row r="186" spans="1:27" s="164" customFormat="1" ht="18" hidden="1" customHeight="1" thickBot="1">
      <c r="A186" s="96"/>
      <c r="B186" s="50"/>
      <c r="C186" s="50"/>
      <c r="D186" s="439" t="s">
        <v>309</v>
      </c>
      <c r="E186" s="442"/>
      <c r="F186" s="473"/>
      <c r="G186" s="474"/>
      <c r="H186" s="474"/>
      <c r="I186" s="474"/>
      <c r="J186" s="474"/>
      <c r="K186" s="474"/>
      <c r="L186" s="475"/>
      <c r="M186" s="96"/>
      <c r="N186"/>
      <c r="O186"/>
      <c r="P186"/>
      <c r="Q186"/>
      <c r="R186" s="140"/>
      <c r="S186" s="140"/>
      <c r="T186" s="140"/>
      <c r="U186" s="140"/>
      <c r="V186" s="140"/>
      <c r="W186" s="140"/>
      <c r="X186" s="140"/>
      <c r="Y186" s="140"/>
      <c r="Z186" s="96"/>
      <c r="AA186" s="96"/>
    </row>
    <row r="187" spans="1:27" customFormat="1">
      <c r="F187" s="306"/>
    </row>
    <row r="188" spans="1:27" s="50" customFormat="1" ht="16.5" thickBot="1">
      <c r="C188" s="666" t="s">
        <v>1025</v>
      </c>
      <c r="D188" s="163"/>
      <c r="E188" s="664"/>
      <c r="F188" s="675"/>
      <c r="G188" s="675"/>
      <c r="H188" s="675"/>
      <c r="I188" s="459"/>
      <c r="J188" s="664"/>
      <c r="K188" s="664"/>
      <c r="L188" s="676"/>
      <c r="M188" s="664"/>
      <c r="N188" s="62"/>
      <c r="O188" s="62"/>
    </row>
    <row r="189" spans="1:27" s="49" customFormat="1" ht="16.5" thickBot="1">
      <c r="B189" s="664"/>
      <c r="C189" s="664"/>
      <c r="D189" s="434">
        <v>3</v>
      </c>
      <c r="E189" s="453" t="s">
        <v>1229</v>
      </c>
      <c r="F189" s="453"/>
      <c r="G189" s="453"/>
      <c r="H189" s="453"/>
      <c r="I189" s="453"/>
      <c r="J189" s="453"/>
      <c r="K189" s="453"/>
      <c r="L189" s="454"/>
      <c r="M189" s="62"/>
      <c r="N189" s="448" t="s">
        <v>336</v>
      </c>
      <c r="O189" s="448" t="s">
        <v>337</v>
      </c>
    </row>
    <row r="190" spans="1:27" s="49" customFormat="1" ht="15.75">
      <c r="B190" s="664"/>
      <c r="C190" s="664"/>
      <c r="D190" s="435" t="str">
        <f>IF(ROUNDDOWN(D189,0)=$N$2,$P$2,$O$2)</f>
        <v>　レベル　1</v>
      </c>
      <c r="E190" s="460" t="s">
        <v>560</v>
      </c>
      <c r="F190" s="500"/>
      <c r="G190" s="500"/>
      <c r="H190" s="500"/>
      <c r="I190" s="500"/>
      <c r="J190" s="500"/>
      <c r="K190" s="500"/>
      <c r="L190" s="508"/>
      <c r="M190" s="664"/>
      <c r="N190" s="449">
        <v>1</v>
      </c>
      <c r="O190" s="450"/>
    </row>
    <row r="191" spans="1:27" s="49" customFormat="1" ht="15.75">
      <c r="B191" s="664"/>
      <c r="C191" s="664"/>
      <c r="D191" s="436" t="str">
        <f>IF(ROUNDDOWN(D189,0)=$N$3,$P$3,$O$3)</f>
        <v>　レベル　2</v>
      </c>
      <c r="E191" s="463" t="s">
        <v>414</v>
      </c>
      <c r="F191" s="501"/>
      <c r="G191" s="501"/>
      <c r="H191" s="501"/>
      <c r="I191" s="501"/>
      <c r="J191" s="501"/>
      <c r="K191" s="501"/>
      <c r="L191" s="509"/>
      <c r="M191" s="62"/>
      <c r="N191" s="449" t="s">
        <v>312</v>
      </c>
      <c r="O191" s="450"/>
    </row>
    <row r="192" spans="1:27" s="49" customFormat="1" ht="15.75">
      <c r="B192" s="664"/>
      <c r="C192" s="664"/>
      <c r="D192" s="436" t="str">
        <f>IF(ROUNDDOWN(D189,0)=$N$4,$P$4,$O$4)</f>
        <v>■レベル　3</v>
      </c>
      <c r="E192" s="463" t="s">
        <v>561</v>
      </c>
      <c r="F192" s="501"/>
      <c r="G192" s="501"/>
      <c r="H192" s="501"/>
      <c r="I192" s="501"/>
      <c r="J192" s="501"/>
      <c r="K192" s="501"/>
      <c r="L192" s="509"/>
      <c r="M192" s="664"/>
      <c r="N192" s="449">
        <v>3</v>
      </c>
      <c r="O192" s="450"/>
    </row>
    <row r="193" spans="1:25" s="49" customFormat="1" ht="28.15" customHeight="1">
      <c r="B193" s="664"/>
      <c r="C193" s="664"/>
      <c r="D193" s="436" t="str">
        <f>IF(ROUNDDOWN(D189,0)=$N$5,$P$5,$O$5)</f>
        <v>　レベル　4</v>
      </c>
      <c r="E193" s="1424" t="s">
        <v>562</v>
      </c>
      <c r="F193" s="1431"/>
      <c r="G193" s="1431"/>
      <c r="H193" s="1431"/>
      <c r="I193" s="1431"/>
      <c r="J193" s="1431"/>
      <c r="K193" s="1431"/>
      <c r="L193" s="1432"/>
      <c r="M193" s="62"/>
      <c r="N193" s="449">
        <v>4</v>
      </c>
      <c r="O193" s="450"/>
    </row>
    <row r="194" spans="1:25" s="49" customFormat="1" ht="28.15" customHeight="1">
      <c r="B194" s="664"/>
      <c r="C194" s="664"/>
      <c r="D194" s="437" t="str">
        <f>IF(ROUNDDOWN(D189,0)=$N$6,$P$6,$O$6)</f>
        <v>　レベル　5</v>
      </c>
      <c r="E194" s="1391" t="s">
        <v>563</v>
      </c>
      <c r="F194" s="1392"/>
      <c r="G194" s="1392"/>
      <c r="H194" s="1392"/>
      <c r="I194" s="1392"/>
      <c r="J194" s="1392"/>
      <c r="K194" s="1392"/>
      <c r="L194" s="1393"/>
      <c r="M194" s="664"/>
      <c r="N194" s="449">
        <v>5</v>
      </c>
      <c r="O194" s="450"/>
    </row>
    <row r="195" spans="1:25" s="49" customFormat="1" ht="15.75">
      <c r="B195" s="664"/>
      <c r="C195" s="664"/>
      <c r="D195" s="438" t="s">
        <v>341</v>
      </c>
      <c r="E195" s="1002"/>
      <c r="F195" s="494"/>
      <c r="G195" s="494"/>
      <c r="H195" s="679"/>
      <c r="I195"/>
      <c r="J195"/>
      <c r="K195"/>
      <c r="L195"/>
      <c r="M195" s="62"/>
      <c r="N195" s="449" t="s">
        <v>312</v>
      </c>
      <c r="O195" s="452"/>
    </row>
    <row r="196" spans="1:25" customFormat="1">
      <c r="F196" s="306"/>
    </row>
    <row r="197" spans="1:25" s="49" customFormat="1" ht="15.75">
      <c r="B197" s="666" t="s">
        <v>1026</v>
      </c>
      <c r="C197" s="666"/>
      <c r="E197" s="50"/>
      <c r="F197" s="137"/>
      <c r="G197" s="50"/>
      <c r="H197" s="682"/>
      <c r="I197" s="682"/>
      <c r="M197" s="96"/>
    </row>
    <row r="198" spans="1:25" s="49" customFormat="1" ht="16.5" thickBot="1">
      <c r="B198" s="666"/>
      <c r="C198" s="666"/>
      <c r="D198" s="1009" t="s">
        <v>1218</v>
      </c>
      <c r="E198" s="453" t="s">
        <v>1229</v>
      </c>
      <c r="F198" s="453"/>
      <c r="G198" s="453"/>
      <c r="H198" s="453"/>
      <c r="I198" s="453"/>
      <c r="J198" s="453"/>
      <c r="K198" s="453"/>
      <c r="L198" s="454"/>
      <c r="M198" s="96"/>
    </row>
    <row r="199" spans="1:25" s="49" customFormat="1" ht="16.5" thickBot="1">
      <c r="B199" s="664"/>
      <c r="C199" s="664"/>
      <c r="D199" s="1031">
        <f>E199*G199/100+I199*K199/100</f>
        <v>3</v>
      </c>
      <c r="E199" s="1031">
        <f>IF(E207&gt;=O204,N204,IF(E207&gt;=O203,N203,IF(E207&gt;=O202,N202,IF(E207&gt;=O201,N201,N200))))</f>
        <v>4</v>
      </c>
      <c r="F199" s="455" t="s">
        <v>558</v>
      </c>
      <c r="G199" s="455">
        <f>メイン!C23</f>
        <v>0</v>
      </c>
      <c r="H199" s="498" t="s">
        <v>209</v>
      </c>
      <c r="I199" s="1031">
        <f>IF(E207&gt;=P204,N204,IF(E207&gt;=P203,N203,IF(E207&gt;=P202,N202,IF(E207&gt;=P201,N201,N200))))</f>
        <v>3</v>
      </c>
      <c r="J199" s="455" t="s">
        <v>559</v>
      </c>
      <c r="K199" s="453">
        <f>メイン!D23</f>
        <v>100</v>
      </c>
      <c r="L199" s="741" t="s">
        <v>209</v>
      </c>
      <c r="M199" s="96"/>
      <c r="N199" s="448" t="s">
        <v>336</v>
      </c>
      <c r="O199" s="339" t="s">
        <v>558</v>
      </c>
      <c r="P199" s="339" t="s">
        <v>559</v>
      </c>
      <c r="Q199"/>
    </row>
    <row r="200" spans="1:25" s="49" customFormat="1" ht="15.75">
      <c r="B200" s="664"/>
      <c r="C200" s="664"/>
      <c r="D200" s="435" t="str">
        <f>IF(ROUNDDOWN(D199,0)=$N$2,$P$2,$O$2)</f>
        <v>　レベル　1</v>
      </c>
      <c r="E200" s="435" t="str">
        <f>IF(ROUNDDOWN(E199,0)=$N$2,$P$2,$O$2)</f>
        <v>　レベル　1</v>
      </c>
      <c r="F200" s="460" t="s">
        <v>414</v>
      </c>
      <c r="G200" s="461"/>
      <c r="H200" s="461"/>
      <c r="I200" s="435" t="str">
        <f>IF(ROUNDDOWN(I199,0)=$N$2,$P$2,$O$2)</f>
        <v>　レベル　1</v>
      </c>
      <c r="J200" s="460" t="s">
        <v>473</v>
      </c>
      <c r="K200" s="461"/>
      <c r="L200" s="462"/>
      <c r="M200" s="56"/>
      <c r="N200" s="449">
        <v>1</v>
      </c>
      <c r="O200" s="450" t="s">
        <v>312</v>
      </c>
      <c r="P200" s="450">
        <v>0</v>
      </c>
      <c r="Q200" s="5"/>
    </row>
    <row r="201" spans="1:25" s="49" customFormat="1" ht="15.75">
      <c r="B201" s="664"/>
      <c r="C201" s="664"/>
      <c r="D201" s="436" t="str">
        <f>IF(ROUNDDOWN(D199,0)=$N$3,$P$3,$O$3)</f>
        <v>　レベル　2</v>
      </c>
      <c r="E201" s="436" t="str">
        <f>IF(ROUNDDOWN(E199,0)=$N$3,$P$3,$O$3)</f>
        <v>　レベル　2</v>
      </c>
      <c r="F201" s="463" t="s">
        <v>414</v>
      </c>
      <c r="G201" s="464"/>
      <c r="H201" s="464"/>
      <c r="I201" s="436" t="str">
        <f>IF(ROUNDDOWN(I199,0)=$N$3,$P$3,$O$3)</f>
        <v>　レベル　2</v>
      </c>
      <c r="J201" s="463" t="s">
        <v>414</v>
      </c>
      <c r="K201" s="464"/>
      <c r="L201" s="465"/>
      <c r="M201" s="96"/>
      <c r="N201" s="449" t="s">
        <v>312</v>
      </c>
      <c r="O201" s="450" t="s">
        <v>312</v>
      </c>
      <c r="P201" s="450" t="s">
        <v>312</v>
      </c>
    </row>
    <row r="202" spans="1:25" s="49" customFormat="1" ht="15.75">
      <c r="B202" s="664"/>
      <c r="C202" s="664"/>
      <c r="D202" s="436" t="str">
        <f>IF(ROUNDDOWN(D199,0)=$N$4,$P$4,$O$4)</f>
        <v>■レベル　3</v>
      </c>
      <c r="E202" s="436" t="str">
        <f>IF(ROUNDDOWN(E199,0)=$N$4,$P$4,$O$4)</f>
        <v>　レベル　3</v>
      </c>
      <c r="F202" s="463" t="s">
        <v>473</v>
      </c>
      <c r="G202" s="464"/>
      <c r="H202" s="464"/>
      <c r="I202" s="436" t="str">
        <f>IF(ROUNDDOWN(I199,0)=$N$4,$P$4,$O$4)</f>
        <v>■レベル　3</v>
      </c>
      <c r="J202" s="463" t="s">
        <v>540</v>
      </c>
      <c r="K202" s="464"/>
      <c r="L202" s="465"/>
      <c r="M202" s="56"/>
      <c r="N202" s="449">
        <v>3</v>
      </c>
      <c r="O202" s="450">
        <v>0</v>
      </c>
      <c r="P202" s="450">
        <v>1</v>
      </c>
    </row>
    <row r="203" spans="1:25" s="49" customFormat="1" ht="15.75">
      <c r="B203" s="664"/>
      <c r="C203" s="664"/>
      <c r="D203" s="436" t="str">
        <f>IF(ROUNDDOWN(D199,0)=$N$5,$P$5,$O$5)</f>
        <v>　レベル　4</v>
      </c>
      <c r="E203" s="436" t="str">
        <f>IF(ROUNDDOWN(E199,0)=$N$5,$P$5,$O$5)</f>
        <v>■レベル　4</v>
      </c>
      <c r="F203" s="466" t="s">
        <v>540</v>
      </c>
      <c r="G203" s="467"/>
      <c r="H203" s="467"/>
      <c r="I203" s="436" t="str">
        <f>IF(ROUNDDOWN(I199,0)=$N$5,$P$5,$O$5)</f>
        <v>　レベル　4</v>
      </c>
      <c r="J203" s="466" t="s">
        <v>494</v>
      </c>
      <c r="K203" s="467"/>
      <c r="L203" s="468"/>
      <c r="M203" s="96"/>
      <c r="N203" s="449">
        <v>4</v>
      </c>
      <c r="O203" s="450">
        <v>1</v>
      </c>
      <c r="P203" s="450">
        <v>2</v>
      </c>
    </row>
    <row r="204" spans="1:25" s="49" customFormat="1" ht="15.75">
      <c r="B204" s="664"/>
      <c r="C204" s="664"/>
      <c r="D204" s="437" t="str">
        <f>IF(ROUNDDOWN(D199,0)=$N$6,$P$6,$O$6)</f>
        <v>　レベル　5</v>
      </c>
      <c r="E204" s="437" t="str">
        <f>IF(ROUNDDOWN(E199,0)=$N$6,$P$6,$O$6)</f>
        <v>　レベル　5</v>
      </c>
      <c r="F204" s="469" t="s">
        <v>564</v>
      </c>
      <c r="G204" s="470"/>
      <c r="H204" s="470"/>
      <c r="I204" s="437" t="str">
        <f>IF(ROUNDDOWN(I199,0)=$N$6,$P$6,$O$6)</f>
        <v>　レベル　5</v>
      </c>
      <c r="J204" s="469" t="s">
        <v>541</v>
      </c>
      <c r="K204" s="470"/>
      <c r="L204" s="471"/>
      <c r="M204" s="56"/>
      <c r="N204" s="449">
        <v>5</v>
      </c>
      <c r="O204" s="450">
        <v>2</v>
      </c>
      <c r="P204" s="450">
        <v>3</v>
      </c>
    </row>
    <row r="205" spans="1:25" s="49" customFormat="1" ht="15.75">
      <c r="B205" s="664"/>
      <c r="C205" s="664"/>
      <c r="D205" s="438" t="s">
        <v>341</v>
      </c>
      <c r="E205" s="1002"/>
      <c r="F205" s="494"/>
      <c r="G205" s="494"/>
      <c r="H205" s="679"/>
      <c r="I205"/>
      <c r="J205"/>
      <c r="K205"/>
      <c r="L205"/>
      <c r="M205" s="56"/>
      <c r="N205" s="449" t="s">
        <v>312</v>
      </c>
      <c r="O205" s="452"/>
      <c r="P205" s="452"/>
    </row>
    <row r="206" spans="1:25" s="49" customFormat="1" ht="15.75">
      <c r="B206" s="664"/>
      <c r="C206" s="664"/>
      <c r="D206" s="438" t="s">
        <v>384</v>
      </c>
      <c r="E206" s="447"/>
      <c r="F206" s="495"/>
      <c r="G206" s="447"/>
      <c r="H206" s="447"/>
      <c r="I206" s="447"/>
      <c r="J206" s="447"/>
      <c r="K206" s="447"/>
      <c r="L206" s="447"/>
      <c r="M206" s="447"/>
      <c r="Q206" s="62"/>
      <c r="R206"/>
    </row>
    <row r="207" spans="1:25" s="164" customFormat="1" ht="15.75" thickBot="1">
      <c r="A207" s="96"/>
      <c r="B207" s="50"/>
      <c r="C207" s="50"/>
      <c r="D207" s="174" t="s">
        <v>385</v>
      </c>
      <c r="E207" s="472">
        <f>COUNTIF(E208:E212,$R$3)</f>
        <v>1</v>
      </c>
      <c r="F207" s="793" t="s">
        <v>830</v>
      </c>
      <c r="G207" s="1378" t="s">
        <v>831</v>
      </c>
      <c r="H207" s="1379"/>
      <c r="I207" s="1379"/>
      <c r="J207" s="1379"/>
      <c r="K207" s="1379"/>
      <c r="L207" s="1380"/>
      <c r="M207" s="447"/>
      <c r="N207"/>
      <c r="O207"/>
      <c r="P207"/>
      <c r="Q207"/>
      <c r="R207"/>
      <c r="S207" s="140"/>
      <c r="T207" s="140"/>
      <c r="U207" s="140"/>
      <c r="V207" s="140"/>
      <c r="W207" s="140"/>
      <c r="X207" s="96"/>
      <c r="Y207" s="96"/>
    </row>
    <row r="208" spans="1:25" s="164" customFormat="1" ht="58.9" customHeight="1">
      <c r="A208" s="96"/>
      <c r="B208" s="50"/>
      <c r="C208" s="50"/>
      <c r="D208" s="439" t="s">
        <v>300</v>
      </c>
      <c r="E208" s="440" t="s">
        <v>390</v>
      </c>
      <c r="F208" s="790" t="s">
        <v>840</v>
      </c>
      <c r="G208" s="1429" t="s">
        <v>924</v>
      </c>
      <c r="H208" s="1429"/>
      <c r="I208" s="1429"/>
      <c r="J208" s="1429"/>
      <c r="K208" s="1429"/>
      <c r="L208" s="1430"/>
      <c r="M208" s="96"/>
      <c r="N208"/>
      <c r="O208"/>
      <c r="P208"/>
      <c r="Q208"/>
      <c r="R208"/>
      <c r="S208" s="140"/>
      <c r="T208" s="140"/>
      <c r="U208" s="140"/>
      <c r="V208" s="140"/>
      <c r="W208" s="140"/>
      <c r="X208" s="96"/>
      <c r="Y208" s="96"/>
    </row>
    <row r="209" spans="1:25" s="164" customFormat="1" ht="33" customHeight="1">
      <c r="A209" s="96"/>
      <c r="B209" s="50"/>
      <c r="C209" s="50"/>
      <c r="D209" s="439" t="s">
        <v>301</v>
      </c>
      <c r="E209" s="441"/>
      <c r="F209" s="789" t="s">
        <v>925</v>
      </c>
      <c r="G209" s="1429" t="s">
        <v>926</v>
      </c>
      <c r="H209" s="1429"/>
      <c r="I209" s="1429"/>
      <c r="J209" s="1429"/>
      <c r="K209" s="1429"/>
      <c r="L209" s="1430"/>
      <c r="M209" s="96"/>
      <c r="N209"/>
      <c r="O209"/>
      <c r="P209"/>
      <c r="Q209"/>
      <c r="R209"/>
      <c r="S209" s="140"/>
      <c r="T209" s="140"/>
      <c r="U209" s="140"/>
      <c r="V209" s="140"/>
      <c r="W209" s="140"/>
      <c r="X209" s="96"/>
      <c r="Y209" s="96"/>
    </row>
    <row r="210" spans="1:25" s="164" customFormat="1" ht="50.45" customHeight="1">
      <c r="A210" s="96"/>
      <c r="B210" s="50"/>
      <c r="C210" s="50"/>
      <c r="D210" s="439" t="s">
        <v>302</v>
      </c>
      <c r="E210" s="441"/>
      <c r="F210" s="790" t="s">
        <v>844</v>
      </c>
      <c r="G210" s="1429" t="s">
        <v>927</v>
      </c>
      <c r="H210" s="1429"/>
      <c r="I210" s="1429"/>
      <c r="J210" s="1429"/>
      <c r="K210" s="1429"/>
      <c r="L210" s="1430"/>
      <c r="M210" s="96"/>
      <c r="N210"/>
      <c r="O210"/>
      <c r="P210"/>
      <c r="Q210"/>
      <c r="R210"/>
      <c r="S210" s="140"/>
      <c r="T210" s="140"/>
      <c r="U210" s="140"/>
      <c r="V210" s="140"/>
      <c r="W210" s="140"/>
      <c r="X210" s="96"/>
      <c r="Y210" s="96"/>
    </row>
    <row r="211" spans="1:25" s="164" customFormat="1" ht="24" customHeight="1" thickBot="1">
      <c r="A211" s="96"/>
      <c r="B211" s="50"/>
      <c r="C211" s="50"/>
      <c r="D211" s="439" t="s">
        <v>303</v>
      </c>
      <c r="E211" s="442"/>
      <c r="F211" s="789" t="s">
        <v>846</v>
      </c>
      <c r="G211" s="1429" t="s">
        <v>928</v>
      </c>
      <c r="H211" s="1429"/>
      <c r="I211" s="1429"/>
      <c r="J211" s="1429"/>
      <c r="K211" s="1429"/>
      <c r="L211" s="1430"/>
      <c r="M211" s="96"/>
      <c r="N211"/>
      <c r="O211"/>
      <c r="P211"/>
      <c r="Q211"/>
      <c r="R211"/>
      <c r="S211" s="140"/>
      <c r="T211" s="140"/>
      <c r="U211" s="140"/>
      <c r="V211" s="140"/>
      <c r="W211" s="140"/>
      <c r="X211" s="96"/>
      <c r="Y211" s="96"/>
    </row>
    <row r="212" spans="1:25" customFormat="1"/>
    <row r="213" spans="1:25" customFormat="1"/>
    <row r="214" spans="1:25" customFormat="1"/>
    <row r="215" spans="1:25" customFormat="1"/>
    <row r="216" spans="1:25" customFormat="1"/>
  </sheetData>
  <sheetProtection algorithmName="SHA-512" hashValue="w5kayoyz7Dx6Q3+0F60m+/kKOg2BgWsZgRItiF9/ffPCd7YgwctrIEQ7k8JuUYH7A2vgmT4+G87UOftpA2W+Pw==" saltValue="VBYSU1eUbvwIl3Dg17rgtA==" spinCount="100000" sheet="1" formatCells="0"/>
  <mergeCells count="72">
    <mergeCell ref="F63:G63"/>
    <mergeCell ref="H63:L63"/>
    <mergeCell ref="F133:G133"/>
    <mergeCell ref="H133:L133"/>
    <mergeCell ref="E73:L73"/>
    <mergeCell ref="F64:G64"/>
    <mergeCell ref="H64:L64"/>
    <mergeCell ref="F65:G65"/>
    <mergeCell ref="H65:L65"/>
    <mergeCell ref="F114:G114"/>
    <mergeCell ref="H114:L114"/>
    <mergeCell ref="F115:G115"/>
    <mergeCell ref="H115:L115"/>
    <mergeCell ref="F116:G116"/>
    <mergeCell ref="H116:L116"/>
    <mergeCell ref="F117:G117"/>
    <mergeCell ref="F60:G60"/>
    <mergeCell ref="H60:L60"/>
    <mergeCell ref="F61:G61"/>
    <mergeCell ref="H61:L61"/>
    <mergeCell ref="F62:G62"/>
    <mergeCell ref="H62:L62"/>
    <mergeCell ref="E25:L25"/>
    <mergeCell ref="E27:L27"/>
    <mergeCell ref="E29:L29"/>
    <mergeCell ref="E36:L36"/>
    <mergeCell ref="E38:L38"/>
    <mergeCell ref="H117:L117"/>
    <mergeCell ref="F118:G118"/>
    <mergeCell ref="H118:L118"/>
    <mergeCell ref="F131:G131"/>
    <mergeCell ref="H131:L131"/>
    <mergeCell ref="F132:G132"/>
    <mergeCell ref="H132:L132"/>
    <mergeCell ref="F134:G134"/>
    <mergeCell ref="H134:L134"/>
    <mergeCell ref="F135:G135"/>
    <mergeCell ref="H135:L135"/>
    <mergeCell ref="F136:G136"/>
    <mergeCell ref="H136:L136"/>
    <mergeCell ref="F137:G137"/>
    <mergeCell ref="H137:L137"/>
    <mergeCell ref="F159:G159"/>
    <mergeCell ref="H159:L159"/>
    <mergeCell ref="F160:G160"/>
    <mergeCell ref="H160:L160"/>
    <mergeCell ref="F161:G161"/>
    <mergeCell ref="H161:L161"/>
    <mergeCell ref="F162:G162"/>
    <mergeCell ref="H162:L162"/>
    <mergeCell ref="F163:G163"/>
    <mergeCell ref="H163:L163"/>
    <mergeCell ref="F164:G164"/>
    <mergeCell ref="H164:L164"/>
    <mergeCell ref="F165:G165"/>
    <mergeCell ref="H165:L165"/>
    <mergeCell ref="G176:L176"/>
    <mergeCell ref="G177:L177"/>
    <mergeCell ref="G178:L178"/>
    <mergeCell ref="G179:L179"/>
    <mergeCell ref="G180:L180"/>
    <mergeCell ref="G181:L181"/>
    <mergeCell ref="G209:L209"/>
    <mergeCell ref="G210:L210"/>
    <mergeCell ref="G211:L211"/>
    <mergeCell ref="G182:L182"/>
    <mergeCell ref="G183:L183"/>
    <mergeCell ref="G184:L184"/>
    <mergeCell ref="G207:L207"/>
    <mergeCell ref="G208:L208"/>
    <mergeCell ref="E194:L194"/>
    <mergeCell ref="E193:L193"/>
  </mergeCells>
  <phoneticPr fontId="3"/>
  <conditionalFormatting sqref="D15 D151:E151 D199:E199">
    <cfRule type="expression" dxfId="67" priority="20" stopIfTrue="1">
      <formula>AND(OR(D15&lt;1,D15&gt;5),D15&lt;&gt;0)</formula>
    </cfRule>
  </conditionalFormatting>
  <conditionalFormatting sqref="D24">
    <cfRule type="expression" dxfId="66" priority="19" stopIfTrue="1">
      <formula>AND(OR(D24&lt;1,D24&gt;5),D24&lt;&gt;0)</formula>
    </cfRule>
  </conditionalFormatting>
  <conditionalFormatting sqref="D33">
    <cfRule type="expression" dxfId="65" priority="18" stopIfTrue="1">
      <formula>AND(OR(D33&lt;1,D33&gt;5),D33&lt;&gt;0)</formula>
    </cfRule>
  </conditionalFormatting>
  <conditionalFormatting sqref="D43">
    <cfRule type="expression" dxfId="64" priority="17" stopIfTrue="1">
      <formula>AND(OR(D43&lt;1,D43&gt;5),D43&lt;&gt;0)</formula>
    </cfRule>
  </conditionalFormatting>
  <conditionalFormatting sqref="D52">
    <cfRule type="expression" dxfId="63" priority="10" stopIfTrue="1">
      <formula>AND(OR(D52&lt;1,D52&gt;5),D52&lt;&gt;0)</formula>
    </cfRule>
  </conditionalFormatting>
  <conditionalFormatting sqref="D68">
    <cfRule type="expression" dxfId="62" priority="16" stopIfTrue="1">
      <formula>AND(OR(D68&lt;1,D68&gt;5),D68&lt;&gt;0)</formula>
    </cfRule>
  </conditionalFormatting>
  <conditionalFormatting sqref="D77">
    <cfRule type="expression" dxfId="61" priority="15" stopIfTrue="1">
      <formula>AND(OR(D77&lt;1,D77&gt;5),D77&lt;&gt;0)</formula>
    </cfRule>
  </conditionalFormatting>
  <conditionalFormatting sqref="D88">
    <cfRule type="expression" dxfId="60" priority="14" stopIfTrue="1">
      <formula>AND(OR(D88&lt;1,D88&gt;5),D88&lt;&gt;0)</formula>
    </cfRule>
  </conditionalFormatting>
  <conditionalFormatting sqref="D97">
    <cfRule type="expression" dxfId="59" priority="13" stopIfTrue="1">
      <formula>AND(OR(D97&lt;1,D97&gt;5),D97&lt;&gt;0)</formula>
    </cfRule>
  </conditionalFormatting>
  <conditionalFormatting sqref="D106">
    <cfRule type="expression" dxfId="58" priority="2" stopIfTrue="1">
      <formula>AND(OR(D106&lt;1,D106&gt;5),D106&lt;&gt;0)</formula>
    </cfRule>
  </conditionalFormatting>
  <conditionalFormatting sqref="D123">
    <cfRule type="expression" dxfId="57" priority="1" stopIfTrue="1">
      <formula>AND(OR(D123&lt;1,D123&gt;5),D123&lt;&gt;0)</formula>
    </cfRule>
  </conditionalFormatting>
  <conditionalFormatting sqref="D140">
    <cfRule type="expression" dxfId="56" priority="12" stopIfTrue="1">
      <formula>AND(OR(D140&lt;1,D140&gt;5),D140&lt;&gt;0)</formula>
    </cfRule>
  </conditionalFormatting>
  <conditionalFormatting sqref="D168">
    <cfRule type="expression" dxfId="55" priority="7" stopIfTrue="1">
      <formula>AND(OR(D168&lt;1,D168&gt;5),D168&lt;&gt;0)</formula>
    </cfRule>
  </conditionalFormatting>
  <conditionalFormatting sqref="D189">
    <cfRule type="expression" dxfId="54" priority="11" stopIfTrue="1">
      <formula>AND(OR(D189&lt;1,D189&gt;5),D189&lt;&gt;0)</formula>
    </cfRule>
  </conditionalFormatting>
  <conditionalFormatting sqref="E61:E65 E115:E118 E160:E165 E208:E211">
    <cfRule type="expression" dxfId="53" priority="140" stopIfTrue="1">
      <formula>$E$207="対象外"</formula>
    </cfRule>
  </conditionalFormatting>
  <conditionalFormatting sqref="E132:E137">
    <cfRule type="expression" dxfId="52" priority="108" stopIfTrue="1">
      <formula>$E$131="対象外"</formula>
    </cfRule>
  </conditionalFormatting>
  <conditionalFormatting sqref="E177:E186">
    <cfRule type="expression" dxfId="51" priority="97" stopIfTrue="1">
      <formula>$E$176="対象外"</formula>
    </cfRule>
  </conditionalFormatting>
  <conditionalFormatting sqref="I151">
    <cfRule type="expression" dxfId="50" priority="22" stopIfTrue="1">
      <formula>AND(OR(I151&lt;1,I151&gt;5),I151&lt;&gt;0)</formula>
    </cfRule>
  </conditionalFormatting>
  <conditionalFormatting sqref="I199">
    <cfRule type="expression" dxfId="49" priority="23" stopIfTrue="1">
      <formula>AND(OR(I199&lt;1,I199&gt;5),I199&lt;&gt;0)</formula>
    </cfRule>
  </conditionalFormatting>
  <dataValidations count="4">
    <dataValidation type="list" allowBlank="1" showInputMessage="1" sqref="D24 D33 D43 D15 D68 D77 D88 D97 D140 D189" xr:uid="{DB0030D8-2A10-4DB2-8954-938386978C7C}">
      <formula1>N16:N21</formula1>
    </dataValidation>
    <dataValidation type="list" allowBlank="1" showInputMessage="1" showErrorMessage="1" sqref="E208:E211 E177:E186 E132:E137 E61:E65 E160:E165 E115:E118" xr:uid="{00000000-0002-0000-0600-000007000000}">
      <formula1>$R$2:$R$4</formula1>
    </dataValidation>
    <dataValidation allowBlank="1" showInputMessage="1" sqref="I199 D168 D52 I151 D106 D123 D151:E151 D199:E199" xr:uid="{29E1F132-2907-45A0-ACFE-36E146C7F973}"/>
    <dataValidation type="list" allowBlank="1" showInputMessage="1" showErrorMessage="1" sqref="G113 G130" xr:uid="{78D464DA-C29D-4210-9DE7-2667E77EC0F5}">
      <formula1>O112:O113</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4" manualBreakCount="4">
    <brk id="39" max="12" man="1"/>
    <brk id="84" max="12" man="1"/>
    <brk id="104" max="12" man="1"/>
    <brk id="1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結果 (2)</vt:lpstr>
      <vt:lpstr>メイン</vt:lpstr>
      <vt:lpstr>結果</vt:lpstr>
      <vt:lpstr>旧結果</vt:lpstr>
      <vt:lpstr>スコア</vt:lpstr>
      <vt:lpstr>配慮</vt:lpstr>
      <vt:lpstr>採点Q1</vt:lpstr>
      <vt:lpstr>採点Q2</vt:lpstr>
      <vt:lpstr>採点Q3</vt:lpstr>
      <vt:lpstr>採点LR1</vt:lpstr>
      <vt:lpstr>採点LR2</vt:lpstr>
      <vt:lpstr>採点LR3</vt:lpstr>
      <vt:lpstr>オフィス水計算シート</vt:lpstr>
      <vt:lpstr>店舗水計算シート</vt:lpstr>
      <vt:lpstr>クレジット</vt:lpstr>
      <vt:lpstr>オフィス水計算シート!Print_Area</vt:lpstr>
      <vt:lpstr>スコア!Print_Area</vt:lpstr>
      <vt:lpstr>メイン!Print_Area</vt:lpstr>
      <vt:lpstr>旧結果!Print_Area</vt:lpstr>
      <vt:lpstr>結果!Print_Area</vt:lpstr>
      <vt:lpstr>'結果 (2)'!Print_Area</vt:lpstr>
      <vt:lpstr>採点LR1!Print_Area</vt:lpstr>
      <vt:lpstr>採点LR2!Print_Area</vt:lpstr>
      <vt:lpstr>採点LR3!Print_Area</vt:lpstr>
      <vt:lpstr>採点Q1!Print_Area</vt:lpstr>
      <vt:lpstr>採点Q2!Print_Area</vt:lpstr>
      <vt:lpstr>採点Q3!Print_Area</vt:lpstr>
      <vt:lpstr>店舗水計算シート!Print_Area</vt:lpstr>
    </vt:vector>
  </TitlesOfParts>
  <Manager>IBEC</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CASBEE-UD_2022v1..0</dc:title>
  <dc:subject/>
  <dc:creator>JSBC</dc:creator>
  <cp:keywords/>
  <dc:description/>
  <cp:lastModifiedBy>馬場 康雄</cp:lastModifiedBy>
  <cp:revision/>
  <cp:lastPrinted>2023-10-27T06:03:19Z</cp:lastPrinted>
  <dcterms:created xsi:type="dcterms:W3CDTF">2003-08-12T12:24:47Z</dcterms:created>
  <dcterms:modified xsi:type="dcterms:W3CDTF">2023-11-13T07:43:39Z</dcterms:modified>
  <cp:category/>
  <cp:contentStatus/>
</cp:coreProperties>
</file>