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ml.chartshapes+xml"/>
  <Override PartName="/xl/charts/chart20.xml" ContentType="application/vnd.openxmlformats-officedocument.drawingml.chart+xml"/>
  <Override PartName="/xl/drawings/drawing13.xml" ContentType="application/vnd.openxmlformats-officedocument.drawingml.chartshapes+xml"/>
  <Override PartName="/xl/charts/chart21.xml" ContentType="application/vnd.openxmlformats-officedocument.drawingml.chart+xml"/>
  <Override PartName="/xl/drawings/drawing14.xml" ContentType="application/vnd.openxmlformats-officedocument.drawingml.chartshapes+xml"/>
  <Override PartName="/xl/charts/chart22.xml" ContentType="application/vnd.openxmlformats-officedocument.drawingml.chart+xml"/>
  <Override PartName="/xl/drawings/drawing15.xml" ContentType="application/vnd.openxmlformats-officedocument.drawingml.chartshapes+xml"/>
  <Override PartName="/xl/charts/chart23.xml" ContentType="application/vnd.openxmlformats-officedocument.drawingml.chart+xml"/>
  <Override PartName="/xl/drawings/drawing16.xml" ContentType="application/vnd.openxmlformats-officedocument.drawingml.chartshapes+xml"/>
  <Override PartName="/xl/charts/chart24.xml" ContentType="application/vnd.openxmlformats-officedocument.drawingml.chart+xml"/>
  <Override PartName="/xl/drawings/drawing17.xml" ContentType="application/vnd.openxmlformats-officedocument.drawingml.chartshapes+xml"/>
  <Override PartName="/xl/charts/chart25.xml" ContentType="application/vnd.openxmlformats-officedocument.drawingml.chart+xml"/>
  <Override PartName="/xl/drawings/drawing18.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style5.xml" ContentType="application/vnd.ms-office.chartstyle+xml"/>
  <Override PartName="/xl/charts/colors5.xml" ContentType="application/vnd.ms-office.chartcolorstyle+xml"/>
  <Override PartName="/xl/charts/chart2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20.xml" ContentType="application/vnd.openxmlformats-officedocument.drawingml.chartshapes+xml"/>
  <Override PartName="/xl/charts/chart32.xml" ContentType="application/vnd.openxmlformats-officedocument.drawingml.chart+xml"/>
  <Override PartName="/xl/drawings/drawing21.xml" ContentType="application/vnd.openxmlformats-officedocument.drawingml.chartshapes+xml"/>
  <Override PartName="/xl/charts/chart33.xml" ContentType="application/vnd.openxmlformats-officedocument.drawingml.chart+xml"/>
  <Override PartName="/xl/charts/chart34.xml" ContentType="application/vnd.openxmlformats-officedocument.drawingml.chart+xml"/>
  <Override PartName="/xl/drawings/drawing22.xml" ContentType="application/vnd.openxmlformats-officedocument.drawingml.chartshapes+xml"/>
  <Override PartName="/xl/charts/chart35.xml" ContentType="application/vnd.openxmlformats-officedocument.drawingml.chart+xml"/>
  <Override PartName="/xl/drawings/drawing23.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charts/chart40.xml" ContentType="application/vnd.openxmlformats-officedocument.drawingml.chart+xml"/>
  <Override PartName="/xl/charts/style7.xml" ContentType="application/vnd.ms-office.chartstyle+xml"/>
  <Override PartName="/xl/charts/colors7.xml" ContentType="application/vnd.ms-office.chartcolorstyle+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5.xml" ContentType="application/vnd.openxmlformats-officedocument.drawingml.chartshapes+xml"/>
  <Override PartName="/xl/charts/chart44.xml" ContentType="application/vnd.openxmlformats-officedocument.drawingml.chart+xml"/>
  <Override PartName="/xl/drawings/drawing26.xml" ContentType="application/vnd.openxmlformats-officedocument.drawingml.chartshapes+xml"/>
  <Override PartName="/xl/charts/chart45.xml" ContentType="application/vnd.openxmlformats-officedocument.drawingml.chart+xml"/>
  <Override PartName="/xl/drawings/drawing27.xml" ContentType="application/vnd.openxmlformats-officedocument.drawingml.chartshapes+xml"/>
  <Override PartName="/xl/charts/chart46.xml" ContentType="application/vnd.openxmlformats-officedocument.drawingml.chart+xml"/>
  <Override PartName="/xl/drawings/drawing28.xml" ContentType="application/vnd.openxmlformats-officedocument.drawingml.chartshapes+xml"/>
  <Override PartName="/xl/charts/chart47.xml" ContentType="application/vnd.openxmlformats-officedocument.drawingml.chart+xml"/>
  <Override PartName="/xl/drawings/drawing29.xml" ContentType="application/vnd.openxmlformats-officedocument.drawingml.chartshapes+xml"/>
  <Override PartName="/xl/charts/chart48.xml" ContentType="application/vnd.openxmlformats-officedocument.drawingml.chart+xml"/>
  <Override PartName="/xl/drawings/drawing30.xml" ContentType="application/vnd.openxmlformats-officedocument.drawingml.chartshapes+xml"/>
  <Override PartName="/xl/charts/chart49.xml" ContentType="application/vnd.openxmlformats-officedocument.drawingml.chart+xml"/>
  <Override PartName="/xl/drawings/drawing31.xml" ContentType="application/vnd.openxmlformats-officedocument.drawingml.chartshapes+xml"/>
  <Override PartName="/xl/charts/chart50.xml" ContentType="application/vnd.openxmlformats-officedocument.drawingml.chart+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3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https://d.docs.live.net/5a629a05c964812f/ドキュメント/JSBC/CASBEE街区ソフト/"/>
    </mc:Choice>
  </mc:AlternateContent>
  <xr:revisionPtr revIDLastSave="1" documentId="8_{FF2FD244-7DB0-4443-9843-D2CDA38DC3E4}" xr6:coauthVersionLast="47" xr6:coauthVersionMax="47" xr10:uidLastSave="{B2496023-4421-4B70-A407-513F2969A1C1}"/>
  <bookViews>
    <workbookView xWindow="-108" yWindow="-108" windowWidth="23256" windowHeight="13896" tabRatio="870" firstSheet="1" activeTab="1" xr2:uid="{00000000-000D-0000-FFFF-FFFF00000000}"/>
  </bookViews>
  <sheets>
    <sheet name="結果 (2)" sheetId="64" state="hidden" r:id="rId1"/>
    <sheet name="メイン" sheetId="7" r:id="rId2"/>
    <sheet name="結果(2-3ﾚｰﾀﾞｰ)" sheetId="75" r:id="rId3"/>
    <sheet name="旧結果" sheetId="24" state="hidden" r:id="rId4"/>
    <sheet name="結果(2-3SDGs)" sheetId="69" r:id="rId5"/>
    <sheet name="スコア" sheetId="8" r:id="rId6"/>
    <sheet name="配慮" sheetId="14" r:id="rId7"/>
    <sheet name="採点Q1" sheetId="16" r:id="rId8"/>
    <sheet name="採点Q2" sheetId="29" r:id="rId9"/>
    <sheet name="採点Q3" sheetId="30" r:id="rId10"/>
    <sheet name="採点LR1" sheetId="58" r:id="rId11"/>
    <sheet name="採点LR2" sheetId="59" r:id="rId12"/>
    <sheet name="採点LR3" sheetId="70" r:id="rId13"/>
    <sheet name="街区環境SDGsチェックリスト" sheetId="73" r:id="rId14"/>
    <sheet name="オフィス水計算シート" sheetId="71" r:id="rId15"/>
    <sheet name="店舗水計算シート" sheetId="72" r:id="rId16"/>
    <sheet name="クレジット" sheetId="76" r:id="rId17"/>
  </sheets>
  <externalReferences>
    <externalReference r:id="rId18"/>
  </externalReferences>
  <definedNames>
    <definedName name="_xlnm._FilterDatabase" localSheetId="5" hidden="1">スコア!$I$12:$I$14</definedName>
    <definedName name="①実績値を入力">#REF!</definedName>
    <definedName name="②目標値を入力">#REF!</definedName>
    <definedName name="③算定結果を入力">#REF!</definedName>
    <definedName name="④対策効果を選択">#REF!</definedName>
    <definedName name="M23W">#REF!</definedName>
    <definedName name="MorO">#REF!</definedName>
    <definedName name="_xlnm.Print_Area" localSheetId="14">オフィス水計算シート!$B$2:$S$63</definedName>
    <definedName name="_xlnm.Print_Area" localSheetId="5">スコア!$A$1:$S$206</definedName>
    <definedName name="_xlnm.Print_Area" localSheetId="1">メイン!$A$1:$F$54</definedName>
    <definedName name="_xlnm.Print_Area" localSheetId="13">街区環境SDGsチェックリスト!$B$1:$V$160</definedName>
    <definedName name="_xlnm.Print_Area" localSheetId="3">旧結果!$A$1:$P$80</definedName>
    <definedName name="_xlnm.Print_Area" localSheetId="0">'結果 (2)'!$A$1:$P$78</definedName>
    <definedName name="_xlnm.Print_Area" localSheetId="4">'結果(2-3SDGs)'!$A$1:$P$80</definedName>
    <definedName name="_xlnm.Print_Area" localSheetId="2">'結果(2-3ﾚｰﾀﾞｰ)'!$A$1:$P$80</definedName>
    <definedName name="_xlnm.Print_Area" localSheetId="10">採点LR1!$A$1:$M$78</definedName>
    <definedName name="_xlnm.Print_Area" localSheetId="11">採点LR2!$A$1:$M$162</definedName>
    <definedName name="_xlnm.Print_Area" localSheetId="12">採点LR3!$A$1:$M$253</definedName>
    <definedName name="_xlnm.Print_Area" localSheetId="7">採点Q1!$A$1:$M$231</definedName>
    <definedName name="_xlnm.Print_Area" localSheetId="8">採点Q2!$A$1:$M$270</definedName>
    <definedName name="_xlnm.Print_Area" localSheetId="9">採点Q3!$A$1:$M$212</definedName>
    <definedName name="_xlnm.Print_Area" localSheetId="15">店舗水計算シート!$A$1:$X$80</definedName>
    <definedName name="_xlnm.Print_Titles" localSheetId="13">街区環境SDGsチェックリスト!$6:$7</definedName>
    <definedName name="SDGsグラフ">INDIRECT(#REF!)</definedName>
    <definedName name="Z_047384A4_E844_4BB4_B522_1CE13C4699E4_.wvu.PrintArea" localSheetId="0" hidden="1">'結果 (2)'!$A$1:$P$98</definedName>
    <definedName name="Z_047384A4_E844_4BB4_B522_1CE13C4699E4_.wvu.PrintArea" localSheetId="4" hidden="1">'結果(2-3SDGs)'!$A$1:$P$100</definedName>
    <definedName name="Z_047384A4_E844_4BB4_B522_1CE13C4699E4_.wvu.PrintArea" localSheetId="2" hidden="1">'結果(2-3ﾚｰﾀﾞｰ)'!$A$1:$P$100</definedName>
    <definedName name="Z_047384A4_E844_4BB4_B522_1CE13C4699E4_.wvu.Rows" localSheetId="0" hidden="1">'結果 (2)'!$216:$65537,'結果 (2)'!$18:$21,'結果 (2)'!$72:$93,'結果 (2)'!$99:$215</definedName>
    <definedName name="Z_047384A4_E844_4BB4_B522_1CE13C4699E4_.wvu.Rows" localSheetId="4" hidden="1">'結果(2-3SDGs)'!$218:$65539,'結果(2-3SDGs)'!$18:$21,'結果(2-3SDGs)'!$74:$95,'結果(2-3SDGs)'!$101:$217</definedName>
    <definedName name="Z_047384A4_E844_4BB4_B522_1CE13C4699E4_.wvu.Rows" localSheetId="2" hidden="1">'結果(2-3ﾚｰﾀﾞｰ)'!$218:$65539,'結果(2-3ﾚｰﾀﾞｰ)'!$18:$21,'結果(2-3ﾚｰﾀﾞｰ)'!$74:$95,'結果(2-3ﾚｰﾀﾞｰ)'!$101:$217</definedName>
    <definedName name="案1">#REF!</definedName>
    <definedName name="案2">#REF!</definedName>
    <definedName name="案3">#REF!</definedName>
    <definedName name="図形" localSheetId="14">INDIRECT([1]SDGs結果表示!$A$1)</definedName>
    <definedName name="図形" localSheetId="15">INDIRECT([1]SDGs結果表示!$A$1)</definedName>
    <definedName name="図形">INDIRECT(#REF!)</definedName>
    <definedName name="非表示">#REF!</definedName>
    <definedName name="表示">#REF!</definedName>
  </definedNames>
  <calcPr calcId="191029"/>
</workbook>
</file>

<file path=xl/calcChain.xml><?xml version="1.0" encoding="utf-8"?>
<calcChain xmlns="http://schemas.openxmlformats.org/spreadsheetml/2006/main">
  <c r="G96" i="73" l="1"/>
  <c r="G49" i="73"/>
  <c r="N49" i="73"/>
  <c r="W87" i="73"/>
  <c r="W86" i="73"/>
  <c r="W80" i="73"/>
  <c r="W78" i="73"/>
  <c r="W71" i="73"/>
  <c r="W37" i="73"/>
  <c r="BG137" i="73"/>
  <c r="BG114" i="73"/>
  <c r="BG55" i="73"/>
  <c r="BG54" i="73"/>
  <c r="BG53" i="73"/>
  <c r="BF53" i="73"/>
  <c r="BF54" i="73"/>
  <c r="BF55" i="73"/>
  <c r="BG155" i="73"/>
  <c r="BG152" i="73"/>
  <c r="BG150" i="73"/>
  <c r="BG147" i="73"/>
  <c r="BG144" i="73"/>
  <c r="BG143" i="73"/>
  <c r="BG142" i="73"/>
  <c r="BG141" i="73"/>
  <c r="BG140" i="73"/>
  <c r="BG136" i="73"/>
  <c r="BG135" i="73"/>
  <c r="BG134" i="73"/>
  <c r="BG128" i="73"/>
  <c r="BG127" i="73"/>
  <c r="BG125" i="73"/>
  <c r="BG123" i="73"/>
  <c r="BG122" i="73"/>
  <c r="BG120" i="73"/>
  <c r="BG116" i="73"/>
  <c r="BG115" i="73"/>
  <c r="BG113" i="73"/>
  <c r="BG112" i="73"/>
  <c r="BG111" i="73"/>
  <c r="BG110" i="73"/>
  <c r="BG109" i="73"/>
  <c r="BG108" i="73"/>
  <c r="BG107" i="73"/>
  <c r="BG105" i="73"/>
  <c r="BG104" i="73"/>
  <c r="BG103" i="73"/>
  <c r="BG102" i="73"/>
  <c r="BG101" i="73"/>
  <c r="BG100" i="73"/>
  <c r="BG99" i="73"/>
  <c r="BG98" i="73"/>
  <c r="BG97" i="73"/>
  <c r="BG95" i="73"/>
  <c r="BG94" i="73"/>
  <c r="BG93" i="73"/>
  <c r="BG92" i="73"/>
  <c r="BG91" i="73"/>
  <c r="BG90" i="73"/>
  <c r="BG89" i="73"/>
  <c r="BG88" i="73"/>
  <c r="BG87" i="73"/>
  <c r="BG86" i="73"/>
  <c r="BG85" i="73"/>
  <c r="BG84" i="73"/>
  <c r="BG82" i="73"/>
  <c r="BG81" i="73"/>
  <c r="BG80" i="73"/>
  <c r="BG79" i="73"/>
  <c r="BG78" i="73"/>
  <c r="BG74" i="73"/>
  <c r="BG72" i="73"/>
  <c r="BG71" i="73"/>
  <c r="BG70" i="73"/>
  <c r="BG69" i="73"/>
  <c r="BG68" i="73"/>
  <c r="BG64" i="73"/>
  <c r="BG63" i="73"/>
  <c r="BG62" i="73"/>
  <c r="BG61" i="73"/>
  <c r="BG57" i="73"/>
  <c r="BG46" i="73"/>
  <c r="BG45" i="73"/>
  <c r="BG44" i="73"/>
  <c r="BG43" i="73"/>
  <c r="BG42" i="73"/>
  <c r="BG41" i="73"/>
  <c r="BG40" i="73"/>
  <c r="BG39" i="73"/>
  <c r="BG38" i="73"/>
  <c r="BG37" i="73"/>
  <c r="BG34" i="73"/>
  <c r="BG32" i="73"/>
  <c r="BG29" i="73"/>
  <c r="BG25" i="73"/>
  <c r="BG23" i="73"/>
  <c r="BG22" i="73"/>
  <c r="BG21" i="73"/>
  <c r="BG20" i="73"/>
  <c r="BG19" i="73"/>
  <c r="BG18" i="73"/>
  <c r="BG16" i="73"/>
  <c r="BG15" i="73"/>
  <c r="BG14" i="73"/>
  <c r="BG12" i="73"/>
  <c r="BF13" i="73"/>
  <c r="BF14" i="73"/>
  <c r="BF15" i="73"/>
  <c r="BF16" i="73"/>
  <c r="BF17" i="73"/>
  <c r="BF18" i="73"/>
  <c r="BF19" i="73"/>
  <c r="BF20" i="73"/>
  <c r="BF21" i="73"/>
  <c r="BF22" i="73"/>
  <c r="BF23" i="73"/>
  <c r="BF24" i="73"/>
  <c r="BF25" i="73"/>
  <c r="BF26" i="73"/>
  <c r="BF27" i="73"/>
  <c r="BF28" i="73"/>
  <c r="BF29" i="73"/>
  <c r="BF30" i="73"/>
  <c r="BF31" i="73"/>
  <c r="BF32" i="73"/>
  <c r="BF33" i="73"/>
  <c r="BF34" i="73"/>
  <c r="BF35" i="73"/>
  <c r="BF36" i="73"/>
  <c r="BF37" i="73"/>
  <c r="BF38" i="73"/>
  <c r="BF39" i="73"/>
  <c r="BF40" i="73"/>
  <c r="BF41" i="73"/>
  <c r="BF42" i="73"/>
  <c r="BF43" i="73"/>
  <c r="BF44" i="73"/>
  <c r="BF45" i="73"/>
  <c r="BF46" i="73"/>
  <c r="BF47" i="73"/>
  <c r="BF48" i="73"/>
  <c r="BF49" i="73"/>
  <c r="BF50" i="73"/>
  <c r="BF51" i="73"/>
  <c r="BF52" i="73"/>
  <c r="BF56" i="73"/>
  <c r="BF57" i="73"/>
  <c r="BF58" i="73"/>
  <c r="BF59" i="73"/>
  <c r="BF60" i="73"/>
  <c r="BF61" i="73"/>
  <c r="BF62" i="73"/>
  <c r="BF63" i="73"/>
  <c r="BF64" i="73"/>
  <c r="BF65" i="73"/>
  <c r="BF66" i="73"/>
  <c r="BF67" i="73"/>
  <c r="BF68" i="73"/>
  <c r="BF69" i="73"/>
  <c r="BF70" i="73"/>
  <c r="BF71" i="73"/>
  <c r="BF72" i="73"/>
  <c r="BF73" i="73"/>
  <c r="BF74" i="73"/>
  <c r="BF75" i="73"/>
  <c r="BF76" i="73"/>
  <c r="BF77" i="73"/>
  <c r="BF78" i="73"/>
  <c r="BF79" i="73"/>
  <c r="BF80" i="73"/>
  <c r="BF81" i="73"/>
  <c r="BF82" i="73"/>
  <c r="BF83" i="73"/>
  <c r="BF84" i="73"/>
  <c r="BF85" i="73"/>
  <c r="BF86" i="73"/>
  <c r="BF87" i="73"/>
  <c r="BF88" i="73"/>
  <c r="BF89" i="73"/>
  <c r="BF90" i="73"/>
  <c r="BF91" i="73"/>
  <c r="BF92" i="73"/>
  <c r="BF93" i="73"/>
  <c r="BF94" i="73"/>
  <c r="BF95" i="73"/>
  <c r="BF96" i="73"/>
  <c r="BF97" i="73"/>
  <c r="BF98" i="73"/>
  <c r="BF99" i="73"/>
  <c r="BF100" i="73"/>
  <c r="BF101" i="73"/>
  <c r="BF102" i="73"/>
  <c r="BF103" i="73"/>
  <c r="BF104" i="73"/>
  <c r="BF105" i="73"/>
  <c r="BF106" i="73"/>
  <c r="BF107" i="73"/>
  <c r="BF108" i="73"/>
  <c r="BF109" i="73"/>
  <c r="BF110" i="73"/>
  <c r="BF111" i="73"/>
  <c r="BF112" i="73"/>
  <c r="BF113" i="73"/>
  <c r="BF114" i="73"/>
  <c r="BF115" i="73"/>
  <c r="BF116" i="73"/>
  <c r="BF117" i="73"/>
  <c r="BF118" i="73"/>
  <c r="BF119" i="73"/>
  <c r="BF120" i="73"/>
  <c r="BF121" i="73"/>
  <c r="BF122" i="73"/>
  <c r="BF123" i="73"/>
  <c r="BF124" i="73"/>
  <c r="BF125" i="73"/>
  <c r="BF126" i="73"/>
  <c r="BF127" i="73"/>
  <c r="BF128" i="73"/>
  <c r="BF129" i="73"/>
  <c r="BF130" i="73"/>
  <c r="BF131" i="73"/>
  <c r="BF132" i="73"/>
  <c r="BF133" i="73"/>
  <c r="BF134" i="73"/>
  <c r="BF135" i="73"/>
  <c r="BF136" i="73"/>
  <c r="BF137" i="73"/>
  <c r="BF138" i="73"/>
  <c r="BF139" i="73"/>
  <c r="BF140" i="73"/>
  <c r="BF141" i="73"/>
  <c r="BF142" i="73"/>
  <c r="BF143" i="73"/>
  <c r="BF144" i="73"/>
  <c r="BF145" i="73"/>
  <c r="BF146" i="73"/>
  <c r="BF147" i="73"/>
  <c r="BF148" i="73"/>
  <c r="BF149" i="73"/>
  <c r="BF150" i="73"/>
  <c r="BF151" i="73"/>
  <c r="BF152" i="73"/>
  <c r="BF153" i="73"/>
  <c r="BF154" i="73"/>
  <c r="BF155" i="73"/>
  <c r="BF156" i="73"/>
  <c r="BF157" i="73"/>
  <c r="BF158" i="73"/>
  <c r="BF159" i="73"/>
  <c r="BF160" i="73"/>
  <c r="Q123" i="73"/>
  <c r="P123" i="73"/>
  <c r="O123" i="73"/>
  <c r="Q62" i="73"/>
  <c r="P62" i="73"/>
  <c r="O62" i="73"/>
  <c r="S96" i="73"/>
  <c r="N96" i="73"/>
  <c r="I108" i="73"/>
  <c r="I107" i="73"/>
  <c r="J107" i="73" s="1"/>
  <c r="N107" i="73" s="1"/>
  <c r="J108" i="73"/>
  <c r="N108" i="73" s="1"/>
  <c r="S49" i="73"/>
  <c r="Q107" i="73" l="1"/>
  <c r="T107" i="73"/>
  <c r="P107" i="73"/>
  <c r="O107" i="73"/>
  <c r="Q108" i="73"/>
  <c r="P108" i="73"/>
  <c r="O108" i="73"/>
  <c r="T108" i="73"/>
  <c r="I71" i="73"/>
  <c r="I86" i="73"/>
  <c r="I99" i="73"/>
  <c r="J99" i="73" s="1"/>
  <c r="I155" i="73"/>
  <c r="I16" i="73"/>
  <c r="I21" i="73"/>
  <c r="I22" i="73"/>
  <c r="J22" i="73" s="1"/>
  <c r="N22" i="73" s="1"/>
  <c r="I23" i="73"/>
  <c r="J23" i="73" s="1"/>
  <c r="N23" i="73" s="1"/>
  <c r="I134" i="73"/>
  <c r="J134" i="73" s="1"/>
  <c r="P110" i="73"/>
  <c r="Q10" i="73"/>
  <c r="BN11" i="8"/>
  <c r="BN36" i="8"/>
  <c r="BN73" i="8"/>
  <c r="BN99" i="8"/>
  <c r="BN151" i="8"/>
  <c r="BN152" i="8"/>
  <c r="BN153" i="8"/>
  <c r="BN154" i="8"/>
  <c r="BN158" i="8"/>
  <c r="BN159" i="8"/>
  <c r="BN160" i="8"/>
  <c r="BN161" i="8"/>
  <c r="BN162" i="8"/>
  <c r="BN163" i="8"/>
  <c r="BN164" i="8"/>
  <c r="BN165" i="8"/>
  <c r="BN166" i="8"/>
  <c r="BN167" i="8"/>
  <c r="BN168" i="8"/>
  <c r="BN169" i="8"/>
  <c r="BN170" i="8"/>
  <c r="BG160" i="73"/>
  <c r="BF12" i="73"/>
  <c r="R2" i="73"/>
  <c r="I42" i="73"/>
  <c r="AF23" i="69" l="1"/>
  <c r="AI23" i="69"/>
  <c r="B77" i="75" l="1"/>
  <c r="B76" i="75"/>
  <c r="L72" i="75"/>
  <c r="H72" i="75"/>
  <c r="B72" i="75"/>
  <c r="L70" i="75"/>
  <c r="H70" i="75"/>
  <c r="B70" i="75"/>
  <c r="L68" i="75"/>
  <c r="B68" i="75"/>
  <c r="L67" i="75"/>
  <c r="B67" i="75"/>
  <c r="AF62" i="75"/>
  <c r="AF61" i="75"/>
  <c r="AF60" i="75"/>
  <c r="AF57" i="75"/>
  <c r="X57" i="75"/>
  <c r="AR53" i="75"/>
  <c r="AR52" i="75"/>
  <c r="AF52" i="75"/>
  <c r="AR51" i="75"/>
  <c r="AF51" i="75"/>
  <c r="AR50" i="75"/>
  <c r="AF50" i="75"/>
  <c r="AR49" i="75"/>
  <c r="AF49" i="75"/>
  <c r="AR48" i="75"/>
  <c r="AF46" i="75"/>
  <c r="X46" i="75"/>
  <c r="AR45" i="75"/>
  <c r="I40" i="75" s="1"/>
  <c r="AP45" i="75"/>
  <c r="AO45" i="75"/>
  <c r="AN45" i="75"/>
  <c r="AR44" i="75"/>
  <c r="AO44" i="75"/>
  <c r="AN44" i="75"/>
  <c r="AR43" i="75"/>
  <c r="K41" i="75" s="1"/>
  <c r="AO43" i="75"/>
  <c r="AN43" i="75"/>
  <c r="W43" i="75"/>
  <c r="V43" i="75"/>
  <c r="U43" i="75"/>
  <c r="T43" i="75"/>
  <c r="S43" i="75"/>
  <c r="AR42" i="75"/>
  <c r="J41" i="75" s="1"/>
  <c r="AO42" i="75"/>
  <c r="AN42" i="75"/>
  <c r="Y42" i="75"/>
  <c r="X42" i="75"/>
  <c r="AR41" i="75"/>
  <c r="I41" i="75" s="1"/>
  <c r="AO41" i="75"/>
  <c r="AN41" i="75"/>
  <c r="AC41" i="75"/>
  <c r="AB41" i="75"/>
  <c r="AA41" i="75"/>
  <c r="Z41" i="75"/>
  <c r="AR40" i="75"/>
  <c r="H41" i="75" s="1"/>
  <c r="AO40" i="75"/>
  <c r="AN40" i="75"/>
  <c r="AD40" i="75"/>
  <c r="H40" i="75"/>
  <c r="AR39" i="75"/>
  <c r="AO39" i="75"/>
  <c r="AN39" i="75"/>
  <c r="K39" i="75"/>
  <c r="J39" i="75"/>
  <c r="AR38" i="75"/>
  <c r="AO38" i="75"/>
  <c r="AN38" i="75"/>
  <c r="AR37" i="75"/>
  <c r="I39" i="75" s="1"/>
  <c r="AO37" i="75"/>
  <c r="AN37" i="75"/>
  <c r="V37" i="75"/>
  <c r="AR36" i="75"/>
  <c r="H39" i="75" s="1"/>
  <c r="AO36" i="75"/>
  <c r="AN36" i="75"/>
  <c r="T36" i="75"/>
  <c r="AO35" i="75"/>
  <c r="AN35" i="75"/>
  <c r="AO34" i="75"/>
  <c r="AN34" i="75"/>
  <c r="Z34" i="75"/>
  <c r="U34" i="75"/>
  <c r="AO33" i="75"/>
  <c r="AN33" i="75"/>
  <c r="Z33" i="75"/>
  <c r="AO32" i="75"/>
  <c r="AN32" i="75"/>
  <c r="W32" i="75"/>
  <c r="U32" i="75"/>
  <c r="AO31" i="75"/>
  <c r="AN31" i="75"/>
  <c r="AO30" i="75"/>
  <c r="AN30" i="75"/>
  <c r="AO29" i="75"/>
  <c r="AN29" i="75"/>
  <c r="AL45" i="75" s="1"/>
  <c r="W29" i="75"/>
  <c r="W33" i="75" s="1"/>
  <c r="V29" i="75"/>
  <c r="V34" i="75" s="1"/>
  <c r="U29" i="75"/>
  <c r="U31" i="75" s="1"/>
  <c r="AI25" i="75"/>
  <c r="AI26" i="75" s="1"/>
  <c r="J21" i="75"/>
  <c r="J20" i="75"/>
  <c r="D20" i="75"/>
  <c r="J19" i="75"/>
  <c r="D19" i="75"/>
  <c r="J18" i="75"/>
  <c r="E18" i="75"/>
  <c r="J17" i="75"/>
  <c r="D17" i="75"/>
  <c r="J16" i="75"/>
  <c r="E16" i="75"/>
  <c r="J15" i="75"/>
  <c r="D15" i="75"/>
  <c r="J14" i="75"/>
  <c r="E14" i="75"/>
  <c r="J13" i="75"/>
  <c r="D13" i="75"/>
  <c r="E12" i="75"/>
  <c r="F11" i="75"/>
  <c r="D11" i="75"/>
  <c r="J10" i="75"/>
  <c r="D10" i="75"/>
  <c r="J9" i="75"/>
  <c r="D9" i="75"/>
  <c r="J8" i="75"/>
  <c r="D8" i="75"/>
  <c r="O5" i="75"/>
  <c r="K5" i="75"/>
  <c r="AR159" i="73"/>
  <c r="AS159" i="73" s="1"/>
  <c r="AK159" i="73" s="1"/>
  <c r="V159" i="73"/>
  <c r="T159" i="73"/>
  <c r="W159" i="73" s="1"/>
  <c r="Q159" i="73"/>
  <c r="P159" i="73"/>
  <c r="O159" i="73"/>
  <c r="AR158" i="73"/>
  <c r="AH158" i="73" s="1"/>
  <c r="V158" i="73"/>
  <c r="T158" i="73"/>
  <c r="Q158" i="73"/>
  <c r="P158" i="73"/>
  <c r="O158" i="73"/>
  <c r="AR157" i="73"/>
  <c r="AH157" i="73" s="1"/>
  <c r="V157" i="73"/>
  <c r="T157" i="73"/>
  <c r="Q157" i="73"/>
  <c r="P157" i="73"/>
  <c r="O157" i="73"/>
  <c r="BB156" i="73"/>
  <c r="AR156" i="73"/>
  <c r="AH156" i="73" s="1"/>
  <c r="V156" i="73"/>
  <c r="T156" i="73"/>
  <c r="W156" i="73" s="1"/>
  <c r="X155" i="73" s="1"/>
  <c r="Q156" i="73"/>
  <c r="P156" i="73"/>
  <c r="O156" i="73"/>
  <c r="BB155" i="73"/>
  <c r="AR155" i="73"/>
  <c r="AS155" i="73" s="1"/>
  <c r="AK155" i="73" s="1"/>
  <c r="V155" i="73"/>
  <c r="V154" i="73"/>
  <c r="T154" i="73"/>
  <c r="W154" i="73" s="1"/>
  <c r="Q154" i="73"/>
  <c r="P154" i="73"/>
  <c r="O154" i="73"/>
  <c r="V153" i="73"/>
  <c r="T153" i="73"/>
  <c r="W153" i="73" s="1"/>
  <c r="Q153" i="73"/>
  <c r="P153" i="73"/>
  <c r="O153" i="73"/>
  <c r="V152" i="73"/>
  <c r="BB151" i="73"/>
  <c r="AR151" i="73"/>
  <c r="AG151" i="73" s="1"/>
  <c r="V151" i="73"/>
  <c r="T151" i="73"/>
  <c r="Q151" i="73"/>
  <c r="P151" i="73"/>
  <c r="O151" i="73"/>
  <c r="AR150" i="73"/>
  <c r="AF150" i="73" s="1"/>
  <c r="V150" i="73"/>
  <c r="BB149" i="73"/>
  <c r="BA149" i="73" s="1"/>
  <c r="AR149" i="73"/>
  <c r="AH149" i="73" s="1"/>
  <c r="V149" i="73"/>
  <c r="T149" i="73"/>
  <c r="Q149" i="73"/>
  <c r="P149" i="73"/>
  <c r="O149" i="73"/>
  <c r="AR148" i="73"/>
  <c r="AS148" i="73" s="1"/>
  <c r="AK148" i="73" s="1"/>
  <c r="V148" i="73"/>
  <c r="T148" i="73"/>
  <c r="W148" i="73" s="1"/>
  <c r="Q148" i="73"/>
  <c r="P148" i="73"/>
  <c r="O148" i="73"/>
  <c r="V147" i="73"/>
  <c r="V146" i="73"/>
  <c r="T146" i="73"/>
  <c r="Q146" i="73"/>
  <c r="P146" i="73"/>
  <c r="O146" i="73"/>
  <c r="V145" i="73"/>
  <c r="T145" i="73"/>
  <c r="W144" i="73" s="1"/>
  <c r="Q145" i="73"/>
  <c r="P145" i="73"/>
  <c r="O145" i="73"/>
  <c r="BB144" i="73"/>
  <c r="AR144" i="73"/>
  <c r="AS144" i="73" s="1"/>
  <c r="AK144" i="73" s="1"/>
  <c r="V144" i="73"/>
  <c r="AR143" i="73"/>
  <c r="AS143" i="73" s="1"/>
  <c r="AK143" i="73" s="1"/>
  <c r="V143" i="73"/>
  <c r="Q143" i="73"/>
  <c r="P143" i="73"/>
  <c r="O143" i="73"/>
  <c r="V142" i="73"/>
  <c r="Q142" i="73"/>
  <c r="P142" i="73"/>
  <c r="O142" i="73"/>
  <c r="AR141" i="73"/>
  <c r="AH141" i="73" s="1"/>
  <c r="V141" i="73"/>
  <c r="BB140" i="73"/>
  <c r="AR140" i="73"/>
  <c r="AS140" i="73" s="1"/>
  <c r="AK140" i="73" s="1"/>
  <c r="V140" i="73"/>
  <c r="V138" i="73"/>
  <c r="T138" i="73"/>
  <c r="W138" i="73" s="1"/>
  <c r="Q138" i="73"/>
  <c r="P138" i="73"/>
  <c r="O138" i="73"/>
  <c r="V137" i="73"/>
  <c r="V136" i="73"/>
  <c r="BB135" i="73"/>
  <c r="AR135" i="73"/>
  <c r="AS135" i="73" s="1"/>
  <c r="AK135" i="73" s="1"/>
  <c r="V135" i="73"/>
  <c r="BB134" i="73"/>
  <c r="AR134" i="73"/>
  <c r="AS134" i="73" s="1"/>
  <c r="AK134" i="73" s="1"/>
  <c r="V134" i="73"/>
  <c r="V133" i="73"/>
  <c r="T133" i="73"/>
  <c r="W132" i="73" s="1"/>
  <c r="Q133" i="73"/>
  <c r="P133" i="73"/>
  <c r="O133" i="73"/>
  <c r="V132" i="73"/>
  <c r="T132" i="73"/>
  <c r="Q132" i="73"/>
  <c r="P132" i="73"/>
  <c r="O132" i="73"/>
  <c r="V131" i="73"/>
  <c r="T131" i="73"/>
  <c r="W131" i="73" s="1"/>
  <c r="Q131" i="73"/>
  <c r="P131" i="73"/>
  <c r="O131" i="73"/>
  <c r="AR130" i="73"/>
  <c r="AS130" i="73" s="1"/>
  <c r="AK130" i="73" s="1"/>
  <c r="V130" i="73"/>
  <c r="T130" i="73"/>
  <c r="Q130" i="73"/>
  <c r="P130" i="73"/>
  <c r="O130" i="73"/>
  <c r="AR129" i="73"/>
  <c r="AS129" i="73" s="1"/>
  <c r="AK129" i="73" s="1"/>
  <c r="V129" i="73"/>
  <c r="T129" i="73"/>
  <c r="W128" i="73" s="1"/>
  <c r="Q129" i="73"/>
  <c r="P129" i="73"/>
  <c r="O129" i="73"/>
  <c r="V128" i="73"/>
  <c r="AR127" i="73"/>
  <c r="AH127" i="73" s="1"/>
  <c r="V127" i="73"/>
  <c r="BB126" i="73"/>
  <c r="AR126" i="73"/>
  <c r="AH126" i="73" s="1"/>
  <c r="V126" i="73"/>
  <c r="T126" i="73"/>
  <c r="W126" i="73" s="1"/>
  <c r="Q126" i="73"/>
  <c r="P126" i="73"/>
  <c r="O126" i="73"/>
  <c r="BB125" i="73"/>
  <c r="V125" i="73"/>
  <c r="BB124" i="73"/>
  <c r="V124" i="73"/>
  <c r="T124" i="73"/>
  <c r="W124" i="73" s="1"/>
  <c r="Q124" i="73"/>
  <c r="P124" i="73"/>
  <c r="O124" i="73"/>
  <c r="V123" i="73"/>
  <c r="V122" i="73"/>
  <c r="BB121" i="73"/>
  <c r="AR121" i="73"/>
  <c r="AS121" i="73" s="1"/>
  <c r="AK121" i="73" s="1"/>
  <c r="V121" i="73"/>
  <c r="T121" i="73"/>
  <c r="W121" i="73" s="1"/>
  <c r="Q121" i="73"/>
  <c r="P121" i="73"/>
  <c r="O121" i="73"/>
  <c r="V120" i="73"/>
  <c r="V119" i="73"/>
  <c r="T119" i="73"/>
  <c r="Q119" i="73"/>
  <c r="P119" i="73"/>
  <c r="O119" i="73"/>
  <c r="V118" i="73"/>
  <c r="T118" i="73"/>
  <c r="Q118" i="73"/>
  <c r="P118" i="73"/>
  <c r="O118" i="73"/>
  <c r="V117" i="73"/>
  <c r="T117" i="73"/>
  <c r="Q117" i="73"/>
  <c r="P117" i="73"/>
  <c r="O117" i="73"/>
  <c r="V116" i="73"/>
  <c r="Q116" i="73"/>
  <c r="P116" i="73"/>
  <c r="O116" i="73"/>
  <c r="V115" i="73"/>
  <c r="V114" i="73"/>
  <c r="V113" i="73"/>
  <c r="V112" i="73"/>
  <c r="Q112" i="73"/>
  <c r="P112" i="73"/>
  <c r="O112" i="73"/>
  <c r="V111" i="73"/>
  <c r="Q111" i="73"/>
  <c r="P111" i="73"/>
  <c r="O111" i="73"/>
  <c r="V110" i="73"/>
  <c r="Q110" i="73"/>
  <c r="O110" i="73"/>
  <c r="V109" i="73"/>
  <c r="V106" i="73"/>
  <c r="T106" i="73"/>
  <c r="Q106" i="73"/>
  <c r="P106" i="73"/>
  <c r="O106" i="73"/>
  <c r="V105" i="73"/>
  <c r="V104" i="73"/>
  <c r="V103" i="73"/>
  <c r="Q103" i="73"/>
  <c r="P103" i="73"/>
  <c r="O103" i="73"/>
  <c r="V102" i="73"/>
  <c r="V101" i="73"/>
  <c r="Q101" i="73"/>
  <c r="P101" i="73"/>
  <c r="O101" i="73"/>
  <c r="V100" i="73"/>
  <c r="Q100" i="73"/>
  <c r="P100" i="73"/>
  <c r="O100" i="73"/>
  <c r="V99" i="73"/>
  <c r="V98" i="73"/>
  <c r="V97" i="73"/>
  <c r="V96" i="73"/>
  <c r="V95" i="73"/>
  <c r="V94" i="73"/>
  <c r="Q94" i="73"/>
  <c r="P94" i="73"/>
  <c r="O94" i="73"/>
  <c r="V93" i="73"/>
  <c r="Q93" i="73"/>
  <c r="P93" i="73"/>
  <c r="O93" i="73"/>
  <c r="V92" i="73"/>
  <c r="Q92" i="73"/>
  <c r="P92" i="73"/>
  <c r="O92" i="73"/>
  <c r="AR91" i="73"/>
  <c r="AS91" i="73" s="1"/>
  <c r="AK91" i="73" s="1"/>
  <c r="V91" i="73"/>
  <c r="V90" i="73"/>
  <c r="Q90" i="73"/>
  <c r="P90" i="73"/>
  <c r="O90" i="73"/>
  <c r="AR89" i="73"/>
  <c r="AH89" i="73" s="1"/>
  <c r="V89" i="73"/>
  <c r="AR88" i="73"/>
  <c r="AS88" i="73" s="1"/>
  <c r="AK88" i="73" s="1"/>
  <c r="V88" i="73"/>
  <c r="BB87" i="73"/>
  <c r="AR87" i="73"/>
  <c r="AS87" i="73" s="1"/>
  <c r="AK87" i="73" s="1"/>
  <c r="V87" i="73"/>
  <c r="BB86" i="73"/>
  <c r="AR86" i="73"/>
  <c r="AH86" i="73" s="1"/>
  <c r="V86" i="73"/>
  <c r="BB85" i="73"/>
  <c r="AR85" i="73"/>
  <c r="AH85" i="73" s="1"/>
  <c r="V85" i="73"/>
  <c r="BB84" i="73"/>
  <c r="AR84" i="73"/>
  <c r="AH84" i="73" s="1"/>
  <c r="V84" i="73"/>
  <c r="AR83" i="73"/>
  <c r="AF83" i="73" s="1"/>
  <c r="V83" i="73"/>
  <c r="T83" i="73"/>
  <c r="W82" i="73" s="1"/>
  <c r="Q83" i="73"/>
  <c r="P83" i="73"/>
  <c r="O83" i="73"/>
  <c r="BB82" i="73"/>
  <c r="AR82" i="73"/>
  <c r="AS82" i="73" s="1"/>
  <c r="AK82" i="73" s="1"/>
  <c r="V82" i="73"/>
  <c r="AR81" i="73"/>
  <c r="V81" i="73"/>
  <c r="BB80" i="73"/>
  <c r="AR80" i="73"/>
  <c r="AH80" i="73" s="1"/>
  <c r="V80" i="73"/>
  <c r="AR79" i="73"/>
  <c r="AF79" i="73" s="1"/>
  <c r="V79" i="73"/>
  <c r="BB78" i="73"/>
  <c r="AR78" i="73"/>
  <c r="V78" i="73"/>
  <c r="AR77" i="73"/>
  <c r="AF77" i="73" s="1"/>
  <c r="V76" i="73"/>
  <c r="T76" i="73"/>
  <c r="W76" i="73" s="1"/>
  <c r="Q76" i="73"/>
  <c r="P76" i="73"/>
  <c r="O76" i="73"/>
  <c r="V75" i="73"/>
  <c r="T75" i="73"/>
  <c r="W74" i="73" s="1"/>
  <c r="Q75" i="73"/>
  <c r="P75" i="73"/>
  <c r="O75" i="73"/>
  <c r="AR74" i="73"/>
  <c r="AH74" i="73" s="1"/>
  <c r="V74" i="73"/>
  <c r="V73" i="73"/>
  <c r="T73" i="73"/>
  <c r="W73" i="73" s="1"/>
  <c r="Q73" i="73"/>
  <c r="P73" i="73"/>
  <c r="O73" i="73"/>
  <c r="AR72" i="73"/>
  <c r="AS72" i="73" s="1"/>
  <c r="AK72" i="73" s="1"/>
  <c r="V72" i="73"/>
  <c r="BB71" i="73"/>
  <c r="AR71" i="73"/>
  <c r="AG71" i="73" s="1"/>
  <c r="V71" i="73"/>
  <c r="V70" i="73"/>
  <c r="Q70" i="73"/>
  <c r="P70" i="73"/>
  <c r="O70" i="73"/>
  <c r="V69" i="73"/>
  <c r="Q69" i="73"/>
  <c r="P69" i="73"/>
  <c r="O69" i="73"/>
  <c r="BB68" i="73"/>
  <c r="AR68" i="73"/>
  <c r="AH68" i="73" s="1"/>
  <c r="V68" i="73"/>
  <c r="V67" i="73"/>
  <c r="T67" i="73"/>
  <c r="W67" i="73" s="1"/>
  <c r="Q67" i="73"/>
  <c r="P67" i="73"/>
  <c r="O67" i="73"/>
  <c r="V66" i="73"/>
  <c r="T66" i="73"/>
  <c r="W66" i="73" s="1"/>
  <c r="Q66" i="73"/>
  <c r="P66" i="73"/>
  <c r="O66" i="73"/>
  <c r="V65" i="73"/>
  <c r="T65" i="73"/>
  <c r="W65" i="73" s="1"/>
  <c r="Q65" i="73"/>
  <c r="P65" i="73"/>
  <c r="O65" i="73"/>
  <c r="AR64" i="73"/>
  <c r="V64" i="73"/>
  <c r="AR63" i="73"/>
  <c r="AG63" i="73" s="1"/>
  <c r="V63" i="73"/>
  <c r="V62" i="73"/>
  <c r="BB61" i="73"/>
  <c r="AR61" i="73"/>
  <c r="AS61" i="73" s="1"/>
  <c r="AK61" i="73" s="1"/>
  <c r="V61" i="73"/>
  <c r="BB60" i="73"/>
  <c r="V60" i="73"/>
  <c r="T60" i="73"/>
  <c r="W60" i="73" s="1"/>
  <c r="Q60" i="73"/>
  <c r="P60" i="73"/>
  <c r="O60" i="73"/>
  <c r="V59" i="73"/>
  <c r="T59" i="73"/>
  <c r="W59" i="73" s="1"/>
  <c r="Q59" i="73"/>
  <c r="P59" i="73"/>
  <c r="O59" i="73"/>
  <c r="V58" i="73"/>
  <c r="T58" i="73"/>
  <c r="W58" i="73" s="1"/>
  <c r="Q58" i="73"/>
  <c r="P58" i="73"/>
  <c r="O58" i="73"/>
  <c r="AR57" i="73"/>
  <c r="AG57" i="73" s="1"/>
  <c r="V57" i="73"/>
  <c r="AR56" i="73"/>
  <c r="AS56" i="73" s="1"/>
  <c r="AK56" i="73" s="1"/>
  <c r="V56" i="73"/>
  <c r="T56" i="73"/>
  <c r="Q56" i="73"/>
  <c r="P56" i="73"/>
  <c r="O56" i="73"/>
  <c r="AR55" i="73"/>
  <c r="AH55" i="73" s="1"/>
  <c r="V55" i="73"/>
  <c r="BB54" i="73"/>
  <c r="AR54" i="73"/>
  <c r="AG54" i="73" s="1"/>
  <c r="V54" i="73"/>
  <c r="BB53" i="73"/>
  <c r="AR53" i="73"/>
  <c r="AF53" i="73" s="1"/>
  <c r="V53" i="73"/>
  <c r="AR52" i="73"/>
  <c r="AS52" i="73" s="1"/>
  <c r="AK52" i="73" s="1"/>
  <c r="V52" i="73"/>
  <c r="T52" i="73"/>
  <c r="W52" i="73" s="1"/>
  <c r="Q52" i="73"/>
  <c r="P52" i="73"/>
  <c r="O52" i="73"/>
  <c r="AR51" i="73"/>
  <c r="AS51" i="73" s="1"/>
  <c r="AK51" i="73" s="1"/>
  <c r="V51" i="73"/>
  <c r="T51" i="73"/>
  <c r="Q51" i="73"/>
  <c r="P51" i="73"/>
  <c r="O51" i="73"/>
  <c r="AR50" i="73"/>
  <c r="AS50" i="73" s="1"/>
  <c r="AK50" i="73" s="1"/>
  <c r="V50" i="73"/>
  <c r="T50" i="73"/>
  <c r="Q50" i="73"/>
  <c r="P50" i="73"/>
  <c r="O50" i="73"/>
  <c r="AR49" i="73"/>
  <c r="AS49" i="73" s="1"/>
  <c r="AK49" i="73" s="1"/>
  <c r="V49" i="73"/>
  <c r="T49" i="73"/>
  <c r="Q49" i="73"/>
  <c r="P49" i="73"/>
  <c r="O49" i="73"/>
  <c r="AR48" i="73"/>
  <c r="AS48" i="73" s="1"/>
  <c r="AK48" i="73" s="1"/>
  <c r="V48" i="73"/>
  <c r="T48" i="73"/>
  <c r="W48" i="73" s="1"/>
  <c r="Q48" i="73"/>
  <c r="P48" i="73"/>
  <c r="O48" i="73"/>
  <c r="BB47" i="73"/>
  <c r="AR47" i="73"/>
  <c r="AS47" i="73" s="1"/>
  <c r="AK47" i="73" s="1"/>
  <c r="V47" i="73"/>
  <c r="T47" i="73"/>
  <c r="W47" i="73" s="1"/>
  <c r="Q47" i="73"/>
  <c r="P47" i="73"/>
  <c r="O47" i="73"/>
  <c r="AR46" i="73"/>
  <c r="AF46" i="73" s="1"/>
  <c r="V46" i="73"/>
  <c r="AR45" i="73"/>
  <c r="AH45" i="73" s="1"/>
  <c r="V45" i="73"/>
  <c r="AR44" i="73"/>
  <c r="AG44" i="73" s="1"/>
  <c r="V44" i="73"/>
  <c r="AR43" i="73"/>
  <c r="AS43" i="73" s="1"/>
  <c r="AK43" i="73" s="1"/>
  <c r="V43" i="73"/>
  <c r="AR42" i="73"/>
  <c r="AH42" i="73" s="1"/>
  <c r="V42" i="73"/>
  <c r="J42" i="73"/>
  <c r="N42" i="73" s="1"/>
  <c r="Q42" i="73" s="1"/>
  <c r="AR41" i="73"/>
  <c r="AH41" i="73" s="1"/>
  <c r="V41" i="73"/>
  <c r="BB40" i="73"/>
  <c r="AR40" i="73"/>
  <c r="AS40" i="73" s="1"/>
  <c r="AK40" i="73" s="1"/>
  <c r="V40" i="73"/>
  <c r="AR39" i="73"/>
  <c r="AG39" i="73" s="1"/>
  <c r="V39" i="73"/>
  <c r="AR38" i="73"/>
  <c r="AF38" i="73" s="1"/>
  <c r="V38" i="73"/>
  <c r="BB37" i="73"/>
  <c r="AR37" i="73"/>
  <c r="AH37" i="73" s="1"/>
  <c r="V37" i="73"/>
  <c r="AR36" i="73"/>
  <c r="AS36" i="73" s="1"/>
  <c r="AK36" i="73" s="1"/>
  <c r="V36" i="73"/>
  <c r="T36" i="73"/>
  <c r="W36" i="73" s="1"/>
  <c r="Q36" i="73"/>
  <c r="P36" i="73"/>
  <c r="O36" i="73"/>
  <c r="BB35" i="73"/>
  <c r="AR35" i="73"/>
  <c r="AS35" i="73" s="1"/>
  <c r="AK35" i="73" s="1"/>
  <c r="V35" i="73"/>
  <c r="T35" i="73"/>
  <c r="W35" i="73" s="1"/>
  <c r="Q35" i="73"/>
  <c r="P35" i="73"/>
  <c r="O35" i="73"/>
  <c r="AR34" i="73"/>
  <c r="AS34" i="73" s="1"/>
  <c r="AK34" i="73" s="1"/>
  <c r="V34" i="73"/>
  <c r="AR33" i="73"/>
  <c r="AS33" i="73" s="1"/>
  <c r="AK33" i="73" s="1"/>
  <c r="V33" i="73"/>
  <c r="T33" i="73"/>
  <c r="Q33" i="73"/>
  <c r="P33" i="73"/>
  <c r="O33" i="73"/>
  <c r="BB32" i="73"/>
  <c r="AR32" i="73"/>
  <c r="AG32" i="73" s="1"/>
  <c r="V32" i="73"/>
  <c r="AR31" i="73"/>
  <c r="AS31" i="73" s="1"/>
  <c r="AK31" i="73" s="1"/>
  <c r="V31" i="73"/>
  <c r="T31" i="73"/>
  <c r="Q31" i="73"/>
  <c r="P31" i="73"/>
  <c r="O31" i="73"/>
  <c r="AR30" i="73"/>
  <c r="AS30" i="73" s="1"/>
  <c r="AK30" i="73" s="1"/>
  <c r="V30" i="73"/>
  <c r="T30" i="73"/>
  <c r="Q30" i="73"/>
  <c r="P30" i="73"/>
  <c r="O30" i="73"/>
  <c r="AR29" i="73"/>
  <c r="AG29" i="73" s="1"/>
  <c r="V29" i="73"/>
  <c r="BB28" i="73"/>
  <c r="AR28" i="73"/>
  <c r="AS28" i="73" s="1"/>
  <c r="AK28" i="73" s="1"/>
  <c r="V28" i="73"/>
  <c r="T28" i="73"/>
  <c r="Q28" i="73"/>
  <c r="P28" i="73"/>
  <c r="O28" i="73"/>
  <c r="AR27" i="73"/>
  <c r="AS27" i="73" s="1"/>
  <c r="AK27" i="73" s="1"/>
  <c r="V27" i="73"/>
  <c r="T27" i="73"/>
  <c r="Q27" i="73"/>
  <c r="P27" i="73"/>
  <c r="O27" i="73"/>
  <c r="BB26" i="73"/>
  <c r="AR26" i="73"/>
  <c r="AS26" i="73" s="1"/>
  <c r="AK26" i="73" s="1"/>
  <c r="V26" i="73"/>
  <c r="T26" i="73"/>
  <c r="Q26" i="73"/>
  <c r="P26" i="73"/>
  <c r="O26" i="73"/>
  <c r="AR25" i="73"/>
  <c r="AH25" i="73" s="1"/>
  <c r="V25" i="73"/>
  <c r="BB24" i="73"/>
  <c r="AR24" i="73"/>
  <c r="AS24" i="73" s="1"/>
  <c r="AK24" i="73" s="1"/>
  <c r="V24" i="73"/>
  <c r="T24" i="73"/>
  <c r="Q24" i="73"/>
  <c r="P24" i="73"/>
  <c r="O24" i="73"/>
  <c r="BB23" i="73"/>
  <c r="AR23" i="73"/>
  <c r="AS23" i="73" s="1"/>
  <c r="AK23" i="73" s="1"/>
  <c r="V23" i="73"/>
  <c r="AR21" i="73"/>
  <c r="AG21" i="73" s="1"/>
  <c r="V21" i="73"/>
  <c r="AR20" i="73"/>
  <c r="AG20" i="73" s="1"/>
  <c r="V20" i="73"/>
  <c r="AR19" i="73"/>
  <c r="AH19" i="73" s="1"/>
  <c r="V19" i="73"/>
  <c r="AR18" i="73"/>
  <c r="AS18" i="73" s="1"/>
  <c r="AK18" i="73" s="1"/>
  <c r="V18" i="73"/>
  <c r="AR17" i="73"/>
  <c r="AS17" i="73" s="1"/>
  <c r="AK17" i="73" s="1"/>
  <c r="V17" i="73"/>
  <c r="T17" i="73"/>
  <c r="Q17" i="73"/>
  <c r="P17" i="73"/>
  <c r="O17" i="73"/>
  <c r="BB16" i="73"/>
  <c r="AR16" i="73"/>
  <c r="AH16" i="73" s="1"/>
  <c r="V16" i="73"/>
  <c r="AR15" i="73"/>
  <c r="AF15" i="73" s="1"/>
  <c r="V15" i="73"/>
  <c r="BB14" i="73"/>
  <c r="AR14" i="73"/>
  <c r="AG14" i="73" s="1"/>
  <c r="V14" i="73"/>
  <c r="AR13" i="73"/>
  <c r="AS13" i="73" s="1"/>
  <c r="AK13" i="73" s="1"/>
  <c r="V13" i="73"/>
  <c r="T13" i="73"/>
  <c r="Q13" i="73"/>
  <c r="P13" i="73"/>
  <c r="O13" i="73"/>
  <c r="BB12" i="73"/>
  <c r="AR12" i="73"/>
  <c r="AG12" i="73" s="1"/>
  <c r="V12" i="73"/>
  <c r="AR11" i="73"/>
  <c r="AS11" i="73" s="1"/>
  <c r="AK11" i="73" s="1"/>
  <c r="V11" i="73"/>
  <c r="T11" i="73"/>
  <c r="Q11" i="73"/>
  <c r="P11" i="73"/>
  <c r="O11" i="73"/>
  <c r="BB10" i="73"/>
  <c r="AR10" i="73"/>
  <c r="AS10" i="73" s="1"/>
  <c r="AK10" i="73" s="1"/>
  <c r="V10" i="73"/>
  <c r="T10" i="73"/>
  <c r="P10" i="73"/>
  <c r="O10" i="73"/>
  <c r="M7" i="73"/>
  <c r="L7" i="73"/>
  <c r="K7" i="73"/>
  <c r="AT5" i="73"/>
  <c r="E104" i="59"/>
  <c r="E103" i="59"/>
  <c r="E102" i="59"/>
  <c r="E101" i="59"/>
  <c r="E100" i="59"/>
  <c r="H99" i="59"/>
  <c r="X121" i="73" l="1"/>
  <c r="W115" i="73"/>
  <c r="W49" i="73"/>
  <c r="AL43" i="75"/>
  <c r="AL38" i="75"/>
  <c r="W34" i="75"/>
  <c r="AL30" i="75"/>
  <c r="AL41" i="75"/>
  <c r="AL34" i="75"/>
  <c r="V31" i="75"/>
  <c r="AL42" i="75"/>
  <c r="AL36" i="75"/>
  <c r="AL32" i="75"/>
  <c r="U33" i="75"/>
  <c r="AL37" i="75"/>
  <c r="X29" i="75"/>
  <c r="Y29" i="75"/>
  <c r="Y34" i="75" s="1"/>
  <c r="AG83" i="73"/>
  <c r="AY134" i="73"/>
  <c r="AH87" i="73"/>
  <c r="AH148" i="73"/>
  <c r="AH71" i="73"/>
  <c r="AH61" i="73"/>
  <c r="AH14" i="73"/>
  <c r="AH44" i="73"/>
  <c r="AG159" i="73"/>
  <c r="AG38" i="73"/>
  <c r="AG87" i="73"/>
  <c r="AS127" i="73"/>
  <c r="AK127" i="73" s="1"/>
  <c r="AH129" i="73"/>
  <c r="AF159" i="73"/>
  <c r="BA47" i="73"/>
  <c r="AH57" i="73"/>
  <c r="AF87" i="73"/>
  <c r="AG134" i="73"/>
  <c r="AH159" i="73"/>
  <c r="AH38" i="73"/>
  <c r="AH140" i="73"/>
  <c r="AG43" i="73"/>
  <c r="AH82" i="73"/>
  <c r="AH20" i="73"/>
  <c r="AF43" i="73"/>
  <c r="AG53" i="73"/>
  <c r="AG82" i="73"/>
  <c r="AG135" i="73"/>
  <c r="AF140" i="73"/>
  <c r="AH151" i="73"/>
  <c r="AS15" i="73"/>
  <c r="AK15" i="73" s="1"/>
  <c r="AS20" i="73"/>
  <c r="AK20" i="73" s="1"/>
  <c r="AF91" i="73"/>
  <c r="BA135" i="73"/>
  <c r="AS141" i="73"/>
  <c r="AK141" i="73" s="1"/>
  <c r="BA140" i="73" s="1"/>
  <c r="AS151" i="73"/>
  <c r="AK151" i="73" s="1"/>
  <c r="BA35" i="73"/>
  <c r="AF40" i="73"/>
  <c r="AH91" i="73"/>
  <c r="AY155" i="73"/>
  <c r="AF157" i="73"/>
  <c r="W10" i="73"/>
  <c r="AS14" i="73"/>
  <c r="AK14" i="73" s="1"/>
  <c r="AG34" i="73"/>
  <c r="AH40" i="73"/>
  <c r="AG46" i="73"/>
  <c r="AY60" i="73"/>
  <c r="AS68" i="73"/>
  <c r="AK68" i="73" s="1"/>
  <c r="AG157" i="73"/>
  <c r="W26" i="73"/>
  <c r="AS46" i="73"/>
  <c r="AK46" i="73" s="1"/>
  <c r="AG88" i="73"/>
  <c r="AF141" i="73"/>
  <c r="AY10" i="73"/>
  <c r="BA121" i="73"/>
  <c r="AG141" i="73"/>
  <c r="AF151" i="73"/>
  <c r="AF16" i="73"/>
  <c r="AS29" i="73"/>
  <c r="AK29" i="73" s="1"/>
  <c r="BA60" i="73" s="1"/>
  <c r="AF72" i="73"/>
  <c r="AG77" i="73"/>
  <c r="AG79" i="73"/>
  <c r="AS80" i="73"/>
  <c r="AK80" i="73" s="1"/>
  <c r="AH88" i="73"/>
  <c r="AH134" i="73"/>
  <c r="AH135" i="73"/>
  <c r="AS12" i="73"/>
  <c r="AK12" i="73" s="1"/>
  <c r="AG15" i="73"/>
  <c r="AG16" i="73"/>
  <c r="AF18" i="73"/>
  <c r="AF20" i="73"/>
  <c r="AH21" i="73"/>
  <c r="AF23" i="73"/>
  <c r="AF32" i="73"/>
  <c r="AF39" i="73"/>
  <c r="AS41" i="73"/>
  <c r="AK41" i="73" s="1"/>
  <c r="AG72" i="73"/>
  <c r="AY78" i="73"/>
  <c r="AF129" i="73"/>
  <c r="AF148" i="73"/>
  <c r="AF14" i="73"/>
  <c r="AH15" i="73"/>
  <c r="AH18" i="73"/>
  <c r="AH23" i="73"/>
  <c r="BA54" i="73"/>
  <c r="AH32" i="73"/>
  <c r="AH39" i="73"/>
  <c r="BA40" i="73"/>
  <c r="AH43" i="73"/>
  <c r="AS57" i="73"/>
  <c r="AK57" i="73" s="1"/>
  <c r="AS71" i="73"/>
  <c r="AK71" i="73" s="1"/>
  <c r="AH72" i="73"/>
  <c r="AF82" i="73"/>
  <c r="AG129" i="73"/>
  <c r="BA134" i="73"/>
  <c r="AG140" i="73"/>
  <c r="AG148" i="73"/>
  <c r="AG150" i="73"/>
  <c r="AS157" i="73"/>
  <c r="AK157" i="73" s="1"/>
  <c r="AS16" i="73"/>
  <c r="AK16" i="73" s="1"/>
  <c r="BA16" i="73" s="1"/>
  <c r="W30" i="73"/>
  <c r="AS32" i="73"/>
  <c r="AK32" i="73" s="1"/>
  <c r="BA32" i="73" s="1"/>
  <c r="AS39" i="73"/>
  <c r="AK39" i="73" s="1"/>
  <c r="AS55" i="73"/>
  <c r="AK55" i="73" s="1"/>
  <c r="AF12" i="73"/>
  <c r="AF29" i="73"/>
  <c r="AY32" i="73"/>
  <c r="AS38" i="73"/>
  <c r="AK38" i="73" s="1"/>
  <c r="AF41" i="73"/>
  <c r="AS45" i="73"/>
  <c r="AK45" i="73" s="1"/>
  <c r="AF57" i="73"/>
  <c r="AF71" i="73"/>
  <c r="AS84" i="73"/>
  <c r="AK84" i="73" s="1"/>
  <c r="AS85" i="73"/>
  <c r="AK85" i="73" s="1"/>
  <c r="BA155" i="73"/>
  <c r="AH12" i="73"/>
  <c r="AH29" i="73"/>
  <c r="AG41" i="73"/>
  <c r="AH54" i="73"/>
  <c r="AF61" i="73"/>
  <c r="AS86" i="73"/>
  <c r="AK86" i="73" s="1"/>
  <c r="AF88" i="73"/>
  <c r="BA87" i="73"/>
  <c r="AY121" i="73"/>
  <c r="AF134" i="73"/>
  <c r="AF135" i="73"/>
  <c r="BA144" i="73"/>
  <c r="T42" i="73"/>
  <c r="P42" i="73"/>
  <c r="O42" i="73"/>
  <c r="AL40" i="75"/>
  <c r="AL31" i="75"/>
  <c r="V33" i="75"/>
  <c r="V32" i="75"/>
  <c r="X32" i="75"/>
  <c r="Y33" i="75"/>
  <c r="AL33" i="75"/>
  <c r="AL39" i="75"/>
  <c r="AL35" i="75"/>
  <c r="AL29" i="75"/>
  <c r="AL44" i="75"/>
  <c r="BA23" i="73"/>
  <c r="AG78" i="73"/>
  <c r="AF78" i="73"/>
  <c r="AS78" i="73"/>
  <c r="AK78" i="73" s="1"/>
  <c r="AH81" i="73"/>
  <c r="AG81" i="73"/>
  <c r="AF81" i="73"/>
  <c r="AS81" i="73"/>
  <c r="AK81" i="73" s="1"/>
  <c r="AG18" i="73"/>
  <c r="AS19" i="73"/>
  <c r="AK19" i="73" s="1"/>
  <c r="AG23" i="73"/>
  <c r="AS25" i="73"/>
  <c r="AK25" i="73" s="1"/>
  <c r="BA24" i="73" s="1"/>
  <c r="AS37" i="73"/>
  <c r="AK37" i="73" s="1"/>
  <c r="AG40" i="73"/>
  <c r="AS42" i="73"/>
  <c r="AK42" i="73" s="1"/>
  <c r="AH46" i="73"/>
  <c r="AH53" i="73"/>
  <c r="AG149" i="73"/>
  <c r="AF149" i="73"/>
  <c r="AS149" i="73"/>
  <c r="AK149" i="73" s="1"/>
  <c r="AS21" i="73"/>
  <c r="AK21" i="73" s="1"/>
  <c r="AY37" i="73"/>
  <c r="AS44" i="73"/>
  <c r="AK44" i="73" s="1"/>
  <c r="AF45" i="73"/>
  <c r="AS53" i="73"/>
  <c r="AK53" i="73" s="1"/>
  <c r="AS54" i="73"/>
  <c r="AK54" i="73" s="1"/>
  <c r="AH64" i="73"/>
  <c r="AG64" i="73"/>
  <c r="AF64" i="73"/>
  <c r="AS64" i="73"/>
  <c r="AK64" i="73" s="1"/>
  <c r="AG74" i="73"/>
  <c r="AF74" i="73"/>
  <c r="AS74" i="73"/>
  <c r="AK74" i="73" s="1"/>
  <c r="BA85" i="73" s="1"/>
  <c r="AG126" i="73"/>
  <c r="AF126" i="73"/>
  <c r="AS126" i="73"/>
  <c r="AK126" i="73" s="1"/>
  <c r="AG156" i="73"/>
  <c r="AF156" i="73"/>
  <c r="AS156" i="73"/>
  <c r="AK156" i="73" s="1"/>
  <c r="AF37" i="73"/>
  <c r="AF42" i="73"/>
  <c r="AG45" i="73"/>
  <c r="AF55" i="73"/>
  <c r="AF63" i="73"/>
  <c r="AS63" i="73"/>
  <c r="AK63" i="73" s="1"/>
  <c r="AH63" i="73"/>
  <c r="AG158" i="73"/>
  <c r="AF158" i="73"/>
  <c r="AS158" i="73"/>
  <c r="AK158" i="73" s="1"/>
  <c r="AF25" i="73"/>
  <c r="AG19" i="73"/>
  <c r="AG25" i="73"/>
  <c r="AY26" i="73"/>
  <c r="AG37" i="73"/>
  <c r="AG42" i="73"/>
  <c r="AY53" i="73"/>
  <c r="AG55" i="73"/>
  <c r="AY149" i="73"/>
  <c r="BA151" i="73"/>
  <c r="AF21" i="73"/>
  <c r="AF44" i="73"/>
  <c r="AY140" i="73"/>
  <c r="AF54" i="73"/>
  <c r="BA71" i="73"/>
  <c r="AY68" i="73"/>
  <c r="AH78" i="73"/>
  <c r="AG89" i="73"/>
  <c r="AF89" i="73"/>
  <c r="AS89" i="73"/>
  <c r="AK89" i="73" s="1"/>
  <c r="AG61" i="73"/>
  <c r="AH77" i="73"/>
  <c r="AH79" i="73"/>
  <c r="AH83" i="73"/>
  <c r="AG91" i="73"/>
  <c r="AH150" i="73"/>
  <c r="AS77" i="73"/>
  <c r="AK77" i="73" s="1"/>
  <c r="AS79" i="73"/>
  <c r="AK79" i="73" s="1"/>
  <c r="AS83" i="73"/>
  <c r="AK83" i="73" s="1"/>
  <c r="AS150" i="73"/>
  <c r="AK150" i="73" s="1"/>
  <c r="AF68" i="73"/>
  <c r="AF80" i="73"/>
  <c r="AF84" i="73"/>
  <c r="AF85" i="73"/>
  <c r="AF86" i="73"/>
  <c r="AF127" i="73"/>
  <c r="AG68" i="73"/>
  <c r="AG80" i="73"/>
  <c r="AG84" i="73"/>
  <c r="AG85" i="73"/>
  <c r="AG86" i="73"/>
  <c r="AG127" i="73"/>
  <c r="C13" i="7"/>
  <c r="X34" i="75" l="1"/>
  <c r="X33" i="75"/>
  <c r="BA14" i="73"/>
  <c r="AX32" i="73"/>
  <c r="AX167" i="73" s="1"/>
  <c r="BA37" i="73"/>
  <c r="AX37" i="73" s="1"/>
  <c r="AX168" i="73" s="1"/>
  <c r="AX134" i="73"/>
  <c r="AX174" i="73" s="1"/>
  <c r="BA86" i="73"/>
  <c r="BA126" i="73"/>
  <c r="BA125" i="73"/>
  <c r="BA78" i="73"/>
  <c r="BA68" i="73"/>
  <c r="AX68" i="73" s="1"/>
  <c r="AX171" i="73" s="1"/>
  <c r="BA12" i="73"/>
  <c r="AX140" i="73"/>
  <c r="AX175" i="73" s="1"/>
  <c r="BA82" i="73"/>
  <c r="J34" i="75"/>
  <c r="K33" i="75"/>
  <c r="AU31" i="75"/>
  <c r="K37" i="75"/>
  <c r="J33" i="75"/>
  <c r="H34" i="75"/>
  <c r="AT31" i="75"/>
  <c r="K34" i="75"/>
  <c r="J37" i="75"/>
  <c r="K35" i="75"/>
  <c r="H33" i="75"/>
  <c r="AS31" i="75"/>
  <c r="AU30" i="75"/>
  <c r="AU29" i="75"/>
  <c r="H37" i="75"/>
  <c r="K36" i="75"/>
  <c r="J35" i="75"/>
  <c r="AU33" i="75"/>
  <c r="AT30" i="75"/>
  <c r="AT29" i="75"/>
  <c r="J36" i="75"/>
  <c r="H35" i="75"/>
  <c r="AT33" i="75"/>
  <c r="AU32" i="75"/>
  <c r="AS30" i="75"/>
  <c r="AS29" i="75"/>
  <c r="H36" i="75"/>
  <c r="AS33" i="75"/>
  <c r="AT32" i="75"/>
  <c r="AS32" i="75"/>
  <c r="BA156" i="73"/>
  <c r="AX155" i="73" s="1"/>
  <c r="AX176" i="73" s="1"/>
  <c r="BA53" i="73"/>
  <c r="AX53" i="73" s="1"/>
  <c r="AX169" i="73" s="1"/>
  <c r="BA10" i="73"/>
  <c r="BA84" i="73"/>
  <c r="BA26" i="73"/>
  <c r="BA61" i="73"/>
  <c r="AX60" i="73" s="1"/>
  <c r="AX170" i="73" s="1"/>
  <c r="BA124" i="73"/>
  <c r="AX149" i="73"/>
  <c r="BA28" i="73"/>
  <c r="BA80" i="73"/>
  <c r="K5" i="69"/>
  <c r="L157" i="8"/>
  <c r="AX121" i="73" l="1"/>
  <c r="AX173" i="73" s="1"/>
  <c r="AX10" i="73"/>
  <c r="AX165" i="73" s="1"/>
  <c r="AX26" i="73"/>
  <c r="AX166" i="73" s="1"/>
  <c r="AX163" i="73" s="1"/>
  <c r="AY163" i="73" s="1"/>
  <c r="AX78" i="73"/>
  <c r="AX172" i="73" s="1"/>
  <c r="D53" i="59"/>
  <c r="L99" i="59"/>
  <c r="D13" i="70"/>
  <c r="H13" i="72"/>
  <c r="H14" i="72" s="1"/>
  <c r="E14" i="72"/>
  <c r="K23" i="72" s="1"/>
  <c r="H15" i="72"/>
  <c r="H16" i="72" s="1"/>
  <c r="E16" i="72"/>
  <c r="K35" i="72" s="1"/>
  <c r="G23" i="72"/>
  <c r="G25" i="72"/>
  <c r="K26" i="72"/>
  <c r="M26" i="72" s="1"/>
  <c r="O28" i="72"/>
  <c r="G35" i="72"/>
  <c r="G37" i="72"/>
  <c r="O39" i="72"/>
  <c r="E44" i="72"/>
  <c r="I44" i="72" s="1"/>
  <c r="E49" i="72" s="1"/>
  <c r="E45" i="72"/>
  <c r="I45" i="72" s="1"/>
  <c r="E50" i="72" s="1"/>
  <c r="E46" i="72"/>
  <c r="I46" i="72" s="1"/>
  <c r="E51" i="72" s="1"/>
  <c r="G49" i="72"/>
  <c r="G50" i="72"/>
  <c r="G51" i="72"/>
  <c r="M52" i="72"/>
  <c r="K55" i="72"/>
  <c r="M55" i="72"/>
  <c r="K56" i="72"/>
  <c r="M56" i="72"/>
  <c r="K57" i="72"/>
  <c r="M57" i="72"/>
  <c r="K58" i="72"/>
  <c r="M58" i="72"/>
  <c r="I59" i="72"/>
  <c r="H11" i="71"/>
  <c r="H12" i="71" s="1"/>
  <c r="I20" i="71" s="1"/>
  <c r="K20" i="71" s="1"/>
  <c r="R20" i="71" s="1"/>
  <c r="E12" i="71"/>
  <c r="I17" i="71" s="1"/>
  <c r="K17" i="71" s="1"/>
  <c r="I18" i="71"/>
  <c r="K18" i="71" s="1"/>
  <c r="R18" i="71" s="1"/>
  <c r="G19" i="71"/>
  <c r="I22" i="71"/>
  <c r="K22" i="71" s="1"/>
  <c r="R22" i="71" s="1"/>
  <c r="E28" i="71"/>
  <c r="I28" i="71"/>
  <c r="E33" i="71" s="1"/>
  <c r="E29" i="71"/>
  <c r="I29" i="71" s="1"/>
  <c r="E34" i="71" s="1"/>
  <c r="K34" i="71" s="1"/>
  <c r="R34" i="71" s="1"/>
  <c r="E30" i="71"/>
  <c r="I30" i="71" s="1"/>
  <c r="E35" i="71" s="1"/>
  <c r="G33" i="71"/>
  <c r="G34" i="71"/>
  <c r="G35" i="71"/>
  <c r="K39" i="71"/>
  <c r="O39" i="71" s="1"/>
  <c r="K33" i="72" l="1"/>
  <c r="M33" i="72" s="1"/>
  <c r="R39" i="71"/>
  <c r="K22" i="72"/>
  <c r="M22" i="72" s="1"/>
  <c r="T22" i="72" s="1"/>
  <c r="T58" i="72"/>
  <c r="T57" i="72"/>
  <c r="K51" i="72"/>
  <c r="T51" i="72" s="1"/>
  <c r="T26" i="72"/>
  <c r="M23" i="72"/>
  <c r="T23" i="72" s="1"/>
  <c r="T56" i="72"/>
  <c r="K50" i="72"/>
  <c r="T50" i="72" s="1"/>
  <c r="I19" i="71"/>
  <c r="K19" i="71" s="1"/>
  <c r="R19" i="71" s="1"/>
  <c r="O58" i="72"/>
  <c r="K49" i="72"/>
  <c r="T49" i="72" s="1"/>
  <c r="M35" i="72"/>
  <c r="T35" i="72" s="1"/>
  <c r="O55" i="72"/>
  <c r="K34" i="72"/>
  <c r="M34" i="72" s="1"/>
  <c r="T34" i="72" s="1"/>
  <c r="K21" i="72"/>
  <c r="M21" i="72" s="1"/>
  <c r="T21" i="72" s="1"/>
  <c r="K33" i="71"/>
  <c r="R33" i="71" s="1"/>
  <c r="R36" i="71" s="1"/>
  <c r="O57" i="72"/>
  <c r="O56" i="72"/>
  <c r="K35" i="71"/>
  <c r="R35" i="71" s="1"/>
  <c r="T55" i="72"/>
  <c r="T33" i="72"/>
  <c r="R17" i="71"/>
  <c r="K36" i="72"/>
  <c r="M36" i="72" s="1"/>
  <c r="T36" i="72" s="1"/>
  <c r="K37" i="72"/>
  <c r="M37" i="72" s="1"/>
  <c r="T37" i="72" s="1"/>
  <c r="K25" i="72"/>
  <c r="M25" i="72" s="1"/>
  <c r="T25" i="72" s="1"/>
  <c r="K24" i="72"/>
  <c r="M24" i="72" s="1"/>
  <c r="T24" i="72" s="1"/>
  <c r="I21" i="71"/>
  <c r="K21" i="71" s="1"/>
  <c r="R21" i="71" s="1"/>
  <c r="T59" i="72" l="1"/>
  <c r="V59" i="72" s="1"/>
  <c r="K52" i="72"/>
  <c r="O52" i="72" s="1"/>
  <c r="O45" i="71"/>
  <c r="O53" i="71" s="1"/>
  <c r="T52" i="72"/>
  <c r="K36" i="71"/>
  <c r="O36" i="71" s="1"/>
  <c r="O63" i="72"/>
  <c r="O64" i="72"/>
  <c r="T28" i="72"/>
  <c r="K24" i="71"/>
  <c r="M28" i="72"/>
  <c r="T39" i="72"/>
  <c r="V39" i="72" s="1"/>
  <c r="O46" i="71"/>
  <c r="R24" i="71"/>
  <c r="M39" i="72"/>
  <c r="Q28" i="72" l="1"/>
  <c r="Q29" i="72" s="1"/>
  <c r="M29" i="72"/>
  <c r="K25" i="71"/>
  <c r="O24" i="71"/>
  <c r="Q39" i="72"/>
  <c r="Q40" i="72" s="1"/>
  <c r="M40" i="72"/>
  <c r="T65" i="72"/>
  <c r="V65" i="72" s="1"/>
  <c r="V28" i="72"/>
  <c r="V52" i="72"/>
  <c r="O71" i="72"/>
  <c r="O65" i="72"/>
  <c r="O68" i="72" l="1"/>
  <c r="O69" i="72" s="1"/>
  <c r="O72" i="72" s="1"/>
  <c r="O66" i="72"/>
  <c r="O47" i="71"/>
  <c r="T36" i="71"/>
  <c r="O25" i="71"/>
  <c r="O73" i="72"/>
  <c r="O74" i="72" s="1"/>
  <c r="O48" i="71" l="1"/>
  <c r="O50" i="71"/>
  <c r="O51" i="71" s="1"/>
  <c r="O54" i="71" s="1"/>
  <c r="O55" i="71" s="1"/>
  <c r="O56" i="71" s="1"/>
  <c r="T47" i="71"/>
  <c r="R205" i="8" l="1"/>
  <c r="Q205" i="8"/>
  <c r="P205" i="8"/>
  <c r="O205" i="8"/>
  <c r="N205" i="8"/>
  <c r="M205" i="8"/>
  <c r="L205" i="8"/>
  <c r="K205" i="8"/>
  <c r="J205" i="8"/>
  <c r="I205" i="8"/>
  <c r="H205" i="8"/>
  <c r="G205" i="8"/>
  <c r="H204" i="8"/>
  <c r="G204" i="8"/>
  <c r="H203" i="8"/>
  <c r="G203" i="8"/>
  <c r="T150" i="8"/>
  <c r="I150" i="8"/>
  <c r="D150" i="8"/>
  <c r="BN150" i="8" s="1"/>
  <c r="K149" i="8"/>
  <c r="I149" i="8"/>
  <c r="D149" i="8"/>
  <c r="BN149" i="8" s="1"/>
  <c r="C148" i="8"/>
  <c r="BN148" i="8" s="1"/>
  <c r="T147" i="8"/>
  <c r="I147" i="8"/>
  <c r="C147" i="8"/>
  <c r="BN147" i="8" s="1"/>
  <c r="T146" i="8"/>
  <c r="I146" i="8"/>
  <c r="C146" i="8"/>
  <c r="BN146" i="8" s="1"/>
  <c r="K145" i="8"/>
  <c r="I145" i="8"/>
  <c r="D145" i="8"/>
  <c r="BN145" i="8" s="1"/>
  <c r="T144" i="8"/>
  <c r="I144" i="8"/>
  <c r="D144" i="8"/>
  <c r="BN144" i="8" s="1"/>
  <c r="T143" i="8"/>
  <c r="I143" i="8"/>
  <c r="D143" i="8"/>
  <c r="BN143" i="8" s="1"/>
  <c r="C142" i="8"/>
  <c r="BN142" i="8" s="1"/>
  <c r="K141" i="8"/>
  <c r="I134" i="8"/>
  <c r="D134" i="8"/>
  <c r="BN134" i="8" s="1"/>
  <c r="C133" i="8"/>
  <c r="BN133" i="8" s="1"/>
  <c r="I132" i="8"/>
  <c r="D132" i="8"/>
  <c r="BN132" i="8" s="1"/>
  <c r="I131" i="8"/>
  <c r="D131" i="8"/>
  <c r="BN131" i="8" s="1"/>
  <c r="C130" i="8"/>
  <c r="BN130" i="8" s="1"/>
  <c r="B129" i="8"/>
  <c r="BN129" i="8" s="1"/>
  <c r="I128" i="8"/>
  <c r="B128" i="8"/>
  <c r="BN128" i="8" s="1"/>
  <c r="B127" i="8"/>
  <c r="I141" i="8"/>
  <c r="D141" i="8"/>
  <c r="BN141" i="8" s="1"/>
  <c r="T140" i="8"/>
  <c r="I140" i="8"/>
  <c r="D140" i="8"/>
  <c r="BN140" i="8" s="1"/>
  <c r="T139" i="8"/>
  <c r="I139" i="8"/>
  <c r="D139" i="8"/>
  <c r="BN139" i="8" s="1"/>
  <c r="C138" i="8"/>
  <c r="BN138" i="8" s="1"/>
  <c r="C137" i="8"/>
  <c r="BN137" i="8" s="1"/>
  <c r="B136" i="8"/>
  <c r="BN136" i="8" s="1"/>
  <c r="T135" i="8"/>
  <c r="I135" i="8"/>
  <c r="D135" i="8"/>
  <c r="BN135" i="8" s="1"/>
  <c r="T134" i="8"/>
  <c r="T132" i="8"/>
  <c r="T131" i="8"/>
  <c r="T128" i="8"/>
  <c r="D250" i="70"/>
  <c r="D249" i="70"/>
  <c r="D248" i="70"/>
  <c r="D247" i="70"/>
  <c r="D246" i="70"/>
  <c r="E230" i="70"/>
  <c r="D222" i="70" s="1"/>
  <c r="T149" i="8" s="1"/>
  <c r="D217" i="70"/>
  <c r="D216" i="70"/>
  <c r="D215" i="70"/>
  <c r="D214" i="70"/>
  <c r="D213" i="70"/>
  <c r="D208" i="70"/>
  <c r="D207" i="70"/>
  <c r="D206" i="70"/>
  <c r="D205" i="70"/>
  <c r="D204" i="70"/>
  <c r="E198" i="70"/>
  <c r="D190" i="70" s="1"/>
  <c r="T145" i="8" s="1"/>
  <c r="D186" i="70"/>
  <c r="D185" i="70"/>
  <c r="D184" i="70"/>
  <c r="D183" i="70"/>
  <c r="D182" i="70"/>
  <c r="D177" i="70"/>
  <c r="D176" i="70"/>
  <c r="D175" i="70"/>
  <c r="D174" i="70"/>
  <c r="D173" i="70"/>
  <c r="E166" i="70"/>
  <c r="D158" i="70" s="1"/>
  <c r="T141" i="8" s="1"/>
  <c r="D154" i="70"/>
  <c r="D153" i="70"/>
  <c r="D152" i="70"/>
  <c r="D151" i="70"/>
  <c r="D150" i="70"/>
  <c r="D145" i="70"/>
  <c r="D144" i="70"/>
  <c r="D143" i="70"/>
  <c r="D142" i="70"/>
  <c r="D141" i="70"/>
  <c r="D129" i="70"/>
  <c r="D128" i="70"/>
  <c r="D127" i="70"/>
  <c r="D126" i="70"/>
  <c r="D125" i="70"/>
  <c r="D120" i="70"/>
  <c r="D119" i="70"/>
  <c r="D118" i="70"/>
  <c r="D117" i="70"/>
  <c r="D116" i="70"/>
  <c r="D110" i="70"/>
  <c r="D109" i="70"/>
  <c r="D108" i="70"/>
  <c r="D107" i="70"/>
  <c r="D106" i="70"/>
  <c r="D101" i="70"/>
  <c r="D100" i="70"/>
  <c r="D99" i="70"/>
  <c r="D98" i="70"/>
  <c r="D97" i="70"/>
  <c r="B77" i="69"/>
  <c r="B76" i="69"/>
  <c r="L72" i="69"/>
  <c r="H72" i="69"/>
  <c r="B72" i="69"/>
  <c r="L70" i="69"/>
  <c r="H70" i="69"/>
  <c r="B70" i="69"/>
  <c r="L68" i="69"/>
  <c r="B68" i="69"/>
  <c r="L67" i="69"/>
  <c r="B67" i="69"/>
  <c r="AF62" i="69"/>
  <c r="AF61" i="69"/>
  <c r="AF60" i="69"/>
  <c r="AF57" i="69"/>
  <c r="AF52" i="69"/>
  <c r="AF51" i="69"/>
  <c r="AF50" i="69"/>
  <c r="AF49" i="69"/>
  <c r="AF46" i="69"/>
  <c r="J21" i="69"/>
  <c r="J20" i="69"/>
  <c r="D20" i="69"/>
  <c r="J19" i="69"/>
  <c r="D19" i="69"/>
  <c r="J18" i="69"/>
  <c r="E18" i="69"/>
  <c r="J17" i="69"/>
  <c r="D17" i="69"/>
  <c r="J16" i="69"/>
  <c r="E16" i="69"/>
  <c r="J15" i="69"/>
  <c r="D15" i="69"/>
  <c r="J14" i="69"/>
  <c r="E14" i="69"/>
  <c r="J13" i="69"/>
  <c r="D13" i="69"/>
  <c r="E12" i="69"/>
  <c r="F11" i="69"/>
  <c r="D11" i="69"/>
  <c r="J10" i="69"/>
  <c r="D10" i="69"/>
  <c r="J9" i="69"/>
  <c r="D9" i="69"/>
  <c r="J8" i="69"/>
  <c r="D8" i="69"/>
  <c r="O5" i="69"/>
  <c r="J1" i="70"/>
  <c r="H82" i="70"/>
  <c r="G82" i="70"/>
  <c r="F82" i="70"/>
  <c r="H81" i="70"/>
  <c r="G81" i="70"/>
  <c r="F81" i="70"/>
  <c r="E53" i="70"/>
  <c r="J52" i="70"/>
  <c r="J51" i="70"/>
  <c r="H48" i="70"/>
  <c r="G48" i="70"/>
  <c r="F48" i="70"/>
  <c r="E48" i="70"/>
  <c r="J47" i="70"/>
  <c r="J46" i="70"/>
  <c r="F43" i="70"/>
  <c r="E43" i="70"/>
  <c r="J42" i="70"/>
  <c r="J41" i="70"/>
  <c r="I38" i="70"/>
  <c r="H38" i="70"/>
  <c r="G38" i="70"/>
  <c r="F38" i="70"/>
  <c r="E38" i="70"/>
  <c r="J37" i="70"/>
  <c r="J36" i="70"/>
  <c r="I33" i="70"/>
  <c r="H33" i="70"/>
  <c r="G33" i="70"/>
  <c r="F33" i="70"/>
  <c r="E33" i="70"/>
  <c r="J32" i="70"/>
  <c r="J31" i="70"/>
  <c r="E20" i="70"/>
  <c r="D18" i="70"/>
  <c r="D17" i="70"/>
  <c r="D16" i="70"/>
  <c r="D15" i="70"/>
  <c r="D14" i="70"/>
  <c r="X57" i="69"/>
  <c r="AR53" i="69"/>
  <c r="AR52" i="69"/>
  <c r="AR51" i="69"/>
  <c r="AR50" i="69"/>
  <c r="AR49" i="69"/>
  <c r="AR48" i="69"/>
  <c r="X46" i="69"/>
  <c r="AR45" i="69"/>
  <c r="I40" i="69" s="1"/>
  <c r="AP45" i="69"/>
  <c r="AO45" i="69"/>
  <c r="AN45" i="69"/>
  <c r="AR44" i="69"/>
  <c r="AO44" i="69"/>
  <c r="AN44" i="69"/>
  <c r="AR43" i="69"/>
  <c r="K41" i="69" s="1"/>
  <c r="AO43" i="69"/>
  <c r="AN43" i="69"/>
  <c r="W43" i="69"/>
  <c r="V43" i="69"/>
  <c r="U43" i="69"/>
  <c r="T43" i="69"/>
  <c r="S43" i="69"/>
  <c r="AR42" i="69"/>
  <c r="J41" i="69" s="1"/>
  <c r="AO42" i="69"/>
  <c r="AN42" i="69"/>
  <c r="Y42" i="69"/>
  <c r="X42" i="69"/>
  <c r="T36" i="69" s="1"/>
  <c r="AR41" i="69"/>
  <c r="I41" i="69" s="1"/>
  <c r="AO41" i="69"/>
  <c r="AN41" i="69"/>
  <c r="AC41" i="69"/>
  <c r="AB41" i="69"/>
  <c r="AA41" i="69"/>
  <c r="Z41" i="69"/>
  <c r="AR40" i="69"/>
  <c r="H41" i="69" s="1"/>
  <c r="AO40" i="69"/>
  <c r="AN40" i="69"/>
  <c r="AD40" i="69"/>
  <c r="H40" i="69"/>
  <c r="AR39" i="69"/>
  <c r="AO39" i="69"/>
  <c r="AN39" i="69"/>
  <c r="K39" i="69"/>
  <c r="J39" i="69"/>
  <c r="AR38" i="69"/>
  <c r="AO38" i="69"/>
  <c r="AN38" i="69"/>
  <c r="AR37" i="69"/>
  <c r="I39" i="69" s="1"/>
  <c r="AO37" i="69"/>
  <c r="AN37" i="69"/>
  <c r="V37" i="69"/>
  <c r="AR36" i="69"/>
  <c r="H39" i="69" s="1"/>
  <c r="AO36" i="69"/>
  <c r="AN36" i="69"/>
  <c r="AO35" i="69"/>
  <c r="AN35" i="69"/>
  <c r="AO34" i="69"/>
  <c r="AN34" i="69"/>
  <c r="Z34" i="69"/>
  <c r="AO33" i="69"/>
  <c r="AN33" i="69"/>
  <c r="Z33" i="69"/>
  <c r="AO32" i="69"/>
  <c r="AN32" i="69"/>
  <c r="AO31" i="69"/>
  <c r="AN31" i="69"/>
  <c r="AO30" i="69"/>
  <c r="AN30" i="69"/>
  <c r="AO29" i="69"/>
  <c r="AN29" i="69"/>
  <c r="U29" i="69"/>
  <c r="U31" i="69" s="1"/>
  <c r="AP35" i="69" l="1"/>
  <c r="AP35" i="75"/>
  <c r="AV32" i="75" s="1"/>
  <c r="AP39" i="69"/>
  <c r="AP39" i="75"/>
  <c r="AV29" i="75" s="1"/>
  <c r="AP40" i="69"/>
  <c r="AP40" i="75"/>
  <c r="AV31" i="75" s="1"/>
  <c r="AP36" i="69"/>
  <c r="AP36" i="75"/>
  <c r="AV30" i="75" s="1"/>
  <c r="AP37" i="69"/>
  <c r="AP37" i="75"/>
  <c r="BN127" i="8"/>
  <c r="V10" i="75"/>
  <c r="AP41" i="69"/>
  <c r="AP41" i="75"/>
  <c r="AP42" i="69"/>
  <c r="AP42" i="75"/>
  <c r="AP29" i="69"/>
  <c r="AP29" i="75"/>
  <c r="AP43" i="69"/>
  <c r="AP43" i="75"/>
  <c r="AP31" i="69"/>
  <c r="AP31" i="75"/>
  <c r="AP38" i="69"/>
  <c r="AP38" i="75"/>
  <c r="AP30" i="69"/>
  <c r="AP30" i="75"/>
  <c r="AV33" i="75" s="1"/>
  <c r="AP32" i="69"/>
  <c r="AP32" i="75"/>
  <c r="AP44" i="69"/>
  <c r="AP44" i="75"/>
  <c r="AP33" i="69"/>
  <c r="AP33" i="75"/>
  <c r="AP34" i="69"/>
  <c r="AP34" i="75"/>
  <c r="AL29" i="69"/>
  <c r="AL33" i="69"/>
  <c r="AL31" i="69"/>
  <c r="AL30" i="69"/>
  <c r="AL32" i="69"/>
  <c r="J48" i="70"/>
  <c r="AL35" i="69"/>
  <c r="AL38" i="69"/>
  <c r="J38" i="70"/>
  <c r="U32" i="69"/>
  <c r="AL41" i="69"/>
  <c r="J53" i="70"/>
  <c r="AL40" i="69"/>
  <c r="AL42" i="69"/>
  <c r="AL43" i="69"/>
  <c r="U34" i="69"/>
  <c r="AL36" i="69"/>
  <c r="AL39" i="69"/>
  <c r="AL44" i="69"/>
  <c r="J43" i="70"/>
  <c r="AL34" i="69"/>
  <c r="X29" i="69"/>
  <c r="X34" i="69" s="1"/>
  <c r="I82" i="70"/>
  <c r="J82" i="70" s="1"/>
  <c r="L81" i="70" s="1"/>
  <c r="D72" i="70" s="1"/>
  <c r="I81" i="70"/>
  <c r="J56" i="70"/>
  <c r="Y29" i="69"/>
  <c r="J57" i="70"/>
  <c r="F204" i="8"/>
  <c r="F205" i="8"/>
  <c r="F203" i="8"/>
  <c r="D225" i="70"/>
  <c r="D223" i="70"/>
  <c r="D224" i="70"/>
  <c r="D227" i="70"/>
  <c r="D226" i="70"/>
  <c r="D194" i="70"/>
  <c r="D192" i="70"/>
  <c r="D193" i="70"/>
  <c r="D191" i="70"/>
  <c r="D195" i="70"/>
  <c r="D163" i="70"/>
  <c r="D161" i="70"/>
  <c r="D162" i="70"/>
  <c r="D160" i="70"/>
  <c r="D159" i="70"/>
  <c r="U33" i="69"/>
  <c r="AL45" i="69"/>
  <c r="J33" i="70"/>
  <c r="AL37" i="69"/>
  <c r="V29" i="69"/>
  <c r="W29" i="69"/>
  <c r="X32" i="69" l="1"/>
  <c r="X33" i="69"/>
  <c r="AV33" i="69"/>
  <c r="AU33" i="69"/>
  <c r="AS33" i="69"/>
  <c r="K37" i="69"/>
  <c r="K33" i="69"/>
  <c r="J37" i="69"/>
  <c r="H37" i="69"/>
  <c r="AT33" i="69"/>
  <c r="Y33" i="69"/>
  <c r="Y34" i="69"/>
  <c r="AV30" i="69"/>
  <c r="J58" i="70"/>
  <c r="K34" i="69"/>
  <c r="AU30" i="69"/>
  <c r="J34" i="69"/>
  <c r="H36" i="69"/>
  <c r="AS29" i="69"/>
  <c r="D74" i="70"/>
  <c r="D73" i="70"/>
  <c r="D77" i="70"/>
  <c r="D76" i="70"/>
  <c r="D75" i="70"/>
  <c r="W34" i="69"/>
  <c r="W32" i="69"/>
  <c r="W33" i="69"/>
  <c r="AS30" i="69"/>
  <c r="AT29" i="69"/>
  <c r="AV29" i="69"/>
  <c r="H33" i="69"/>
  <c r="AU32" i="69"/>
  <c r="AT30" i="69"/>
  <c r="AT31" i="69"/>
  <c r="AS32" i="69"/>
  <c r="AV32" i="69"/>
  <c r="J33" i="69"/>
  <c r="AS31" i="69"/>
  <c r="H35" i="69"/>
  <c r="H34" i="69"/>
  <c r="K35" i="69"/>
  <c r="J36" i="69"/>
  <c r="J35" i="69"/>
  <c r="AU31" i="69"/>
  <c r="V32" i="69"/>
  <c r="V34" i="69"/>
  <c r="V33" i="69"/>
  <c r="V31" i="69"/>
  <c r="AV31" i="69"/>
  <c r="AT32" i="69"/>
  <c r="AU29" i="69"/>
  <c r="K36" i="69"/>
  <c r="K72" i="8" l="1"/>
  <c r="I72" i="8"/>
  <c r="E176" i="30"/>
  <c r="D168" i="30" s="1"/>
  <c r="D32" i="8"/>
  <c r="BN32" i="8" s="1"/>
  <c r="D12" i="8"/>
  <c r="BN12" i="8" s="1"/>
  <c r="D13" i="8"/>
  <c r="BN13" i="8" s="1"/>
  <c r="D14" i="8"/>
  <c r="BN14" i="8" s="1"/>
  <c r="D99" i="59" l="1"/>
  <c r="D104" i="59" l="1"/>
  <c r="D103" i="59"/>
  <c r="D102" i="59"/>
  <c r="D101" i="59"/>
  <c r="D100" i="59"/>
  <c r="E157" i="59"/>
  <c r="D149" i="59" s="1"/>
  <c r="I104" i="59"/>
  <c r="I103" i="59"/>
  <c r="I102" i="59"/>
  <c r="I101" i="59"/>
  <c r="I100" i="59"/>
  <c r="K126" i="8"/>
  <c r="K113" i="8"/>
  <c r="K106" i="8"/>
  <c r="K105" i="8"/>
  <c r="K98" i="8"/>
  <c r="K96" i="8"/>
  <c r="K95" i="8"/>
  <c r="K92" i="8"/>
  <c r="K89" i="8"/>
  <c r="K82" i="8"/>
  <c r="K69" i="8"/>
  <c r="K67" i="8"/>
  <c r="K64" i="8"/>
  <c r="K63" i="8"/>
  <c r="K46" i="8"/>
  <c r="K40" i="8"/>
  <c r="K38" i="8"/>
  <c r="K37" i="8"/>
  <c r="K34" i="8"/>
  <c r="K33" i="8"/>
  <c r="K32" i="8"/>
  <c r="B75" i="64"/>
  <c r="B74" i="64"/>
  <c r="L70" i="64"/>
  <c r="H70" i="64"/>
  <c r="B70" i="64"/>
  <c r="L68" i="64"/>
  <c r="H68" i="64"/>
  <c r="B68" i="64"/>
  <c r="L66" i="64"/>
  <c r="B66" i="64"/>
  <c r="L65" i="64"/>
  <c r="B65" i="64"/>
  <c r="AC62" i="64"/>
  <c r="AC61" i="64"/>
  <c r="AC60" i="64"/>
  <c r="X57" i="64"/>
  <c r="M53" i="64"/>
  <c r="AC57" i="64" s="1"/>
  <c r="AC52" i="64"/>
  <c r="AC51" i="64"/>
  <c r="AC50" i="64"/>
  <c r="AC49" i="64"/>
  <c r="M42" i="64"/>
  <c r="AC46" i="64" s="1"/>
  <c r="V37" i="64"/>
  <c r="H37" i="64"/>
  <c r="Z34" i="64"/>
  <c r="Z33" i="64"/>
  <c r="U29" i="64"/>
  <c r="W29" i="64" s="1"/>
  <c r="W32" i="64" s="1"/>
  <c r="H28" i="64"/>
  <c r="AF25" i="64"/>
  <c r="AF26" i="64" s="1"/>
  <c r="J21" i="64"/>
  <c r="D21" i="64"/>
  <c r="J20" i="64"/>
  <c r="D20" i="64"/>
  <c r="J19" i="64"/>
  <c r="D19" i="64"/>
  <c r="J18" i="64"/>
  <c r="E18" i="64"/>
  <c r="J17" i="64"/>
  <c r="D17" i="64"/>
  <c r="J16" i="64"/>
  <c r="E16" i="64"/>
  <c r="J15" i="64"/>
  <c r="D15" i="64"/>
  <c r="J14" i="64"/>
  <c r="E14" i="64"/>
  <c r="J13" i="64"/>
  <c r="D13" i="64"/>
  <c r="E12" i="64"/>
  <c r="F11" i="64"/>
  <c r="D11" i="64"/>
  <c r="J10" i="64"/>
  <c r="D10" i="64"/>
  <c r="J9" i="64"/>
  <c r="D9" i="64"/>
  <c r="J8" i="64"/>
  <c r="D8" i="64"/>
  <c r="O5" i="64"/>
  <c r="K5" i="64"/>
  <c r="V29" i="64" l="1"/>
  <c r="V32" i="64" s="1"/>
  <c r="U31" i="64"/>
  <c r="U32" i="64"/>
  <c r="Y29" i="64"/>
  <c r="U33" i="64"/>
  <c r="U34" i="64"/>
  <c r="X29" i="64"/>
  <c r="X33" i="64" s="1"/>
  <c r="V34" i="64"/>
  <c r="F201" i="8"/>
  <c r="W34" i="64"/>
  <c r="V33" i="64"/>
  <c r="W33" i="64"/>
  <c r="V31" i="64"/>
  <c r="X32" i="64" l="1"/>
  <c r="Y33" i="64"/>
  <c r="Y34" i="64"/>
  <c r="X34" i="64"/>
  <c r="J1" i="16"/>
  <c r="J201" i="8"/>
  <c r="I201" i="8"/>
  <c r="H201" i="8"/>
  <c r="G201" i="8"/>
  <c r="L200" i="8"/>
  <c r="K200" i="8"/>
  <c r="J200" i="8"/>
  <c r="I200" i="8"/>
  <c r="H200" i="8"/>
  <c r="G200" i="8"/>
  <c r="L198" i="8"/>
  <c r="K198" i="8"/>
  <c r="J198" i="8"/>
  <c r="I198" i="8"/>
  <c r="H198" i="8"/>
  <c r="G198" i="8"/>
  <c r="L197" i="8"/>
  <c r="K197" i="8"/>
  <c r="J197" i="8"/>
  <c r="I197" i="8"/>
  <c r="H197" i="8"/>
  <c r="G197" i="8"/>
  <c r="J195" i="8"/>
  <c r="I195" i="8"/>
  <c r="H195" i="8"/>
  <c r="G195" i="8"/>
  <c r="P194" i="8"/>
  <c r="O194" i="8"/>
  <c r="N194" i="8"/>
  <c r="M194" i="8"/>
  <c r="L194" i="8"/>
  <c r="K194" i="8"/>
  <c r="J194" i="8"/>
  <c r="I194" i="8"/>
  <c r="H194" i="8"/>
  <c r="G194" i="8"/>
  <c r="L193" i="8"/>
  <c r="K193" i="8"/>
  <c r="J193" i="8"/>
  <c r="I193" i="8"/>
  <c r="H193" i="8"/>
  <c r="G193" i="8"/>
  <c r="L192" i="8"/>
  <c r="K192" i="8"/>
  <c r="J192" i="8"/>
  <c r="I192" i="8"/>
  <c r="H192" i="8"/>
  <c r="G192" i="8"/>
  <c r="J191" i="8"/>
  <c r="I191" i="8"/>
  <c r="H191" i="8"/>
  <c r="G191" i="8"/>
  <c r="K190" i="8"/>
  <c r="J190" i="8"/>
  <c r="I190" i="8"/>
  <c r="H190" i="8"/>
  <c r="G190" i="8"/>
  <c r="T41" i="64"/>
  <c r="U41" i="64"/>
  <c r="S41" i="64"/>
  <c r="L188" i="8"/>
  <c r="K188" i="8"/>
  <c r="J188" i="8"/>
  <c r="I188" i="8"/>
  <c r="H188" i="8"/>
  <c r="G188" i="8"/>
  <c r="I187" i="8"/>
  <c r="H187" i="8"/>
  <c r="G187" i="8"/>
  <c r="K186" i="8"/>
  <c r="J186" i="8"/>
  <c r="I186" i="8"/>
  <c r="H186" i="8"/>
  <c r="G186" i="8"/>
  <c r="K185" i="8"/>
  <c r="J185" i="8"/>
  <c r="I185" i="8"/>
  <c r="H185" i="8"/>
  <c r="G185" i="8"/>
  <c r="N184" i="8"/>
  <c r="M184" i="8"/>
  <c r="L184" i="8"/>
  <c r="K184" i="8"/>
  <c r="J184" i="8"/>
  <c r="I184" i="8"/>
  <c r="H184" i="8"/>
  <c r="G184" i="8"/>
  <c r="K183" i="8"/>
  <c r="J183" i="8"/>
  <c r="I183" i="8"/>
  <c r="H183" i="8"/>
  <c r="G183" i="8"/>
  <c r="J181" i="8"/>
  <c r="I181" i="8"/>
  <c r="H181" i="8"/>
  <c r="G181" i="8"/>
  <c r="I180" i="8"/>
  <c r="H180" i="8"/>
  <c r="G180" i="8"/>
  <c r="N179" i="8"/>
  <c r="M179" i="8"/>
  <c r="L179" i="8"/>
  <c r="K179" i="8"/>
  <c r="J179" i="8"/>
  <c r="I179" i="8"/>
  <c r="H179" i="8"/>
  <c r="G179" i="8"/>
  <c r="I178" i="8"/>
  <c r="H178" i="8"/>
  <c r="G178" i="8"/>
  <c r="H177" i="8"/>
  <c r="G177" i="8"/>
  <c r="H176" i="8"/>
  <c r="G176" i="8"/>
  <c r="I39" i="8"/>
  <c r="I118" i="8"/>
  <c r="T118" i="8"/>
  <c r="AH118" i="8" s="1"/>
  <c r="AH99" i="8"/>
  <c r="AH123" i="8"/>
  <c r="AH120" i="8"/>
  <c r="AH116" i="8"/>
  <c r="AH112" i="8"/>
  <c r="AH108" i="8"/>
  <c r="AH90" i="8"/>
  <c r="AH85" i="8"/>
  <c r="AH75" i="8"/>
  <c r="AH68" i="8"/>
  <c r="AH55" i="8"/>
  <c r="AH41" i="8"/>
  <c r="AH42" i="8"/>
  <c r="T24" i="8"/>
  <c r="AT15" i="8"/>
  <c r="AT35" i="8"/>
  <c r="AT31" i="8"/>
  <c r="AT26" i="8"/>
  <c r="AT25" i="8"/>
  <c r="AS25" i="8" s="1"/>
  <c r="AT10" i="8"/>
  <c r="AT9" i="8"/>
  <c r="AS9" i="8" s="1"/>
  <c r="AT8" i="8"/>
  <c r="AS8" i="8" s="1"/>
  <c r="AR8" i="8" s="1"/>
  <c r="AT7" i="8"/>
  <c r="AS7" i="8" s="1"/>
  <c r="AR7" i="8" s="1"/>
  <c r="AQ7" i="8" s="1"/>
  <c r="D38" i="8"/>
  <c r="AH8" i="8"/>
  <c r="AH9" i="8"/>
  <c r="AH25" i="8"/>
  <c r="AH50" i="8"/>
  <c r="AH60" i="8"/>
  <c r="AH74" i="8"/>
  <c r="AH100" i="8"/>
  <c r="AH104" i="8"/>
  <c r="AH107" i="8"/>
  <c r="AH111" i="8"/>
  <c r="AH119" i="8"/>
  <c r="AH127" i="8"/>
  <c r="AH129" i="8"/>
  <c r="AH130" i="8"/>
  <c r="AH133" i="8"/>
  <c r="AH136" i="8"/>
  <c r="AH138" i="8"/>
  <c r="AH142" i="8"/>
  <c r="AH148" i="8"/>
  <c r="AH7" i="8"/>
  <c r="AF147" i="8"/>
  <c r="AF146" i="8"/>
  <c r="B205" i="8"/>
  <c r="AG144" i="8"/>
  <c r="AG143" i="8"/>
  <c r="B204" i="8"/>
  <c r="B203" i="8"/>
  <c r="AG140" i="8"/>
  <c r="AH139" i="8"/>
  <c r="AG135" i="8"/>
  <c r="AG134" i="8"/>
  <c r="AH131" i="8"/>
  <c r="T126" i="8"/>
  <c r="V126" i="8" s="1"/>
  <c r="P126" i="8" s="1"/>
  <c r="I125" i="73" s="1"/>
  <c r="J125" i="73" s="1"/>
  <c r="N125" i="73" s="1"/>
  <c r="T125" i="8"/>
  <c r="AG125" i="8" s="1"/>
  <c r="T124" i="8"/>
  <c r="AG124" i="8" s="1"/>
  <c r="I126" i="8"/>
  <c r="D126" i="8"/>
  <c r="D125" i="8"/>
  <c r="BN125" i="8" s="1"/>
  <c r="T122" i="8"/>
  <c r="T121" i="8"/>
  <c r="D124" i="8"/>
  <c r="BN124" i="8" s="1"/>
  <c r="C123" i="8"/>
  <c r="BN123" i="8" s="1"/>
  <c r="D122" i="8"/>
  <c r="BN122" i="8" s="1"/>
  <c r="D121" i="8"/>
  <c r="BN121" i="8" s="1"/>
  <c r="C120" i="8"/>
  <c r="BN120" i="8" s="1"/>
  <c r="B119" i="8"/>
  <c r="BN119" i="8" s="1"/>
  <c r="T117" i="8"/>
  <c r="D118" i="8"/>
  <c r="BN118" i="8" s="1"/>
  <c r="D117" i="8"/>
  <c r="BN117" i="8" s="1"/>
  <c r="C116" i="8"/>
  <c r="BN116" i="8" s="1"/>
  <c r="D115" i="8"/>
  <c r="BN115" i="8" s="1"/>
  <c r="D114" i="8"/>
  <c r="BN114" i="8" s="1"/>
  <c r="I113" i="8"/>
  <c r="D113" i="8"/>
  <c r="C112" i="8"/>
  <c r="BN112" i="8" s="1"/>
  <c r="B111" i="8"/>
  <c r="BN111" i="8" s="1"/>
  <c r="T110" i="8"/>
  <c r="AG110" i="8" s="1"/>
  <c r="T109" i="8"/>
  <c r="AG109" i="8" s="1"/>
  <c r="C110" i="8"/>
  <c r="BN110" i="8" s="1"/>
  <c r="C109" i="8"/>
  <c r="BN109" i="8" s="1"/>
  <c r="B108" i="8"/>
  <c r="BN108" i="8" s="1"/>
  <c r="I106" i="8"/>
  <c r="C106" i="8"/>
  <c r="BN106" i="8" s="1"/>
  <c r="I105" i="8"/>
  <c r="T103" i="8"/>
  <c r="AF103" i="8" s="1"/>
  <c r="I103" i="8"/>
  <c r="T102" i="8"/>
  <c r="AG102" i="8" s="1"/>
  <c r="I102" i="8"/>
  <c r="T101" i="8"/>
  <c r="I101" i="8"/>
  <c r="C105" i="8"/>
  <c r="BN105" i="8" s="1"/>
  <c r="B104" i="8"/>
  <c r="BN104" i="8" s="1"/>
  <c r="B103" i="8"/>
  <c r="BN103" i="8" s="1"/>
  <c r="B102" i="8"/>
  <c r="BN102" i="8" s="1"/>
  <c r="B101" i="8"/>
  <c r="I98" i="8"/>
  <c r="B98" i="8"/>
  <c r="T97" i="8"/>
  <c r="AG97" i="8" s="1"/>
  <c r="I97" i="8"/>
  <c r="C97" i="8"/>
  <c r="BN97" i="8" s="1"/>
  <c r="I96" i="8"/>
  <c r="D96" i="8"/>
  <c r="I95" i="8"/>
  <c r="D95" i="8"/>
  <c r="C94" i="8"/>
  <c r="BN94" i="8" s="1"/>
  <c r="I93" i="8"/>
  <c r="T93" i="8"/>
  <c r="AH93" i="8" s="1"/>
  <c r="I92" i="8"/>
  <c r="D93" i="8"/>
  <c r="BN93" i="8" s="1"/>
  <c r="D92" i="8"/>
  <c r="C91" i="8"/>
  <c r="BN91" i="8" s="1"/>
  <c r="B90" i="8"/>
  <c r="BN90" i="8" s="1"/>
  <c r="I89" i="8"/>
  <c r="C89" i="8"/>
  <c r="T88" i="8"/>
  <c r="AH88" i="8" s="1"/>
  <c r="I88" i="8"/>
  <c r="D88" i="8"/>
  <c r="BN88" i="8" s="1"/>
  <c r="T87" i="8"/>
  <c r="AG87" i="8" s="1"/>
  <c r="I87" i="8"/>
  <c r="D87" i="8"/>
  <c r="BN87" i="8" s="1"/>
  <c r="C86" i="8"/>
  <c r="BN86" i="8" s="1"/>
  <c r="B85" i="8"/>
  <c r="BN85" i="8" s="1"/>
  <c r="T84" i="8"/>
  <c r="AH84" i="8" s="1"/>
  <c r="I84" i="8"/>
  <c r="D84" i="8"/>
  <c r="BN84" i="8" s="1"/>
  <c r="T83" i="8"/>
  <c r="AH83" i="8" s="1"/>
  <c r="I83" i="8"/>
  <c r="D83" i="8"/>
  <c r="BN83" i="8" s="1"/>
  <c r="I82" i="8"/>
  <c r="D82" i="8"/>
  <c r="T81" i="8"/>
  <c r="I81" i="8"/>
  <c r="D81" i="8"/>
  <c r="BN81" i="8" s="1"/>
  <c r="C80" i="8"/>
  <c r="BN80" i="8" s="1"/>
  <c r="T79" i="8"/>
  <c r="AG79" i="8" s="1"/>
  <c r="T78" i="8"/>
  <c r="AH78" i="8" s="1"/>
  <c r="I79" i="8"/>
  <c r="D79" i="8"/>
  <c r="BN79" i="8" s="1"/>
  <c r="I125" i="8"/>
  <c r="I124" i="8"/>
  <c r="I122" i="8"/>
  <c r="I121" i="8"/>
  <c r="I117" i="8"/>
  <c r="I115" i="8"/>
  <c r="I114" i="8"/>
  <c r="I110" i="8"/>
  <c r="I109" i="8"/>
  <c r="I78" i="8"/>
  <c r="I77" i="8"/>
  <c r="I66" i="8"/>
  <c r="I65" i="8"/>
  <c r="I58" i="8"/>
  <c r="I54" i="8"/>
  <c r="I51" i="8"/>
  <c r="I43" i="8"/>
  <c r="I57" i="8"/>
  <c r="I56" i="8"/>
  <c r="I53" i="8"/>
  <c r="I52" i="8"/>
  <c r="I49" i="8"/>
  <c r="I48" i="8"/>
  <c r="I45" i="8"/>
  <c r="I24" i="8"/>
  <c r="I22" i="8"/>
  <c r="I16" i="8"/>
  <c r="I14" i="8"/>
  <c r="I13" i="8"/>
  <c r="I12" i="8"/>
  <c r="T77" i="8"/>
  <c r="AH77" i="8" s="1"/>
  <c r="D78" i="8"/>
  <c r="BN78" i="8" s="1"/>
  <c r="D77" i="8"/>
  <c r="BN77" i="8" s="1"/>
  <c r="C76" i="8"/>
  <c r="BN76" i="8" s="1"/>
  <c r="B75" i="8"/>
  <c r="BN75" i="8" s="1"/>
  <c r="B72" i="8"/>
  <c r="T71" i="8"/>
  <c r="V71" i="8" s="1"/>
  <c r="P71" i="8" s="1"/>
  <c r="I71" i="8"/>
  <c r="T70" i="8"/>
  <c r="V70" i="8" s="1"/>
  <c r="P70" i="8" s="1"/>
  <c r="I78" i="73" s="1"/>
  <c r="J78" i="73" s="1"/>
  <c r="N78" i="73" s="1"/>
  <c r="I70" i="8"/>
  <c r="I69" i="8"/>
  <c r="C71" i="8"/>
  <c r="BN71" i="8" s="1"/>
  <c r="C70" i="8"/>
  <c r="BN70" i="8" s="1"/>
  <c r="C69" i="8"/>
  <c r="B68" i="8"/>
  <c r="BN68" i="8" s="1"/>
  <c r="I67" i="8"/>
  <c r="C67" i="8"/>
  <c r="T66" i="8"/>
  <c r="T65" i="8"/>
  <c r="C66" i="8"/>
  <c r="BN66" i="8" s="1"/>
  <c r="C65" i="8"/>
  <c r="BN65" i="8" s="1"/>
  <c r="I64" i="8"/>
  <c r="D64" i="8"/>
  <c r="I63" i="8"/>
  <c r="D63" i="8"/>
  <c r="T62" i="8"/>
  <c r="AG62" i="8" s="1"/>
  <c r="I62" i="8"/>
  <c r="D62" i="8"/>
  <c r="BN62" i="8" s="1"/>
  <c r="C61" i="8"/>
  <c r="BN61" i="8" s="1"/>
  <c r="B60" i="8"/>
  <c r="BN60" i="8" s="1"/>
  <c r="T59" i="8"/>
  <c r="AH59" i="8" s="1"/>
  <c r="I59" i="8"/>
  <c r="C59" i="8"/>
  <c r="BN59" i="8" s="1"/>
  <c r="T58" i="8"/>
  <c r="T57" i="8"/>
  <c r="T56" i="8"/>
  <c r="AG56" i="8" s="1"/>
  <c r="C58" i="8"/>
  <c r="BN58" i="8" s="1"/>
  <c r="C57" i="8"/>
  <c r="BN57" i="8" s="1"/>
  <c r="C56" i="8"/>
  <c r="BN56" i="8" s="1"/>
  <c r="B55" i="8"/>
  <c r="BN55" i="8" s="1"/>
  <c r="T54" i="8"/>
  <c r="V54" i="8" s="1"/>
  <c r="P54" i="8" s="1"/>
  <c r="I111" i="73" s="1"/>
  <c r="J111" i="73" s="1"/>
  <c r="C54" i="8"/>
  <c r="BN54" i="8" s="1"/>
  <c r="T53" i="8"/>
  <c r="V53" i="8" s="1"/>
  <c r="P53" i="8" s="1"/>
  <c r="T52" i="8"/>
  <c r="V52" i="8" s="1"/>
  <c r="P52" i="8" s="1"/>
  <c r="I81" i="73" s="1"/>
  <c r="J81" i="73" s="1"/>
  <c r="N81" i="73" s="1"/>
  <c r="T51" i="8"/>
  <c r="V51" i="8" s="1"/>
  <c r="P51" i="8" s="1"/>
  <c r="I79" i="73" s="1"/>
  <c r="J79" i="73" s="1"/>
  <c r="N79" i="73" s="1"/>
  <c r="C53" i="8"/>
  <c r="BN53" i="8" s="1"/>
  <c r="C52" i="8"/>
  <c r="BN52" i="8" s="1"/>
  <c r="C51" i="8"/>
  <c r="BN51" i="8" s="1"/>
  <c r="B50" i="8"/>
  <c r="BN50" i="8" s="1"/>
  <c r="T49" i="8"/>
  <c r="V49" i="8" s="1"/>
  <c r="P49" i="8" s="1"/>
  <c r="E49" i="8"/>
  <c r="BN49" i="8" s="1"/>
  <c r="T48" i="8"/>
  <c r="V48" i="8" s="1"/>
  <c r="P48" i="8" s="1"/>
  <c r="I46" i="8"/>
  <c r="T45" i="8"/>
  <c r="AH45" i="8" s="1"/>
  <c r="T43" i="8"/>
  <c r="AG43" i="8" s="1"/>
  <c r="E48" i="8"/>
  <c r="BN48" i="8" s="1"/>
  <c r="D47" i="8"/>
  <c r="D46" i="8"/>
  <c r="BN46" i="8" s="1"/>
  <c r="D45" i="8"/>
  <c r="C44" i="8"/>
  <c r="BN44" i="8" s="1"/>
  <c r="C43" i="8"/>
  <c r="BN43" i="8" s="1"/>
  <c r="B42" i="8"/>
  <c r="BN42" i="8" s="1"/>
  <c r="I40" i="8"/>
  <c r="T39" i="8"/>
  <c r="I38" i="8"/>
  <c r="I37" i="8"/>
  <c r="I34" i="8"/>
  <c r="I33" i="8"/>
  <c r="I32" i="8"/>
  <c r="T30" i="8"/>
  <c r="AH30" i="8" s="1"/>
  <c r="I30" i="8"/>
  <c r="T29" i="8"/>
  <c r="AH29" i="8" s="1"/>
  <c r="I29" i="8"/>
  <c r="T27" i="8"/>
  <c r="I27" i="8"/>
  <c r="T23" i="8"/>
  <c r="AH23" i="8" s="1"/>
  <c r="I23" i="8"/>
  <c r="T22" i="8"/>
  <c r="AH22" i="8" s="1"/>
  <c r="T20" i="8"/>
  <c r="AH20" i="8" s="1"/>
  <c r="I20" i="8"/>
  <c r="T19" i="8"/>
  <c r="AH19" i="8" s="1"/>
  <c r="I19" i="8"/>
  <c r="I18" i="8"/>
  <c r="T18" i="8"/>
  <c r="AH18" i="8" s="1"/>
  <c r="T16" i="8"/>
  <c r="AH16" i="8" s="1"/>
  <c r="T14" i="8"/>
  <c r="AH14" i="8" s="1"/>
  <c r="T13" i="8"/>
  <c r="AH13" i="8" s="1"/>
  <c r="T12" i="8"/>
  <c r="B173" i="8"/>
  <c r="B41" i="8"/>
  <c r="V10" i="69"/>
  <c r="B107" i="8"/>
  <c r="B100" i="8"/>
  <c r="B74" i="8"/>
  <c r="B8" i="8"/>
  <c r="O79" i="73" l="1"/>
  <c r="T79" i="73"/>
  <c r="P79" i="73"/>
  <c r="Q79" i="73"/>
  <c r="T125" i="73"/>
  <c r="W125" i="73" s="1"/>
  <c r="P125" i="73"/>
  <c r="O125" i="73"/>
  <c r="Q125" i="73"/>
  <c r="B188" i="8"/>
  <c r="BN72" i="8"/>
  <c r="B200" i="8"/>
  <c r="BN113" i="8"/>
  <c r="B190" i="8"/>
  <c r="BN82" i="8"/>
  <c r="B192" i="8"/>
  <c r="BN92" i="8"/>
  <c r="O81" i="73"/>
  <c r="T81" i="73"/>
  <c r="P81" i="73"/>
  <c r="Q81" i="73"/>
  <c r="B185" i="8"/>
  <c r="BN64" i="8"/>
  <c r="D155" i="8"/>
  <c r="BN155" i="8" s="1"/>
  <c r="BN45" i="8"/>
  <c r="D157" i="8"/>
  <c r="BN157" i="8" s="1"/>
  <c r="BN47" i="8"/>
  <c r="B193" i="8"/>
  <c r="BN95" i="8"/>
  <c r="B184" i="8"/>
  <c r="BN63" i="8"/>
  <c r="B186" i="8"/>
  <c r="BN67" i="8"/>
  <c r="V13" i="69"/>
  <c r="V13" i="75"/>
  <c r="V9" i="69"/>
  <c r="BN74" i="8"/>
  <c r="V9" i="75"/>
  <c r="B187" i="8"/>
  <c r="BN69" i="8"/>
  <c r="B194" i="8"/>
  <c r="BN96" i="8"/>
  <c r="B191" i="8"/>
  <c r="BN89" i="8"/>
  <c r="V11" i="69"/>
  <c r="BN107" i="8"/>
  <c r="V11" i="75"/>
  <c r="I112" i="73"/>
  <c r="J112" i="73" s="1"/>
  <c r="I122" i="73"/>
  <c r="J122" i="73" s="1"/>
  <c r="B180" i="8"/>
  <c r="BN38" i="8"/>
  <c r="V12" i="69"/>
  <c r="BN100" i="8"/>
  <c r="V12" i="75"/>
  <c r="V8" i="69"/>
  <c r="BN41" i="8"/>
  <c r="V8" i="75"/>
  <c r="I123" i="73"/>
  <c r="J123" i="73" s="1"/>
  <c r="I46" i="73"/>
  <c r="J46" i="73" s="1"/>
  <c r="N46" i="73" s="1"/>
  <c r="I94" i="73"/>
  <c r="J94" i="73" s="1"/>
  <c r="O78" i="73"/>
  <c r="T78" i="73"/>
  <c r="Q78" i="73"/>
  <c r="P78" i="73"/>
  <c r="B195" i="8"/>
  <c r="BN98" i="8"/>
  <c r="B201" i="8"/>
  <c r="BN126" i="8"/>
  <c r="I113" i="73"/>
  <c r="J113" i="73" s="1"/>
  <c r="N113" i="73" s="1"/>
  <c r="I15" i="73"/>
  <c r="J15" i="73" s="1"/>
  <c r="N15" i="73" s="1"/>
  <c r="I32" i="73"/>
  <c r="J32" i="73" s="1"/>
  <c r="N32" i="73" s="1"/>
  <c r="G136" i="70"/>
  <c r="BN101" i="8"/>
  <c r="B183" i="8"/>
  <c r="D156" i="8"/>
  <c r="BN156" i="8" s="1"/>
  <c r="B197" i="8"/>
  <c r="L155" i="8"/>
  <c r="B198" i="8"/>
  <c r="L156" i="8"/>
  <c r="Y41" i="64"/>
  <c r="V42" i="64" s="1"/>
  <c r="Y42" i="64" s="1"/>
  <c r="AH17" i="8"/>
  <c r="AG17" i="8" s="1"/>
  <c r="AT12" i="8"/>
  <c r="AH12" i="8"/>
  <c r="AG13" i="8"/>
  <c r="AT13" i="8"/>
  <c r="AG14" i="8"/>
  <c r="AT14" i="8"/>
  <c r="V11" i="64"/>
  <c r="B10" i="14"/>
  <c r="V12" i="64"/>
  <c r="V9" i="64"/>
  <c r="B8" i="14"/>
  <c r="V8" i="64"/>
  <c r="B7" i="14"/>
  <c r="V13" i="64"/>
  <c r="V10" i="64"/>
  <c r="B202" i="8"/>
  <c r="B199" i="8"/>
  <c r="B196" i="8"/>
  <c r="B189" i="8"/>
  <c r="B182" i="8"/>
  <c r="B175" i="8"/>
  <c r="V30" i="8"/>
  <c r="P30" i="8" s="1"/>
  <c r="V124" i="8"/>
  <c r="P124" i="8" s="1"/>
  <c r="V78" i="8"/>
  <c r="P78" i="8" s="1"/>
  <c r="I116" i="73" s="1"/>
  <c r="J116" i="73" s="1"/>
  <c r="V118" i="8"/>
  <c r="P118" i="8" s="1"/>
  <c r="I97" i="73" s="1"/>
  <c r="J97" i="73" s="1"/>
  <c r="N97" i="73" s="1"/>
  <c r="V77" i="8"/>
  <c r="P77" i="8" s="1"/>
  <c r="I115" i="73" s="1"/>
  <c r="J115" i="73" s="1"/>
  <c r="V22" i="8"/>
  <c r="P22" i="8" s="1"/>
  <c r="V110" i="8"/>
  <c r="P110" i="8" s="1"/>
  <c r="V19" i="8"/>
  <c r="P19" i="8" s="1"/>
  <c r="V147" i="8"/>
  <c r="P147" i="8" s="1"/>
  <c r="V103" i="8"/>
  <c r="V59" i="8"/>
  <c r="P59" i="8" s="1"/>
  <c r="I110" i="73" s="1"/>
  <c r="J110" i="73" s="1"/>
  <c r="V14" i="8"/>
  <c r="P14" i="8" s="1"/>
  <c r="I92" i="73" s="1"/>
  <c r="J92" i="73" s="1"/>
  <c r="V146" i="8"/>
  <c r="P146" i="8" s="1"/>
  <c r="V102" i="8"/>
  <c r="V13" i="8"/>
  <c r="P13" i="8" s="1"/>
  <c r="I91" i="73" s="1"/>
  <c r="J91" i="73" s="1"/>
  <c r="V93" i="8"/>
  <c r="P93" i="8" s="1"/>
  <c r="V139" i="8"/>
  <c r="P139" i="8" s="1"/>
  <c r="J16" i="73" s="1"/>
  <c r="N16" i="73" s="1"/>
  <c r="V83" i="8"/>
  <c r="J161" i="8" s="1"/>
  <c r="V45" i="8"/>
  <c r="V79" i="8"/>
  <c r="P79" i="8" s="1"/>
  <c r="V43" i="8"/>
  <c r="V62" i="8"/>
  <c r="P62" i="8" s="1"/>
  <c r="AG12" i="8"/>
  <c r="V12" i="8"/>
  <c r="P12" i="8" s="1"/>
  <c r="AE39" i="8"/>
  <c r="V39" i="8"/>
  <c r="R39" i="8" s="1"/>
  <c r="AF57" i="8"/>
  <c r="V57" i="8"/>
  <c r="P57" i="8" s="1"/>
  <c r="AF65" i="8"/>
  <c r="V65" i="8"/>
  <c r="AG121" i="8"/>
  <c r="V121" i="8"/>
  <c r="P121" i="8" s="1"/>
  <c r="AG150" i="8"/>
  <c r="V150" i="8"/>
  <c r="P150" i="8" s="1"/>
  <c r="V135" i="8"/>
  <c r="V29" i="8"/>
  <c r="P29" i="8" s="1"/>
  <c r="AG27" i="8"/>
  <c r="V27" i="8"/>
  <c r="AH58" i="8"/>
  <c r="V58" i="8"/>
  <c r="P58" i="8" s="1"/>
  <c r="I12" i="73" s="1"/>
  <c r="J12" i="73" s="1"/>
  <c r="N12" i="73" s="1"/>
  <c r="AG66" i="8"/>
  <c r="V66" i="8"/>
  <c r="P66" i="8" s="1"/>
  <c r="AH81" i="8"/>
  <c r="V81" i="8"/>
  <c r="P81" i="8" s="1"/>
  <c r="I68" i="73" s="1"/>
  <c r="J68" i="73" s="1"/>
  <c r="AH101" i="8"/>
  <c r="V101" i="8"/>
  <c r="J136" i="70" s="1"/>
  <c r="AH117" i="8"/>
  <c r="V117" i="8"/>
  <c r="P117" i="8" s="1"/>
  <c r="AG122" i="8"/>
  <c r="V122" i="8"/>
  <c r="P122" i="8" s="1"/>
  <c r="AG132" i="8"/>
  <c r="V132" i="8"/>
  <c r="P132" i="8" s="1"/>
  <c r="AG24" i="8"/>
  <c r="V24" i="8"/>
  <c r="P24" i="8" s="1"/>
  <c r="I143" i="73" s="1"/>
  <c r="J143" i="73" s="1"/>
  <c r="V144" i="8"/>
  <c r="P144" i="8" s="1"/>
  <c r="V134" i="8"/>
  <c r="V125" i="8"/>
  <c r="P125" i="8" s="1"/>
  <c r="V109" i="8"/>
  <c r="V84" i="8"/>
  <c r="V20" i="8"/>
  <c r="P20" i="8" s="1"/>
  <c r="I41" i="73" s="1"/>
  <c r="J41" i="73" s="1"/>
  <c r="N41" i="73" s="1"/>
  <c r="V18" i="8"/>
  <c r="P18" i="8" s="1"/>
  <c r="V143" i="8"/>
  <c r="P143" i="8" s="1"/>
  <c r="V131" i="8"/>
  <c r="P131" i="8" s="1"/>
  <c r="V97" i="8"/>
  <c r="V140" i="8"/>
  <c r="P140" i="8" s="1"/>
  <c r="V88" i="8"/>
  <c r="P88" i="8" s="1"/>
  <c r="V56" i="8"/>
  <c r="P56" i="8" s="1"/>
  <c r="V16" i="8"/>
  <c r="P16" i="8" s="1"/>
  <c r="I141" i="73" s="1"/>
  <c r="J141" i="73" s="1"/>
  <c r="V87" i="8"/>
  <c r="P87" i="8" s="1"/>
  <c r="V23" i="8"/>
  <c r="P23" i="8" s="1"/>
  <c r="AH79" i="8"/>
  <c r="AG118" i="8"/>
  <c r="AG78" i="8"/>
  <c r="AG53" i="8"/>
  <c r="AE103" i="8"/>
  <c r="AH56" i="8"/>
  <c r="AG81" i="8"/>
  <c r="AH57" i="8"/>
  <c r="AG59" i="8"/>
  <c r="AG126" i="8"/>
  <c r="AG103" i="8"/>
  <c r="AF97" i="8"/>
  <c r="AG93" i="8"/>
  <c r="AG84" i="8"/>
  <c r="AF52" i="8"/>
  <c r="AG133" i="8"/>
  <c r="AF133" i="8" s="1"/>
  <c r="AH43" i="8"/>
  <c r="AF53" i="8"/>
  <c r="AG57" i="8"/>
  <c r="AF66" i="8"/>
  <c r="AG70" i="8"/>
  <c r="AG83" i="8"/>
  <c r="AG88" i="8"/>
  <c r="AE102" i="8"/>
  <c r="AG131" i="8"/>
  <c r="AG146" i="8"/>
  <c r="AF54" i="8"/>
  <c r="AF58" i="8"/>
  <c r="AF71" i="8"/>
  <c r="AG147" i="8"/>
  <c r="AH70" i="8"/>
  <c r="AH147" i="8"/>
  <c r="AF43" i="8"/>
  <c r="AG54" i="8"/>
  <c r="AG58" i="8"/>
  <c r="AG65" i="8"/>
  <c r="AG71" i="8"/>
  <c r="AG117" i="8"/>
  <c r="AG139" i="8"/>
  <c r="AF51" i="8"/>
  <c r="AF56" i="8"/>
  <c r="AH71" i="8"/>
  <c r="AG77" i="8"/>
  <c r="AF101" i="8"/>
  <c r="AF109" i="8"/>
  <c r="AH109" i="8"/>
  <c r="AT16" i="8"/>
  <c r="AG51" i="8"/>
  <c r="AF59" i="8"/>
  <c r="AH87" i="8"/>
  <c r="AG101" i="8"/>
  <c r="AF110" i="8"/>
  <c r="AG45" i="8"/>
  <c r="AF102" i="8"/>
  <c r="AG52" i="8"/>
  <c r="AF70" i="8"/>
  <c r="AE101" i="8"/>
  <c r="AT24" i="8"/>
  <c r="AT27" i="8"/>
  <c r="AT39" i="8"/>
  <c r="AS39" i="8" s="1"/>
  <c r="AR39" i="8" s="1"/>
  <c r="AH126" i="8"/>
  <c r="AH134" i="8"/>
  <c r="AH24" i="8"/>
  <c r="AG16" i="8"/>
  <c r="AH62" i="8"/>
  <c r="AH21" i="8"/>
  <c r="AG21" i="8" s="1"/>
  <c r="AH28" i="8"/>
  <c r="AG28" i="8" s="1"/>
  <c r="AH121" i="8"/>
  <c r="AH65" i="8"/>
  <c r="AH53" i="8"/>
  <c r="AH140" i="8"/>
  <c r="AH132" i="8"/>
  <c r="AH124" i="8"/>
  <c r="AH110" i="8"/>
  <c r="AH102" i="8"/>
  <c r="AH97" i="8"/>
  <c r="AH143" i="8"/>
  <c r="AH135" i="8"/>
  <c r="AH39" i="8"/>
  <c r="AH27" i="8"/>
  <c r="AH150" i="8"/>
  <c r="AH146" i="8"/>
  <c r="AH122" i="8"/>
  <c r="AH52" i="8"/>
  <c r="AG39" i="8"/>
  <c r="AH125" i="8"/>
  <c r="AH103" i="8"/>
  <c r="AH49" i="8"/>
  <c r="AF39" i="8"/>
  <c r="AH144" i="8"/>
  <c r="AH66" i="8"/>
  <c r="AH54" i="8"/>
  <c r="AH48" i="8"/>
  <c r="AH51" i="8"/>
  <c r="B9" i="14"/>
  <c r="B11" i="14"/>
  <c r="B12" i="14"/>
  <c r="N122" i="73" l="1"/>
  <c r="I19" i="73"/>
  <c r="J19" i="73" s="1"/>
  <c r="N19" i="73" s="1"/>
  <c r="I102" i="73"/>
  <c r="J102" i="73" s="1"/>
  <c r="B69" i="75"/>
  <c r="C44" i="75"/>
  <c r="R46" i="75" s="1"/>
  <c r="I144" i="73"/>
  <c r="J144" i="73" s="1"/>
  <c r="N144" i="73" s="1"/>
  <c r="I64" i="73"/>
  <c r="J64" i="73" s="1"/>
  <c r="N64" i="73" s="1"/>
  <c r="T15" i="73"/>
  <c r="Q15" i="73"/>
  <c r="O15" i="73"/>
  <c r="P15" i="73"/>
  <c r="S51" i="69"/>
  <c r="T51" i="69" s="1"/>
  <c r="I114" i="73"/>
  <c r="J114" i="73" s="1"/>
  <c r="N114" i="73" s="1"/>
  <c r="S51" i="75"/>
  <c r="T51" i="75" s="1"/>
  <c r="L71" i="75"/>
  <c r="K55" i="75"/>
  <c r="L69" i="75"/>
  <c r="K44" i="75"/>
  <c r="N115" i="73"/>
  <c r="H69" i="75"/>
  <c r="G44" i="75"/>
  <c r="U46" i="75" s="1"/>
  <c r="T32" i="73"/>
  <c r="P32" i="73"/>
  <c r="Q32" i="73"/>
  <c r="O32" i="73"/>
  <c r="Q97" i="73"/>
  <c r="P97" i="73"/>
  <c r="O97" i="73"/>
  <c r="T97" i="73"/>
  <c r="I63" i="73"/>
  <c r="J63" i="73" s="1"/>
  <c r="N63" i="73" s="1"/>
  <c r="I128" i="73"/>
  <c r="J128" i="73" s="1"/>
  <c r="N128" i="73" s="1"/>
  <c r="T113" i="73"/>
  <c r="W107" i="73" s="1"/>
  <c r="Q113" i="73"/>
  <c r="P113" i="73"/>
  <c r="O113" i="73"/>
  <c r="B71" i="75"/>
  <c r="C55" i="75"/>
  <c r="R57" i="75" s="1"/>
  <c r="I80" i="73"/>
  <c r="J80" i="73" s="1"/>
  <c r="N80" i="73" s="1"/>
  <c r="I14" i="73"/>
  <c r="J14" i="73" s="1"/>
  <c r="N14" i="73" s="1"/>
  <c r="I87" i="73"/>
  <c r="J87" i="73" s="1"/>
  <c r="N87" i="73" s="1"/>
  <c r="J71" i="73"/>
  <c r="N71" i="73" s="1"/>
  <c r="Q41" i="73"/>
  <c r="T41" i="73"/>
  <c r="O41" i="73"/>
  <c r="P41" i="73"/>
  <c r="Q12" i="73"/>
  <c r="T12" i="73"/>
  <c r="W12" i="73" s="1"/>
  <c r="P12" i="73"/>
  <c r="O12" i="73"/>
  <c r="H71" i="75"/>
  <c r="G55" i="75"/>
  <c r="U57" i="75" s="1"/>
  <c r="I103" i="73"/>
  <c r="J103" i="73" s="1"/>
  <c r="I20" i="73"/>
  <c r="J20" i="73" s="1"/>
  <c r="N20" i="73" s="1"/>
  <c r="I25" i="73"/>
  <c r="J25" i="73" s="1"/>
  <c r="N25" i="73" s="1"/>
  <c r="I109" i="73"/>
  <c r="J109" i="73" s="1"/>
  <c r="N109" i="73" s="1"/>
  <c r="P109" i="73" s="1"/>
  <c r="I100" i="73"/>
  <c r="J100" i="73" s="1"/>
  <c r="T46" i="73"/>
  <c r="P46" i="73"/>
  <c r="Q46" i="73"/>
  <c r="O46" i="73"/>
  <c r="W43" i="64"/>
  <c r="Y43" i="64" s="1"/>
  <c r="P45" i="8"/>
  <c r="J155" i="73" s="1"/>
  <c r="N155" i="73" s="1"/>
  <c r="J155" i="8"/>
  <c r="G55" i="69"/>
  <c r="U57" i="69" s="1"/>
  <c r="H71" i="69"/>
  <c r="B71" i="69"/>
  <c r="C55" i="69"/>
  <c r="R57" i="69" s="1"/>
  <c r="K44" i="69"/>
  <c r="L69" i="69"/>
  <c r="G44" i="69"/>
  <c r="U46" i="69" s="1"/>
  <c r="H69" i="69"/>
  <c r="C44" i="69"/>
  <c r="R46" i="69" s="1"/>
  <c r="B69" i="69"/>
  <c r="K55" i="69"/>
  <c r="L71" i="69"/>
  <c r="AG26" i="8"/>
  <c r="AF26" i="8" s="1"/>
  <c r="AG15" i="8"/>
  <c r="AM16" i="8" s="1"/>
  <c r="R103" i="8"/>
  <c r="S62" i="64" s="1"/>
  <c r="T62" i="64" s="1"/>
  <c r="P109" i="8"/>
  <c r="P27" i="8"/>
  <c r="I40" i="73" s="1"/>
  <c r="J40" i="73" s="1"/>
  <c r="N40" i="73" s="1"/>
  <c r="R102" i="8"/>
  <c r="R160" i="8"/>
  <c r="AG10" i="8"/>
  <c r="AM14" i="8" s="1"/>
  <c r="H69" i="64"/>
  <c r="G53" i="64"/>
  <c r="U57" i="64" s="1"/>
  <c r="C53" i="64"/>
  <c r="R57" i="64" s="1"/>
  <c r="B69" i="64"/>
  <c r="L67" i="64"/>
  <c r="K42" i="64"/>
  <c r="X46" i="64" s="1"/>
  <c r="H67" i="64"/>
  <c r="G42" i="64"/>
  <c r="U46" i="64" s="1"/>
  <c r="S51" i="64"/>
  <c r="T51" i="64" s="1"/>
  <c r="B67" i="64"/>
  <c r="C42" i="64"/>
  <c r="R46" i="64" s="1"/>
  <c r="K53" i="64"/>
  <c r="L69" i="64"/>
  <c r="R101" i="8"/>
  <c r="AG120" i="8"/>
  <c r="AM121" i="8" s="1"/>
  <c r="AY121" i="8" s="1"/>
  <c r="P43" i="8"/>
  <c r="I152" i="73" s="1"/>
  <c r="J152" i="73" s="1"/>
  <c r="N152" i="73" s="1"/>
  <c r="P83" i="8"/>
  <c r="I70" i="73" s="1"/>
  <c r="J70" i="73" s="1"/>
  <c r="J164" i="8"/>
  <c r="P135" i="8"/>
  <c r="J163" i="8"/>
  <c r="P134" i="8"/>
  <c r="P97" i="8"/>
  <c r="I82" i="73" s="1"/>
  <c r="J82" i="73" s="1"/>
  <c r="N82" i="73" s="1"/>
  <c r="R166" i="8"/>
  <c r="P84" i="8"/>
  <c r="J162" i="8"/>
  <c r="J159" i="8"/>
  <c r="R161" i="8"/>
  <c r="P65" i="8"/>
  <c r="AG76" i="8"/>
  <c r="AM79" i="8" s="1"/>
  <c r="AY79" i="8" s="1"/>
  <c r="AH47" i="8"/>
  <c r="AG47" i="8" s="1"/>
  <c r="AM134" i="8"/>
  <c r="AY134" i="8" s="1"/>
  <c r="AM135" i="8"/>
  <c r="AY135" i="8" s="1"/>
  <c r="AG123" i="8"/>
  <c r="AM126" i="8" s="1"/>
  <c r="AY126" i="8" s="1"/>
  <c r="AG86" i="8"/>
  <c r="AM88" i="8" s="1"/>
  <c r="AY88" i="8" s="1"/>
  <c r="AF55" i="8"/>
  <c r="AL59" i="8" s="1"/>
  <c r="AX59" i="8" s="1"/>
  <c r="AG130" i="8"/>
  <c r="AM131" i="8" s="1"/>
  <c r="AY131" i="8" s="1"/>
  <c r="AF108" i="8"/>
  <c r="AF50" i="8"/>
  <c r="AL52" i="8" s="1"/>
  <c r="AX52" i="8" s="1"/>
  <c r="AN18" i="8"/>
  <c r="AN22" i="8"/>
  <c r="AZ22" i="8" s="1"/>
  <c r="AN19" i="8"/>
  <c r="AZ19" i="8" s="1"/>
  <c r="AN23" i="8"/>
  <c r="AZ23" i="8" s="1"/>
  <c r="AN30" i="8"/>
  <c r="AZ30" i="8" s="1"/>
  <c r="AN29" i="8"/>
  <c r="AZ29" i="8" s="1"/>
  <c r="AN20" i="8"/>
  <c r="AZ20" i="8" s="1"/>
  <c r="N102" i="73" l="1"/>
  <c r="T122" i="73"/>
  <c r="O122" i="73"/>
  <c r="Q122" i="73"/>
  <c r="P122" i="73"/>
  <c r="T63" i="73"/>
  <c r="O63" i="73"/>
  <c r="Q63" i="73"/>
  <c r="P63" i="73"/>
  <c r="S60" i="69"/>
  <c r="T60" i="69" s="1"/>
  <c r="I53" i="73"/>
  <c r="J53" i="73" s="1"/>
  <c r="N53" i="73" s="1"/>
  <c r="S60" i="75"/>
  <c r="T60" i="75" s="1"/>
  <c r="I90" i="73"/>
  <c r="J90" i="73" s="1"/>
  <c r="I136" i="73"/>
  <c r="J136" i="73" s="1"/>
  <c r="N136" i="73" s="1"/>
  <c r="I72" i="73"/>
  <c r="J72" i="73" s="1"/>
  <c r="N72" i="73" s="1"/>
  <c r="Q109" i="73"/>
  <c r="O109" i="73"/>
  <c r="T109" i="73"/>
  <c r="Q25" i="73"/>
  <c r="P25" i="73"/>
  <c r="O25" i="73"/>
  <c r="T25" i="73"/>
  <c r="W24" i="73" s="1"/>
  <c r="O20" i="73"/>
  <c r="P20" i="73"/>
  <c r="T20" i="73"/>
  <c r="Q20" i="73"/>
  <c r="Q87" i="73"/>
  <c r="O87" i="73"/>
  <c r="T87" i="73"/>
  <c r="P87" i="73"/>
  <c r="T14" i="73"/>
  <c r="W14" i="73" s="1"/>
  <c r="Q14" i="73"/>
  <c r="O14" i="73"/>
  <c r="P14" i="73"/>
  <c r="T82" i="73"/>
  <c r="Q82" i="73"/>
  <c r="P82" i="73"/>
  <c r="O82" i="73"/>
  <c r="O80" i="73"/>
  <c r="T80" i="73"/>
  <c r="Q80" i="73"/>
  <c r="P80" i="73"/>
  <c r="P64" i="73"/>
  <c r="Q64" i="73"/>
  <c r="T64" i="73"/>
  <c r="O64" i="73"/>
  <c r="P144" i="73"/>
  <c r="O144" i="73"/>
  <c r="T144" i="73"/>
  <c r="Q144" i="73"/>
  <c r="O115" i="73"/>
  <c r="T115" i="73"/>
  <c r="P115" i="73"/>
  <c r="Q115" i="73"/>
  <c r="S61" i="69"/>
  <c r="T61" i="69" s="1"/>
  <c r="I54" i="73"/>
  <c r="J54" i="73" s="1"/>
  <c r="N54" i="73" s="1"/>
  <c r="S61" i="75"/>
  <c r="T61" i="75" s="1"/>
  <c r="T19" i="73"/>
  <c r="Q19" i="73"/>
  <c r="O19" i="73"/>
  <c r="P19" i="73"/>
  <c r="T152" i="73"/>
  <c r="W151" i="73" s="1"/>
  <c r="O152" i="73"/>
  <c r="P152" i="73"/>
  <c r="Q152" i="73"/>
  <c r="T40" i="73"/>
  <c r="Q40" i="73"/>
  <c r="P40" i="73"/>
  <c r="O40" i="73"/>
  <c r="I43" i="73"/>
  <c r="J43" i="73" s="1"/>
  <c r="N43" i="73" s="1"/>
  <c r="I98" i="73"/>
  <c r="J98" i="73" s="1"/>
  <c r="N98" i="73" s="1"/>
  <c r="I18" i="73"/>
  <c r="J18" i="73" s="1"/>
  <c r="N18" i="73" s="1"/>
  <c r="I120" i="73"/>
  <c r="J120" i="73" s="1"/>
  <c r="N120" i="73" s="1"/>
  <c r="S62" i="69"/>
  <c r="T62" i="69" s="1"/>
  <c r="I55" i="73"/>
  <c r="J55" i="73" s="1"/>
  <c r="N55" i="73" s="1"/>
  <c r="S62" i="75"/>
  <c r="T62" i="75" s="1"/>
  <c r="T114" i="73"/>
  <c r="W114" i="73" s="1"/>
  <c r="P114" i="73"/>
  <c r="Q114" i="73"/>
  <c r="O114" i="73"/>
  <c r="P128" i="73"/>
  <c r="Q128" i="73"/>
  <c r="T128" i="73"/>
  <c r="O128" i="73"/>
  <c r="AF10" i="8"/>
  <c r="S61" i="64"/>
  <c r="T61" i="64" s="1"/>
  <c r="AM17" i="8"/>
  <c r="AY17" i="8" s="1"/>
  <c r="AM12" i="8"/>
  <c r="AY12" i="8" s="1"/>
  <c r="AM13" i="8"/>
  <c r="AY13" i="8" s="1"/>
  <c r="Q14" i="8"/>
  <c r="AY14" i="8"/>
  <c r="AZ18" i="8"/>
  <c r="Q18" i="8"/>
  <c r="S60" i="64"/>
  <c r="T60" i="64" s="1"/>
  <c r="AF120" i="8"/>
  <c r="AM122" i="8"/>
  <c r="AY122" i="8" s="1"/>
  <c r="AM27" i="8"/>
  <c r="AY27" i="8" s="1"/>
  <c r="AM28" i="8"/>
  <c r="AY28" i="8" s="1"/>
  <c r="AM77" i="8"/>
  <c r="AF76" i="8"/>
  <c r="AL56" i="8"/>
  <c r="AM78" i="8"/>
  <c r="Q131" i="8"/>
  <c r="AS131" i="8"/>
  <c r="Q135" i="8"/>
  <c r="AS135" i="8"/>
  <c r="AE55" i="8"/>
  <c r="AL57" i="8"/>
  <c r="AX57" i="8" s="1"/>
  <c r="Q88" i="8"/>
  <c r="AS88" i="8"/>
  <c r="Q134" i="8"/>
  <c r="AS134" i="8"/>
  <c r="AN49" i="8"/>
  <c r="AZ49" i="8" s="1"/>
  <c r="AF130" i="8"/>
  <c r="AM132" i="8"/>
  <c r="AY132" i="8" s="1"/>
  <c r="AF86" i="8"/>
  <c r="AM87" i="8"/>
  <c r="AY87" i="8" s="1"/>
  <c r="Q126" i="8"/>
  <c r="AS126" i="8"/>
  <c r="Q59" i="8"/>
  <c r="AR59" i="8"/>
  <c r="AF123" i="8"/>
  <c r="AM125" i="8"/>
  <c r="AY125" i="8" s="1"/>
  <c r="AM124" i="8"/>
  <c r="AY124" i="8" s="1"/>
  <c r="AL58" i="8"/>
  <c r="AX58" i="8" s="1"/>
  <c r="Q121" i="8"/>
  <c r="AS121" i="8"/>
  <c r="AN48" i="8"/>
  <c r="AZ48" i="8" s="1"/>
  <c r="AG116" i="8"/>
  <c r="AM117" i="8" s="1"/>
  <c r="AE108" i="8"/>
  <c r="AL110" i="8"/>
  <c r="AX110" i="8" s="1"/>
  <c r="AL109" i="8"/>
  <c r="AX109" i="8" s="1"/>
  <c r="Q79" i="8"/>
  <c r="AS79" i="8"/>
  <c r="Q52" i="8"/>
  <c r="AR52" i="8"/>
  <c r="AE50" i="8"/>
  <c r="AL51" i="8"/>
  <c r="AX51" i="8" s="1"/>
  <c r="AL54" i="8"/>
  <c r="AX54" i="8" s="1"/>
  <c r="AL53" i="8"/>
  <c r="AX53" i="8" s="1"/>
  <c r="Q29" i="8"/>
  <c r="AT29" i="8"/>
  <c r="AS14" i="8"/>
  <c r="Q30" i="8"/>
  <c r="AT30" i="8"/>
  <c r="Q19" i="8"/>
  <c r="AT19" i="8"/>
  <c r="Q23" i="8"/>
  <c r="AT23" i="8"/>
  <c r="Q22" i="8"/>
  <c r="AT22" i="8"/>
  <c r="AT18" i="8"/>
  <c r="Q20" i="8"/>
  <c r="AT20" i="8"/>
  <c r="AM21" i="8"/>
  <c r="AY21" i="8" s="1"/>
  <c r="AF15" i="8"/>
  <c r="AM24" i="8"/>
  <c r="AY16" i="8"/>
  <c r="S40" i="64"/>
  <c r="T40" i="64"/>
  <c r="U40" i="64"/>
  <c r="Q55" i="73" l="1"/>
  <c r="P55" i="73"/>
  <c r="T55" i="73"/>
  <c r="O55" i="73"/>
  <c r="Q102" i="73"/>
  <c r="T102" i="73"/>
  <c r="P102" i="73"/>
  <c r="O102" i="73"/>
  <c r="T120" i="73"/>
  <c r="Q120" i="73"/>
  <c r="P120" i="73"/>
  <c r="O120" i="73"/>
  <c r="T18" i="73"/>
  <c r="P18" i="73"/>
  <c r="O18" i="73"/>
  <c r="Q18" i="73"/>
  <c r="T98" i="73"/>
  <c r="O98" i="73"/>
  <c r="Q98" i="73"/>
  <c r="P98" i="73"/>
  <c r="T43" i="73"/>
  <c r="Q43" i="73"/>
  <c r="P43" i="73"/>
  <c r="O43" i="73"/>
  <c r="T72" i="73"/>
  <c r="Q72" i="73"/>
  <c r="P72" i="73"/>
  <c r="O72" i="73"/>
  <c r="O136" i="73"/>
  <c r="P136" i="73"/>
  <c r="Q136" i="73"/>
  <c r="T136" i="73"/>
  <c r="T54" i="73"/>
  <c r="Q54" i="73"/>
  <c r="O54" i="73"/>
  <c r="P54" i="73"/>
  <c r="Q53" i="73"/>
  <c r="T53" i="73"/>
  <c r="W53" i="73" s="1"/>
  <c r="P53" i="73"/>
  <c r="O53" i="73"/>
  <c r="W63" i="73"/>
  <c r="AF9" i="8"/>
  <c r="AL15" i="8" s="1"/>
  <c r="AX15" i="8" s="1"/>
  <c r="AS13" i="8"/>
  <c r="Q13" i="8"/>
  <c r="Q17" i="8"/>
  <c r="Q12" i="8"/>
  <c r="AS12" i="8"/>
  <c r="AY10" i="8"/>
  <c r="AS122" i="8"/>
  <c r="AS120" i="8" s="1"/>
  <c r="Q27" i="8"/>
  <c r="Y40" i="64"/>
  <c r="AY123" i="8"/>
  <c r="Q117" i="8"/>
  <c r="AY117" i="8"/>
  <c r="Q122" i="8"/>
  <c r="Q78" i="8"/>
  <c r="AY78" i="8"/>
  <c r="Q77" i="8"/>
  <c r="AY77" i="8"/>
  <c r="AR56" i="8"/>
  <c r="AX56" i="8"/>
  <c r="Q28" i="8"/>
  <c r="Q24" i="8"/>
  <c r="AY24" i="8"/>
  <c r="AY15" i="8" s="1"/>
  <c r="V149" i="8"/>
  <c r="P149" i="8" s="1"/>
  <c r="J21" i="73" s="1"/>
  <c r="N21" i="73" s="1"/>
  <c r="V145" i="8"/>
  <c r="P145" i="8" s="1"/>
  <c r="V141" i="8"/>
  <c r="P141" i="8" s="1"/>
  <c r="Q56" i="8"/>
  <c r="AT21" i="8"/>
  <c r="U21" i="8" s="1"/>
  <c r="V21" i="8" s="1"/>
  <c r="P21" i="8" s="1"/>
  <c r="Q21" i="8"/>
  <c r="AS77" i="8"/>
  <c r="AS78" i="8"/>
  <c r="AS133" i="8"/>
  <c r="U133" i="8" s="1"/>
  <c r="V133" i="8" s="1"/>
  <c r="P133" i="8" s="1"/>
  <c r="AS87" i="8"/>
  <c r="Q87" i="8"/>
  <c r="AM118" i="8"/>
  <c r="AY118" i="8" s="1"/>
  <c r="AS117" i="8"/>
  <c r="Q132" i="8"/>
  <c r="AS132" i="8"/>
  <c r="AF119" i="8"/>
  <c r="AL123" i="8" s="1"/>
  <c r="AX123" i="8" s="1"/>
  <c r="Q125" i="8"/>
  <c r="AS125" i="8"/>
  <c r="AF129" i="8"/>
  <c r="AL130" i="8" s="1"/>
  <c r="AX130" i="8" s="1"/>
  <c r="Q48" i="8"/>
  <c r="AT48" i="8"/>
  <c r="Q49" i="8"/>
  <c r="AT49" i="8"/>
  <c r="Q124" i="8"/>
  <c r="AS124" i="8"/>
  <c r="Q58" i="8"/>
  <c r="AR58" i="8"/>
  <c r="Q57" i="8"/>
  <c r="AR57" i="8"/>
  <c r="AF116" i="8"/>
  <c r="Q109" i="8"/>
  <c r="AR109" i="8"/>
  <c r="Q110" i="8"/>
  <c r="AR110" i="8"/>
  <c r="Q51" i="8"/>
  <c r="AR51" i="8"/>
  <c r="Q53" i="8"/>
  <c r="AR53" i="8"/>
  <c r="AR54" i="8"/>
  <c r="Q54" i="8"/>
  <c r="AT17" i="8"/>
  <c r="U17" i="8" s="1"/>
  <c r="V17" i="8" s="1"/>
  <c r="P17" i="8" s="1"/>
  <c r="I142" i="73" s="1"/>
  <c r="J142" i="73" s="1"/>
  <c r="N141" i="73" s="1"/>
  <c r="AT28" i="8"/>
  <c r="U28" i="8" s="1"/>
  <c r="V28" i="8" s="1"/>
  <c r="P28" i="8" s="1"/>
  <c r="Q16" i="8"/>
  <c r="AS16" i="8"/>
  <c r="AS10" i="8" l="1"/>
  <c r="T16" i="73"/>
  <c r="O16" i="73"/>
  <c r="Q16" i="73"/>
  <c r="P16" i="73"/>
  <c r="I101" i="73"/>
  <c r="J101" i="73" s="1"/>
  <c r="N99" i="73" s="1"/>
  <c r="T21" i="73"/>
  <c r="P21" i="73"/>
  <c r="Q21" i="73"/>
  <c r="O21" i="73"/>
  <c r="I93" i="73"/>
  <c r="J93" i="73" s="1"/>
  <c r="N91" i="73" s="1"/>
  <c r="I147" i="73"/>
  <c r="J147" i="73" s="1"/>
  <c r="N147" i="73" s="1"/>
  <c r="W54" i="73"/>
  <c r="Q141" i="73"/>
  <c r="T141" i="73"/>
  <c r="P141" i="73"/>
  <c r="O141" i="73"/>
  <c r="X41" i="64"/>
  <c r="X42" i="64"/>
  <c r="T36" i="64" s="1"/>
  <c r="S36" i="64" s="1"/>
  <c r="S37" i="64" s="1"/>
  <c r="X43" i="64"/>
  <c r="AG149" i="8"/>
  <c r="AG148" i="8" s="1"/>
  <c r="AM149" i="8" s="1"/>
  <c r="AY149" i="8" s="1"/>
  <c r="AH149" i="8"/>
  <c r="AH145" i="8"/>
  <c r="AG145" i="8"/>
  <c r="AG142" i="8" s="1"/>
  <c r="AM145" i="8" s="1"/>
  <c r="AY145" i="8" s="1"/>
  <c r="AH141" i="8"/>
  <c r="AG141" i="8"/>
  <c r="AG138" i="8" s="1"/>
  <c r="AY133" i="8"/>
  <c r="AY120" i="8"/>
  <c r="AS86" i="8"/>
  <c r="AS130" i="8"/>
  <c r="AS76" i="8"/>
  <c r="AR55" i="8"/>
  <c r="AT47" i="8"/>
  <c r="U47" i="8" s="1"/>
  <c r="V47" i="8" s="1"/>
  <c r="Q130" i="8"/>
  <c r="Q118" i="8"/>
  <c r="AS118" i="8"/>
  <c r="AS123" i="8"/>
  <c r="AE129" i="8"/>
  <c r="AL133" i="8"/>
  <c r="AX133" i="8" s="1"/>
  <c r="AR50" i="8"/>
  <c r="U120" i="8"/>
  <c r="V120" i="8" s="1"/>
  <c r="P120" i="8" s="1"/>
  <c r="Q123" i="8"/>
  <c r="AS28" i="8"/>
  <c r="AE119" i="8"/>
  <c r="AL120" i="8"/>
  <c r="AR108" i="8"/>
  <c r="Q15" i="8"/>
  <c r="AS27" i="8"/>
  <c r="AE9" i="8"/>
  <c r="AL10" i="8"/>
  <c r="AX10" i="8" s="1"/>
  <c r="T147" i="73" l="1"/>
  <c r="W147" i="73" s="1"/>
  <c r="P147" i="73"/>
  <c r="Q147" i="73"/>
  <c r="O147" i="73"/>
  <c r="P91" i="73"/>
  <c r="O91" i="73"/>
  <c r="Q91" i="73"/>
  <c r="T91" i="73"/>
  <c r="O99" i="73"/>
  <c r="P99" i="73"/>
  <c r="T99" i="73"/>
  <c r="Q99" i="73"/>
  <c r="W16" i="73"/>
  <c r="X10" i="73" s="1"/>
  <c r="P47" i="8"/>
  <c r="J157" i="8"/>
  <c r="AR120" i="8"/>
  <c r="AX120" i="8"/>
  <c r="AR130" i="8"/>
  <c r="Q145" i="8"/>
  <c r="AS145" i="8"/>
  <c r="AF142" i="8"/>
  <c r="AM143" i="8"/>
  <c r="AY143" i="8" s="1"/>
  <c r="AM144" i="8"/>
  <c r="AY144" i="8" s="1"/>
  <c r="U130" i="8"/>
  <c r="V130" i="8" s="1"/>
  <c r="P130" i="8" s="1"/>
  <c r="U76" i="8"/>
  <c r="V76" i="8" s="1"/>
  <c r="U86" i="8"/>
  <c r="V86" i="8" s="1"/>
  <c r="P86" i="8" s="1"/>
  <c r="AZ21" i="8"/>
  <c r="AS116" i="8"/>
  <c r="AY130" i="8"/>
  <c r="AY86" i="8"/>
  <c r="U50" i="8"/>
  <c r="V50" i="8" s="1"/>
  <c r="R50" i="8" s="1"/>
  <c r="AX108" i="8"/>
  <c r="AZ28" i="8"/>
  <c r="AZ17" i="8"/>
  <c r="U55" i="8"/>
  <c r="V55" i="8" s="1"/>
  <c r="R55" i="8" s="1"/>
  <c r="Q133" i="8"/>
  <c r="AR133" i="8"/>
  <c r="Q149" i="8"/>
  <c r="AS149" i="8"/>
  <c r="AR123" i="8"/>
  <c r="U123" i="8"/>
  <c r="V123" i="8" s="1"/>
  <c r="P123" i="8" s="1"/>
  <c r="AF148" i="8"/>
  <c r="AM150" i="8"/>
  <c r="AY150" i="8" s="1"/>
  <c r="Q120" i="8"/>
  <c r="AS26" i="8"/>
  <c r="U26" i="8" s="1"/>
  <c r="AF138" i="8"/>
  <c r="AM140" i="8"/>
  <c r="AY140" i="8" s="1"/>
  <c r="AM139" i="8"/>
  <c r="AY139" i="8" s="1"/>
  <c r="AM141" i="8"/>
  <c r="AY141" i="8" s="1"/>
  <c r="U108" i="8"/>
  <c r="V108" i="8" s="1"/>
  <c r="R108" i="8" s="1"/>
  <c r="Q10" i="8"/>
  <c r="AS24" i="8"/>
  <c r="V60" i="69" l="1"/>
  <c r="W60" i="69" s="1"/>
  <c r="V60" i="75"/>
  <c r="W60" i="75" s="1"/>
  <c r="V50" i="69"/>
  <c r="W50" i="69" s="1"/>
  <c r="V50" i="75"/>
  <c r="W50" i="75" s="1"/>
  <c r="V51" i="69"/>
  <c r="W51" i="69" s="1"/>
  <c r="V51" i="75"/>
  <c r="W51" i="75" s="1"/>
  <c r="P76" i="8"/>
  <c r="V60" i="64"/>
  <c r="W60" i="64" s="1"/>
  <c r="V51" i="64"/>
  <c r="W51" i="64" s="1"/>
  <c r="V50" i="64"/>
  <c r="W50" i="64" s="1"/>
  <c r="V128" i="8"/>
  <c r="R128" i="8" s="1"/>
  <c r="Q143" i="8"/>
  <c r="AS143" i="8"/>
  <c r="Q144" i="8"/>
  <c r="AS144" i="8"/>
  <c r="AY76" i="8"/>
  <c r="AZ47" i="8"/>
  <c r="AX55" i="8"/>
  <c r="V26" i="8"/>
  <c r="J134" i="70" s="1"/>
  <c r="AR129" i="8"/>
  <c r="AX50" i="8"/>
  <c r="U116" i="8"/>
  <c r="V116" i="8" s="1"/>
  <c r="P116" i="8" s="1"/>
  <c r="AY116" i="8"/>
  <c r="AR119" i="8"/>
  <c r="Q140" i="8"/>
  <c r="AS140" i="8"/>
  <c r="Q150" i="8"/>
  <c r="AS150" i="8"/>
  <c r="Q141" i="8"/>
  <c r="AS141" i="8"/>
  <c r="Q139" i="8"/>
  <c r="AS139" i="8"/>
  <c r="AS21" i="8"/>
  <c r="I84" i="59"/>
  <c r="I83" i="59"/>
  <c r="I82" i="59"/>
  <c r="I81" i="59"/>
  <c r="I80" i="59"/>
  <c r="I70" i="59"/>
  <c r="G79" i="59"/>
  <c r="G69" i="59"/>
  <c r="K34" i="59"/>
  <c r="D19" i="59"/>
  <c r="D18" i="59"/>
  <c r="D17" i="59"/>
  <c r="D16" i="59"/>
  <c r="D15" i="59"/>
  <c r="D28" i="59"/>
  <c r="D27" i="59"/>
  <c r="D26" i="59"/>
  <c r="D25" i="59"/>
  <c r="D24" i="59"/>
  <c r="D154" i="59"/>
  <c r="D153" i="59"/>
  <c r="D152" i="59"/>
  <c r="D151" i="59"/>
  <c r="D150" i="59"/>
  <c r="D145" i="59"/>
  <c r="D144" i="59"/>
  <c r="D143" i="59"/>
  <c r="D142" i="59"/>
  <c r="D141" i="59"/>
  <c r="D136" i="59"/>
  <c r="D135" i="59"/>
  <c r="D134" i="59"/>
  <c r="D133" i="59"/>
  <c r="D132" i="59"/>
  <c r="D126" i="59"/>
  <c r="D125" i="59"/>
  <c r="D124" i="59"/>
  <c r="D123" i="59"/>
  <c r="D122" i="59"/>
  <c r="D117" i="59"/>
  <c r="D116" i="59"/>
  <c r="D115" i="59"/>
  <c r="D114" i="59"/>
  <c r="D113" i="59"/>
  <c r="D94" i="59"/>
  <c r="D93" i="59"/>
  <c r="D92" i="59"/>
  <c r="D91" i="59"/>
  <c r="D90" i="59"/>
  <c r="E84" i="59"/>
  <c r="E83" i="59"/>
  <c r="E82" i="59"/>
  <c r="E81" i="59"/>
  <c r="E80" i="59"/>
  <c r="E74" i="59"/>
  <c r="E73" i="59"/>
  <c r="E72" i="59"/>
  <c r="E71" i="59"/>
  <c r="E70" i="59"/>
  <c r="I74" i="59"/>
  <c r="I73" i="59"/>
  <c r="I72" i="59"/>
  <c r="I71" i="59"/>
  <c r="E44" i="59"/>
  <c r="D56" i="59"/>
  <c r="E71" i="58"/>
  <c r="E54" i="58"/>
  <c r="D38" i="58"/>
  <c r="D37" i="58"/>
  <c r="D36" i="58"/>
  <c r="D35" i="58"/>
  <c r="D34" i="58"/>
  <c r="D27" i="58"/>
  <c r="D26" i="58"/>
  <c r="D25" i="58"/>
  <c r="D24" i="58"/>
  <c r="D23" i="58"/>
  <c r="D18" i="58"/>
  <c r="D17" i="58"/>
  <c r="D16" i="58"/>
  <c r="D15" i="58"/>
  <c r="D14" i="58"/>
  <c r="G199" i="30"/>
  <c r="E159" i="30"/>
  <c r="E151" i="30" s="1"/>
  <c r="G151" i="30"/>
  <c r="E131" i="30"/>
  <c r="E114" i="30"/>
  <c r="D106" i="30" s="1"/>
  <c r="E207" i="30"/>
  <c r="E60" i="30"/>
  <c r="D194" i="30"/>
  <c r="D193" i="30"/>
  <c r="D192" i="30"/>
  <c r="D191" i="30"/>
  <c r="D190" i="30"/>
  <c r="D145" i="30"/>
  <c r="D144" i="30"/>
  <c r="D143" i="30"/>
  <c r="D142" i="30"/>
  <c r="D141" i="30"/>
  <c r="D102" i="30"/>
  <c r="D101" i="30"/>
  <c r="D100" i="30"/>
  <c r="D99" i="30"/>
  <c r="D98" i="30"/>
  <c r="D93" i="30"/>
  <c r="D92" i="30"/>
  <c r="D91" i="30"/>
  <c r="D90" i="30"/>
  <c r="D89" i="30"/>
  <c r="D82" i="30"/>
  <c r="D81" i="30"/>
  <c r="D80" i="30"/>
  <c r="D79" i="30"/>
  <c r="D78" i="30"/>
  <c r="D73" i="30"/>
  <c r="D72" i="30"/>
  <c r="D71" i="30"/>
  <c r="D70" i="30"/>
  <c r="D69" i="30"/>
  <c r="D48" i="30"/>
  <c r="D47" i="30"/>
  <c r="D46" i="30"/>
  <c r="D45" i="30"/>
  <c r="D44" i="30"/>
  <c r="D38" i="30"/>
  <c r="D37" i="30"/>
  <c r="D36" i="30"/>
  <c r="D35" i="30"/>
  <c r="D34" i="30"/>
  <c r="D29" i="30"/>
  <c r="D28" i="30"/>
  <c r="D27" i="30"/>
  <c r="D26" i="30"/>
  <c r="D25" i="30"/>
  <c r="D20" i="30"/>
  <c r="D19" i="30"/>
  <c r="D18" i="30"/>
  <c r="D17" i="30"/>
  <c r="D16" i="30"/>
  <c r="E41" i="29"/>
  <c r="F183" i="8" s="1"/>
  <c r="D33" i="29"/>
  <c r="T46" i="8" s="1"/>
  <c r="V46" i="8" s="1"/>
  <c r="F162" i="29"/>
  <c r="E160" i="29"/>
  <c r="F166" i="29"/>
  <c r="F164" i="29"/>
  <c r="E179" i="29"/>
  <c r="E213" i="29"/>
  <c r="E263" i="29"/>
  <c r="D255" i="29" s="1"/>
  <c r="T72" i="8" s="1"/>
  <c r="E230" i="29"/>
  <c r="F187" i="8" s="1"/>
  <c r="D250" i="29"/>
  <c r="D249" i="29"/>
  <c r="D248" i="29"/>
  <c r="D247" i="29"/>
  <c r="D246" i="29"/>
  <c r="D241" i="29"/>
  <c r="D240" i="29"/>
  <c r="D239" i="29"/>
  <c r="D238" i="29"/>
  <c r="D237" i="29"/>
  <c r="D201" i="29"/>
  <c r="D200" i="29"/>
  <c r="D199" i="29"/>
  <c r="D198" i="29"/>
  <c r="D197" i="29"/>
  <c r="D192" i="29"/>
  <c r="D191" i="29"/>
  <c r="D190" i="29"/>
  <c r="D189" i="29"/>
  <c r="D188" i="29"/>
  <c r="D148" i="29"/>
  <c r="D147" i="29"/>
  <c r="D146" i="29"/>
  <c r="D145" i="29"/>
  <c r="D144" i="29"/>
  <c r="D137" i="29"/>
  <c r="D136" i="29"/>
  <c r="D135" i="29"/>
  <c r="D134" i="29"/>
  <c r="D133" i="29"/>
  <c r="D128" i="29"/>
  <c r="D127" i="29"/>
  <c r="D126" i="29"/>
  <c r="D125" i="29"/>
  <c r="D124" i="29"/>
  <c r="D119" i="29"/>
  <c r="D118" i="29"/>
  <c r="D117" i="29"/>
  <c r="D116" i="29"/>
  <c r="D115" i="29"/>
  <c r="D110" i="29"/>
  <c r="D109" i="29"/>
  <c r="D108" i="29"/>
  <c r="D107" i="29"/>
  <c r="D106" i="29"/>
  <c r="D100" i="29"/>
  <c r="D99" i="29"/>
  <c r="D98" i="29"/>
  <c r="D97" i="29"/>
  <c r="D96" i="29"/>
  <c r="D91" i="29"/>
  <c r="D90" i="29"/>
  <c r="D89" i="29"/>
  <c r="D88" i="29"/>
  <c r="D87" i="29"/>
  <c r="D82" i="29"/>
  <c r="D81" i="29"/>
  <c r="D80" i="29"/>
  <c r="D79" i="29"/>
  <c r="D78" i="29"/>
  <c r="D73" i="29"/>
  <c r="D72" i="29"/>
  <c r="D71" i="29"/>
  <c r="D70" i="29"/>
  <c r="D69" i="29"/>
  <c r="D63" i="29"/>
  <c r="D62" i="29"/>
  <c r="D61" i="29"/>
  <c r="D60" i="29"/>
  <c r="D59" i="29"/>
  <c r="D55" i="29"/>
  <c r="D54" i="29"/>
  <c r="D53" i="29"/>
  <c r="D52" i="29"/>
  <c r="D51" i="29"/>
  <c r="D29" i="29"/>
  <c r="D28" i="29"/>
  <c r="D27" i="29"/>
  <c r="D26" i="29"/>
  <c r="D25" i="29"/>
  <c r="D19" i="29"/>
  <c r="D18" i="29"/>
  <c r="D17" i="29"/>
  <c r="D16" i="29"/>
  <c r="D15" i="29"/>
  <c r="E143" i="16"/>
  <c r="E156" i="16"/>
  <c r="E169" i="16"/>
  <c r="E226" i="16"/>
  <c r="F181" i="8" s="1"/>
  <c r="E203" i="16"/>
  <c r="F180" i="8" s="1"/>
  <c r="Y60" i="69" l="1"/>
  <c r="I137" i="73"/>
  <c r="J137" i="73" s="1"/>
  <c r="N137" i="73" s="1"/>
  <c r="Y60" i="75"/>
  <c r="F200" i="8"/>
  <c r="E35" i="59"/>
  <c r="E40" i="59" s="1"/>
  <c r="P46" i="8"/>
  <c r="J156" i="8"/>
  <c r="AE72" i="8"/>
  <c r="V72" i="8"/>
  <c r="R72" i="8" s="1"/>
  <c r="AH72" i="8"/>
  <c r="AG72" i="8"/>
  <c r="AT72" i="8"/>
  <c r="AS72" i="8" s="1"/>
  <c r="AR72" i="8" s="1"/>
  <c r="AF72" i="8"/>
  <c r="T37" i="69"/>
  <c r="S36" i="69" s="1"/>
  <c r="S37" i="69" s="1"/>
  <c r="Z60" i="69"/>
  <c r="F192" i="8"/>
  <c r="D123" i="30"/>
  <c r="Y60" i="64"/>
  <c r="Z60" i="64" s="1"/>
  <c r="P26" i="8"/>
  <c r="D46" i="58"/>
  <c r="T105" i="8" s="1"/>
  <c r="AG105" i="8" s="1"/>
  <c r="F197" i="8"/>
  <c r="T89" i="8"/>
  <c r="V89" i="8" s="1"/>
  <c r="P89" i="8" s="1"/>
  <c r="I29" i="73" s="1"/>
  <c r="J29" i="73" s="1"/>
  <c r="N29" i="73" s="1"/>
  <c r="F191" i="8"/>
  <c r="D152" i="29"/>
  <c r="T63" i="8" s="1"/>
  <c r="V63" i="8" s="1"/>
  <c r="P63" i="8" s="1"/>
  <c r="F184" i="8"/>
  <c r="D161" i="16"/>
  <c r="T34" i="8" s="1"/>
  <c r="V34" i="8" s="1"/>
  <c r="J135" i="70" s="1"/>
  <c r="D134" i="70" s="1"/>
  <c r="T137" i="8" s="1"/>
  <c r="F178" i="8"/>
  <c r="D148" i="16"/>
  <c r="T33" i="8" s="1"/>
  <c r="F177" i="8"/>
  <c r="D135" i="16"/>
  <c r="T32" i="8" s="1"/>
  <c r="V32" i="8" s="1"/>
  <c r="P32" i="8" s="1"/>
  <c r="F176" i="8"/>
  <c r="AF128" i="8"/>
  <c r="AH128" i="8"/>
  <c r="AE128" i="8"/>
  <c r="AG128" i="8"/>
  <c r="D63" i="58"/>
  <c r="T106" i="8" s="1"/>
  <c r="AG106" i="8" s="1"/>
  <c r="F198" i="8"/>
  <c r="I199" i="30"/>
  <c r="I202" i="30" s="1"/>
  <c r="F195" i="8"/>
  <c r="T96" i="8"/>
  <c r="AG96" i="8" s="1"/>
  <c r="F194" i="8"/>
  <c r="E152" i="30"/>
  <c r="F193" i="8"/>
  <c r="D52" i="30"/>
  <c r="T82" i="8" s="1"/>
  <c r="AG82" i="8" s="1"/>
  <c r="F190" i="8"/>
  <c r="F188" i="8"/>
  <c r="D205" i="29"/>
  <c r="T67" i="8" s="1"/>
  <c r="V67" i="8" s="1"/>
  <c r="P67" i="8" s="1"/>
  <c r="F186" i="8"/>
  <c r="D171" i="29"/>
  <c r="D172" i="29" s="1"/>
  <c r="F185" i="8"/>
  <c r="AS142" i="8"/>
  <c r="U129" i="8"/>
  <c r="V129" i="8" s="1"/>
  <c r="AY26" i="8"/>
  <c r="AX129" i="8"/>
  <c r="AS148" i="8"/>
  <c r="U119" i="8"/>
  <c r="V119" i="8" s="1"/>
  <c r="R119" i="8" s="1"/>
  <c r="AX119" i="8"/>
  <c r="AS138" i="8"/>
  <c r="U138" i="8" s="1"/>
  <c r="V138" i="8" s="1"/>
  <c r="P138" i="8" s="1"/>
  <c r="AH46" i="8"/>
  <c r="AG46" i="8"/>
  <c r="AG44" i="8" s="1"/>
  <c r="AS17" i="8"/>
  <c r="AS15" i="8" s="1"/>
  <c r="D55" i="59"/>
  <c r="D58" i="59"/>
  <c r="D57" i="59"/>
  <c r="D59" i="59"/>
  <c r="I151" i="30"/>
  <c r="E199" i="30"/>
  <c r="D35" i="29"/>
  <c r="D38" i="29"/>
  <c r="D36" i="29"/>
  <c r="D37" i="29"/>
  <c r="D34" i="29"/>
  <c r="E184" i="16"/>
  <c r="D195" i="16"/>
  <c r="T38" i="8" s="1"/>
  <c r="D218" i="16"/>
  <c r="T40" i="8" s="1"/>
  <c r="V40" i="8" s="1"/>
  <c r="I127" i="73" l="1"/>
  <c r="J127" i="73" s="1"/>
  <c r="N127" i="73" s="1"/>
  <c r="I95" i="73"/>
  <c r="J95" i="73" s="1"/>
  <c r="N95" i="73" s="1"/>
  <c r="V62" i="69"/>
  <c r="W62" i="69" s="1"/>
  <c r="V62" i="75"/>
  <c r="W62" i="75" s="1"/>
  <c r="V54" i="69"/>
  <c r="W54" i="69" s="1"/>
  <c r="V54" i="75"/>
  <c r="W54" i="75" s="1"/>
  <c r="I150" i="73"/>
  <c r="J150" i="73" s="1"/>
  <c r="N150" i="73" s="1"/>
  <c r="I34" i="73"/>
  <c r="J34" i="73" s="1"/>
  <c r="N34" i="73" s="1"/>
  <c r="O155" i="73"/>
  <c r="Q155" i="73"/>
  <c r="P155" i="73"/>
  <c r="T155" i="73"/>
  <c r="W155" i="73" s="1"/>
  <c r="AG42" i="69" s="1"/>
  <c r="I88" i="73"/>
  <c r="J88" i="73" s="1"/>
  <c r="N88" i="73" s="1"/>
  <c r="Z60" i="75"/>
  <c r="T37" i="75"/>
  <c r="S36" i="75" s="1"/>
  <c r="S37" i="75" s="1"/>
  <c r="O29" i="73"/>
  <c r="P29" i="73"/>
  <c r="T29" i="73"/>
  <c r="W28" i="73" s="1"/>
  <c r="Q29" i="73"/>
  <c r="T137" i="73"/>
  <c r="W137" i="73" s="1"/>
  <c r="Q137" i="73"/>
  <c r="P137" i="73"/>
  <c r="O137" i="73"/>
  <c r="R129" i="8"/>
  <c r="V33" i="8"/>
  <c r="P33" i="8" s="1"/>
  <c r="AH33" i="8"/>
  <c r="V38" i="8"/>
  <c r="P38" i="8" s="1"/>
  <c r="AH38" i="8"/>
  <c r="AT38" i="8"/>
  <c r="V62" i="64"/>
  <c r="W62" i="64" s="1"/>
  <c r="P34" i="8"/>
  <c r="AH105" i="8"/>
  <c r="AF105" i="8"/>
  <c r="V105" i="8"/>
  <c r="I203" i="30"/>
  <c r="I201" i="30"/>
  <c r="I204" i="30"/>
  <c r="D171" i="30"/>
  <c r="D169" i="30"/>
  <c r="D173" i="30"/>
  <c r="D172" i="30"/>
  <c r="E155" i="30"/>
  <c r="E156" i="30"/>
  <c r="E154" i="30"/>
  <c r="AF89" i="8"/>
  <c r="AF85" i="8" s="1"/>
  <c r="AL89" i="8" s="1"/>
  <c r="AX89" i="8" s="1"/>
  <c r="D108" i="30"/>
  <c r="AG89" i="8"/>
  <c r="D107" i="30"/>
  <c r="D110" i="30"/>
  <c r="AH89" i="8"/>
  <c r="D111" i="30"/>
  <c r="D109" i="30"/>
  <c r="D55" i="30"/>
  <c r="D56" i="30"/>
  <c r="D176" i="29"/>
  <c r="D175" i="29"/>
  <c r="D174" i="29"/>
  <c r="D153" i="29"/>
  <c r="D154" i="29"/>
  <c r="AG63" i="8"/>
  <c r="D156" i="29"/>
  <c r="D157" i="29"/>
  <c r="D155" i="29"/>
  <c r="AH63" i="8"/>
  <c r="D176" i="16"/>
  <c r="T37" i="8" s="1"/>
  <c r="F179" i="8"/>
  <c r="AT34" i="8"/>
  <c r="AH34" i="8"/>
  <c r="AG34" i="8"/>
  <c r="AT33" i="8"/>
  <c r="AG33" i="8"/>
  <c r="AG32" i="8"/>
  <c r="AH32" i="8"/>
  <c r="AT32" i="8"/>
  <c r="V106" i="8"/>
  <c r="AF106" i="8"/>
  <c r="AH106" i="8"/>
  <c r="I200" i="30"/>
  <c r="D170" i="30"/>
  <c r="V96" i="8"/>
  <c r="R165" i="8" s="1"/>
  <c r="AH96" i="8"/>
  <c r="E153" i="30"/>
  <c r="AH82" i="8"/>
  <c r="D57" i="30"/>
  <c r="V82" i="8"/>
  <c r="J160" i="8" s="1"/>
  <c r="J158" i="8" s="1"/>
  <c r="AG51" i="75" s="1"/>
  <c r="D54" i="30"/>
  <c r="D53" i="30"/>
  <c r="D208" i="29"/>
  <c r="AG67" i="8"/>
  <c r="D207" i="29"/>
  <c r="D210" i="29"/>
  <c r="R162" i="8"/>
  <c r="AF67" i="8"/>
  <c r="D206" i="29"/>
  <c r="AH67" i="8"/>
  <c r="D209" i="29"/>
  <c r="D173" i="29"/>
  <c r="T64" i="8"/>
  <c r="V64" i="8" s="1"/>
  <c r="P64" i="8" s="1"/>
  <c r="AG80" i="8"/>
  <c r="AM82" i="8" s="1"/>
  <c r="AY82" i="8" s="1"/>
  <c r="U142" i="8"/>
  <c r="V142" i="8" s="1"/>
  <c r="P142" i="8" s="1"/>
  <c r="U148" i="8"/>
  <c r="V148" i="8" s="1"/>
  <c r="P148" i="8" s="1"/>
  <c r="I104" i="73" s="1"/>
  <c r="J104" i="73" s="1"/>
  <c r="N104" i="73" s="1"/>
  <c r="J169" i="8"/>
  <c r="J168" i="8" s="1"/>
  <c r="R40" i="8"/>
  <c r="AY148" i="8"/>
  <c r="AF44" i="8"/>
  <c r="AF42" i="8" s="1"/>
  <c r="AL43" i="8" s="1"/>
  <c r="AX43" i="8" s="1"/>
  <c r="AM47" i="8"/>
  <c r="AY47" i="8" s="1"/>
  <c r="AM46" i="8"/>
  <c r="AY46" i="8" s="1"/>
  <c r="AM45" i="8"/>
  <c r="AY45" i="8" s="1"/>
  <c r="AH40" i="8"/>
  <c r="AG38" i="8"/>
  <c r="AT40" i="8"/>
  <c r="AS40" i="8" s="1"/>
  <c r="AR40" i="8" s="1"/>
  <c r="AG40" i="8"/>
  <c r="AE40" i="8"/>
  <c r="AF40" i="8"/>
  <c r="E36" i="59"/>
  <c r="E38" i="59"/>
  <c r="E39" i="59"/>
  <c r="E37" i="59"/>
  <c r="E202" i="30"/>
  <c r="E204" i="30"/>
  <c r="E203" i="30"/>
  <c r="E201" i="30"/>
  <c r="E200" i="30"/>
  <c r="I156" i="30"/>
  <c r="I155" i="30"/>
  <c r="I154" i="30"/>
  <c r="I153" i="30"/>
  <c r="I152" i="30"/>
  <c r="B40" i="8"/>
  <c r="B39" i="8"/>
  <c r="BN39" i="8" s="1"/>
  <c r="D37" i="8"/>
  <c r="C35" i="8"/>
  <c r="BN35" i="8" s="1"/>
  <c r="D34" i="8"/>
  <c r="D33" i="8"/>
  <c r="B176" i="8"/>
  <c r="C31" i="8"/>
  <c r="BN31" i="8" s="1"/>
  <c r="E30" i="8"/>
  <c r="BN30" i="8" s="1"/>
  <c r="E29" i="8"/>
  <c r="BN29" i="8" s="1"/>
  <c r="D28" i="8"/>
  <c r="BN28" i="8" s="1"/>
  <c r="D27" i="8"/>
  <c r="BN27" i="8" s="1"/>
  <c r="B25" i="8"/>
  <c r="BN25" i="8" s="1"/>
  <c r="C26" i="8"/>
  <c r="D24" i="8"/>
  <c r="BN24" i="8" s="1"/>
  <c r="E23" i="8"/>
  <c r="BN23" i="8" s="1"/>
  <c r="E22" i="8"/>
  <c r="BN22" i="8" s="1"/>
  <c r="D21" i="8"/>
  <c r="BN21" i="8" s="1"/>
  <c r="D223" i="16"/>
  <c r="D222" i="16"/>
  <c r="D221" i="16"/>
  <c r="D220" i="16"/>
  <c r="D219" i="16"/>
  <c r="D214" i="16"/>
  <c r="D213" i="16"/>
  <c r="D212" i="16"/>
  <c r="D211" i="16"/>
  <c r="D210" i="16"/>
  <c r="D200" i="16"/>
  <c r="D199" i="16"/>
  <c r="D198" i="16"/>
  <c r="D197" i="16"/>
  <c r="D196" i="16"/>
  <c r="D166" i="16"/>
  <c r="D165" i="16"/>
  <c r="D164" i="16"/>
  <c r="D163" i="16"/>
  <c r="D162" i="16"/>
  <c r="D153" i="16"/>
  <c r="D152" i="16"/>
  <c r="D151" i="16"/>
  <c r="D150" i="16"/>
  <c r="D149" i="16"/>
  <c r="D140" i="16"/>
  <c r="D139" i="16"/>
  <c r="D138" i="16"/>
  <c r="D137" i="16"/>
  <c r="D136" i="16"/>
  <c r="D130" i="16"/>
  <c r="D129" i="16"/>
  <c r="D128" i="16"/>
  <c r="D127" i="16"/>
  <c r="D126" i="16"/>
  <c r="D122" i="16"/>
  <c r="D121" i="16"/>
  <c r="D120" i="16"/>
  <c r="D119" i="16"/>
  <c r="D118" i="16"/>
  <c r="D112" i="16"/>
  <c r="D111" i="16"/>
  <c r="D110" i="16"/>
  <c r="D109" i="16"/>
  <c r="D108" i="16"/>
  <c r="D101" i="16"/>
  <c r="D100" i="16"/>
  <c r="D99" i="16"/>
  <c r="D98" i="16"/>
  <c r="D97" i="16"/>
  <c r="D92" i="16"/>
  <c r="D91" i="16"/>
  <c r="D90" i="16"/>
  <c r="D89" i="16"/>
  <c r="D88" i="16"/>
  <c r="D84" i="16"/>
  <c r="D83" i="16"/>
  <c r="D82" i="16"/>
  <c r="D81" i="16"/>
  <c r="D80" i="16"/>
  <c r="D74" i="16"/>
  <c r="D73" i="16"/>
  <c r="D72" i="16"/>
  <c r="D71" i="16"/>
  <c r="D70" i="16"/>
  <c r="D66" i="16"/>
  <c r="D65" i="16"/>
  <c r="D64" i="16"/>
  <c r="D63" i="16"/>
  <c r="D62" i="16"/>
  <c r="D58" i="16"/>
  <c r="D57" i="16"/>
  <c r="D56" i="16"/>
  <c r="D55" i="16"/>
  <c r="D54" i="16"/>
  <c r="C10" i="8"/>
  <c r="BN10" i="8" s="1"/>
  <c r="D16" i="8"/>
  <c r="BN16" i="8" s="1"/>
  <c r="C15" i="8"/>
  <c r="BN15" i="8" s="1"/>
  <c r="E20" i="8"/>
  <c r="BN20" i="8" s="1"/>
  <c r="E19" i="8"/>
  <c r="BN19" i="8" s="1"/>
  <c r="E18" i="8"/>
  <c r="BN18" i="8" s="1"/>
  <c r="D17" i="8"/>
  <c r="BN17" i="8" s="1"/>
  <c r="B9" i="8"/>
  <c r="BN9" i="8" s="1"/>
  <c r="D48" i="16"/>
  <c r="D47" i="16"/>
  <c r="D46" i="16"/>
  <c r="D45" i="16"/>
  <c r="D44" i="16"/>
  <c r="D38" i="16"/>
  <c r="D37" i="16"/>
  <c r="D36" i="16"/>
  <c r="D35" i="16"/>
  <c r="D34" i="16"/>
  <c r="D29" i="16"/>
  <c r="D28" i="16"/>
  <c r="D27" i="16"/>
  <c r="D26" i="16"/>
  <c r="D25" i="16"/>
  <c r="D20" i="16"/>
  <c r="D19" i="16"/>
  <c r="D18" i="16"/>
  <c r="D17" i="16"/>
  <c r="D16" i="16"/>
  <c r="AG31" i="69" l="1"/>
  <c r="X26" i="73"/>
  <c r="T23" i="73"/>
  <c r="W23" i="73" s="1"/>
  <c r="B177" i="8"/>
  <c r="BN33" i="8"/>
  <c r="I89" i="73"/>
  <c r="J89" i="73" s="1"/>
  <c r="N89" i="73" s="1"/>
  <c r="G135" i="70"/>
  <c r="BN34" i="8"/>
  <c r="O88" i="73"/>
  <c r="T88" i="73"/>
  <c r="Q88" i="73"/>
  <c r="P88" i="73"/>
  <c r="B179" i="8"/>
  <c r="BN37" i="8"/>
  <c r="B181" i="8"/>
  <c r="BN40" i="8"/>
  <c r="T34" i="73"/>
  <c r="W32" i="73" s="1"/>
  <c r="X32" i="73" s="1"/>
  <c r="AG32" i="69" s="1"/>
  <c r="O34" i="73"/>
  <c r="P34" i="73"/>
  <c r="Q34" i="73"/>
  <c r="T150" i="73"/>
  <c r="Q150" i="73"/>
  <c r="P150" i="73"/>
  <c r="O150" i="73"/>
  <c r="Y61" i="69"/>
  <c r="Z61" i="69" s="1"/>
  <c r="Y61" i="75"/>
  <c r="Z61" i="75" s="1"/>
  <c r="S52" i="69"/>
  <c r="T52" i="69" s="1"/>
  <c r="S52" i="75"/>
  <c r="T52" i="75" s="1"/>
  <c r="G134" i="70"/>
  <c r="BN26" i="8"/>
  <c r="AG60" i="69"/>
  <c r="AG60" i="75"/>
  <c r="P104" i="73"/>
  <c r="T104" i="73"/>
  <c r="Q104" i="73"/>
  <c r="O104" i="73"/>
  <c r="P95" i="73"/>
  <c r="T95" i="73"/>
  <c r="O95" i="73"/>
  <c r="Q95" i="73"/>
  <c r="O127" i="73"/>
  <c r="Q127" i="73"/>
  <c r="T127" i="73"/>
  <c r="AG38" i="69" s="1"/>
  <c r="P127" i="73"/>
  <c r="P106" i="8"/>
  <c r="R156" i="8"/>
  <c r="P105" i="8"/>
  <c r="I57" i="73" s="1"/>
  <c r="J57" i="73" s="1"/>
  <c r="N57" i="73" s="1"/>
  <c r="R154" i="8"/>
  <c r="R153" i="8" s="1"/>
  <c r="R155" i="8"/>
  <c r="Y61" i="64"/>
  <c r="Z61" i="64" s="1"/>
  <c r="AD60" i="64"/>
  <c r="AG51" i="69"/>
  <c r="D177" i="16"/>
  <c r="V37" i="8"/>
  <c r="P37" i="8" s="1"/>
  <c r="J86" i="73" s="1"/>
  <c r="N86" i="73" s="1"/>
  <c r="AH37" i="8"/>
  <c r="AT37" i="8"/>
  <c r="AF104" i="8"/>
  <c r="AE104" i="8" s="1"/>
  <c r="AE100" i="8" s="1"/>
  <c r="AK104" i="8" s="1"/>
  <c r="D178" i="16"/>
  <c r="D179" i="16"/>
  <c r="D180" i="16"/>
  <c r="D181" i="16"/>
  <c r="S52" i="64"/>
  <c r="T52" i="64" s="1"/>
  <c r="P96" i="8"/>
  <c r="P82" i="8"/>
  <c r="I69" i="73" s="1"/>
  <c r="J69" i="73" s="1"/>
  <c r="N68" i="73" s="1"/>
  <c r="AG37" i="8"/>
  <c r="AG31" i="8"/>
  <c r="AF31" i="8" s="1"/>
  <c r="AG64" i="8"/>
  <c r="AG61" i="8" s="1"/>
  <c r="AM62" i="8" s="1"/>
  <c r="AY62" i="8" s="1"/>
  <c r="AH64" i="8"/>
  <c r="B178" i="8"/>
  <c r="AY142" i="8"/>
  <c r="Q82" i="8"/>
  <c r="AS82" i="8"/>
  <c r="AL86" i="8"/>
  <c r="AX86" i="8" s="1"/>
  <c r="AE85" i="8"/>
  <c r="Q89" i="8"/>
  <c r="AR89" i="8"/>
  <c r="AM81" i="8"/>
  <c r="AY81" i="8" s="1"/>
  <c r="AM83" i="8"/>
  <c r="AY83" i="8" s="1"/>
  <c r="AF80" i="8"/>
  <c r="AF75" i="8" s="1"/>
  <c r="AM84" i="8"/>
  <c r="AY84" i="8" s="1"/>
  <c r="AY138" i="8"/>
  <c r="AL44" i="8"/>
  <c r="AX44" i="8" s="1"/>
  <c r="AE42" i="8"/>
  <c r="Q45" i="8"/>
  <c r="AS45" i="8"/>
  <c r="Q46" i="8"/>
  <c r="AS46" i="8"/>
  <c r="AS47" i="8"/>
  <c r="Q47" i="8"/>
  <c r="Q43" i="8"/>
  <c r="AR43" i="8"/>
  <c r="AR15" i="8"/>
  <c r="U15" i="8"/>
  <c r="V15" i="8" s="1"/>
  <c r="P15" i="8" s="1"/>
  <c r="I45" i="73" s="1"/>
  <c r="J45" i="73" s="1"/>
  <c r="N45" i="73" s="1"/>
  <c r="J1" i="30"/>
  <c r="J1" i="58"/>
  <c r="J1" i="59"/>
  <c r="J1" i="29"/>
  <c r="AG41" i="69" l="1"/>
  <c r="W149" i="73"/>
  <c r="X149" i="73" s="1"/>
  <c r="P23" i="73"/>
  <c r="O23" i="73"/>
  <c r="Q23" i="73"/>
  <c r="AG50" i="69"/>
  <c r="AG50" i="75"/>
  <c r="P57" i="73"/>
  <c r="T57" i="73"/>
  <c r="W56" i="73" s="1"/>
  <c r="Q57" i="73"/>
  <c r="O57" i="73"/>
  <c r="T71" i="73"/>
  <c r="P71" i="73"/>
  <c r="O71" i="73"/>
  <c r="Q71" i="73"/>
  <c r="P89" i="73"/>
  <c r="O89" i="73"/>
  <c r="Q89" i="73"/>
  <c r="T89" i="73"/>
  <c r="O68" i="73"/>
  <c r="Q68" i="73"/>
  <c r="T68" i="73"/>
  <c r="W68" i="73" s="1"/>
  <c r="X68" i="73" s="1"/>
  <c r="P68" i="73"/>
  <c r="Q45" i="73"/>
  <c r="P45" i="73"/>
  <c r="O45" i="73"/>
  <c r="T45" i="73"/>
  <c r="T86" i="73"/>
  <c r="P86" i="73"/>
  <c r="Q86" i="73"/>
  <c r="O86" i="73"/>
  <c r="AG30" i="69"/>
  <c r="AG35" i="8"/>
  <c r="AL106" i="8"/>
  <c r="AX106" i="8" s="1"/>
  <c r="AL105" i="8"/>
  <c r="Q105" i="8" s="1"/>
  <c r="AD50" i="64"/>
  <c r="AM33" i="8"/>
  <c r="AY33" i="8" s="1"/>
  <c r="AM32" i="8"/>
  <c r="AY32" i="8" s="1"/>
  <c r="AM34" i="8"/>
  <c r="AY34" i="8" s="1"/>
  <c r="AD51" i="64"/>
  <c r="Q104" i="8"/>
  <c r="AW104" i="8"/>
  <c r="AM63" i="8"/>
  <c r="AS63" i="8" s="1"/>
  <c r="AF61" i="8"/>
  <c r="AF60" i="8" s="1"/>
  <c r="AL61" i="8" s="1"/>
  <c r="AM64" i="8"/>
  <c r="AS64" i="8" s="1"/>
  <c r="AD100" i="8"/>
  <c r="AK103" i="8"/>
  <c r="AW103" i="8" s="1"/>
  <c r="AK101" i="8"/>
  <c r="AW101" i="8" s="1"/>
  <c r="AK102" i="8"/>
  <c r="AW102" i="8" s="1"/>
  <c r="Q84" i="8"/>
  <c r="AS84" i="8"/>
  <c r="AL80" i="8"/>
  <c r="AE75" i="8"/>
  <c r="AL76" i="8"/>
  <c r="AX76" i="8" s="1"/>
  <c r="Q83" i="8"/>
  <c r="AS83" i="8"/>
  <c r="AS81" i="8"/>
  <c r="Q81" i="8"/>
  <c r="Q86" i="8"/>
  <c r="AR86" i="8"/>
  <c r="Q44" i="8"/>
  <c r="AS44" i="8"/>
  <c r="U44" i="8" s="1"/>
  <c r="V44" i="8" s="1"/>
  <c r="Q62" i="8"/>
  <c r="AS62" i="8"/>
  <c r="D222" i="29"/>
  <c r="T69" i="8" s="1"/>
  <c r="V69" i="8" s="1"/>
  <c r="T92" i="8"/>
  <c r="AG34" i="69" l="1"/>
  <c r="X53" i="73"/>
  <c r="AR106" i="8"/>
  <c r="Q106" i="8"/>
  <c r="J154" i="8"/>
  <c r="J153" i="8" s="1"/>
  <c r="AR105" i="8"/>
  <c r="AM38" i="8"/>
  <c r="Q38" i="8" s="1"/>
  <c r="AF35" i="8"/>
  <c r="AF25" i="8" s="1"/>
  <c r="AL35" i="8" s="1"/>
  <c r="AX35" i="8" s="1"/>
  <c r="AM37" i="8"/>
  <c r="AY37" i="8" s="1"/>
  <c r="AS32" i="8"/>
  <c r="Q32" i="8"/>
  <c r="AS33" i="8"/>
  <c r="Q33" i="8"/>
  <c r="AX105" i="8"/>
  <c r="AX104" i="8" s="1"/>
  <c r="AR104" i="8"/>
  <c r="U104" i="8" s="1"/>
  <c r="V104" i="8" s="1"/>
  <c r="R104" i="8" s="1"/>
  <c r="AS34" i="8"/>
  <c r="Q34" i="8"/>
  <c r="Q80" i="8"/>
  <c r="AX80" i="8"/>
  <c r="Q64" i="8"/>
  <c r="AY64" i="8"/>
  <c r="Q61" i="8"/>
  <c r="AX61" i="8"/>
  <c r="Q63" i="8"/>
  <c r="AY63" i="8"/>
  <c r="AE60" i="8"/>
  <c r="AL66" i="8"/>
  <c r="AR66" i="8" s="1"/>
  <c r="AL67" i="8"/>
  <c r="AX67" i="8" s="1"/>
  <c r="AL65" i="8"/>
  <c r="AH92" i="8"/>
  <c r="V92" i="8"/>
  <c r="P92" i="8" s="1"/>
  <c r="I61" i="73" s="1"/>
  <c r="J61" i="73" s="1"/>
  <c r="AG92" i="8"/>
  <c r="Q76" i="8"/>
  <c r="AR76" i="8"/>
  <c r="Q102" i="8"/>
  <c r="AQ102" i="8"/>
  <c r="AQ101" i="8"/>
  <c r="Q101" i="8"/>
  <c r="AQ103" i="8"/>
  <c r="Q103" i="8"/>
  <c r="AR85" i="8"/>
  <c r="AS80" i="8"/>
  <c r="P44" i="8"/>
  <c r="P69" i="8"/>
  <c r="I84" i="73" s="1"/>
  <c r="J84" i="73" s="1"/>
  <c r="N84" i="73" s="1"/>
  <c r="R163" i="8"/>
  <c r="J171" i="8"/>
  <c r="J170" i="8" s="1"/>
  <c r="AS61" i="8"/>
  <c r="AR61" i="8" s="1"/>
  <c r="AR44" i="8"/>
  <c r="AH69" i="8"/>
  <c r="AG69" i="8"/>
  <c r="AF69" i="8"/>
  <c r="AF68" i="8" s="1"/>
  <c r="D125" i="30"/>
  <c r="D128" i="30"/>
  <c r="D127" i="30"/>
  <c r="D126" i="30"/>
  <c r="D124" i="30"/>
  <c r="D258" i="29"/>
  <c r="D257" i="29"/>
  <c r="D256" i="29"/>
  <c r="D260" i="29"/>
  <c r="D259" i="29"/>
  <c r="D226" i="29"/>
  <c r="D223" i="29"/>
  <c r="D225" i="29"/>
  <c r="D224" i="29"/>
  <c r="D227" i="29"/>
  <c r="AG61" i="69" l="1"/>
  <c r="AG61" i="75"/>
  <c r="Q37" i="8"/>
  <c r="O84" i="73"/>
  <c r="P84" i="73"/>
  <c r="T84" i="73"/>
  <c r="W84" i="73" s="1"/>
  <c r="Q84" i="73"/>
  <c r="AG49" i="69"/>
  <c r="AG49" i="75"/>
  <c r="S63" i="69"/>
  <c r="T63" i="69" s="1"/>
  <c r="S63" i="75"/>
  <c r="T63" i="75" s="1"/>
  <c r="AS37" i="8"/>
  <c r="AS38" i="8"/>
  <c r="AY38" i="8"/>
  <c r="AY35" i="8" s="1"/>
  <c r="AL26" i="8"/>
  <c r="AX26" i="8" s="1"/>
  <c r="Q35" i="8"/>
  <c r="AD61" i="64"/>
  <c r="AS31" i="8"/>
  <c r="U31" i="8" s="1"/>
  <c r="V31" i="8" s="1"/>
  <c r="P31" i="8" s="1"/>
  <c r="AL31" i="8"/>
  <c r="AX31" i="8" s="1"/>
  <c r="AE25" i="8"/>
  <c r="AE8" i="8" s="1"/>
  <c r="AK25" i="8" s="1"/>
  <c r="AW25" i="8" s="1"/>
  <c r="AQ104" i="8"/>
  <c r="AQ100" i="8" s="1"/>
  <c r="S63" i="64"/>
  <c r="T63" i="64" s="1"/>
  <c r="AD49" i="64"/>
  <c r="V54" i="64"/>
  <c r="W54" i="64" s="1"/>
  <c r="AR67" i="8"/>
  <c r="Q67" i="8"/>
  <c r="Q65" i="8"/>
  <c r="AX65" i="8"/>
  <c r="Q66" i="8"/>
  <c r="AX66" i="8"/>
  <c r="AR65" i="8"/>
  <c r="U85" i="8"/>
  <c r="V85" i="8" s="1"/>
  <c r="R85" i="8" s="1"/>
  <c r="AX85" i="8"/>
  <c r="AG91" i="8"/>
  <c r="AM92" i="8" s="1"/>
  <c r="AY92" i="8" s="1"/>
  <c r="AR80" i="8"/>
  <c r="U80" i="8"/>
  <c r="V80" i="8" s="1"/>
  <c r="P80" i="8" s="1"/>
  <c r="AY44" i="8"/>
  <c r="AR42" i="8"/>
  <c r="U61" i="8"/>
  <c r="V61" i="8" s="1"/>
  <c r="P61" i="8" s="1"/>
  <c r="I135" i="73" s="1"/>
  <c r="J135" i="73" s="1"/>
  <c r="AE68" i="8"/>
  <c r="AE41" i="8" s="1"/>
  <c r="AK72" i="8" s="1"/>
  <c r="AL70" i="8"/>
  <c r="AX70" i="8" s="1"/>
  <c r="AL69" i="8"/>
  <c r="AX69" i="8" s="1"/>
  <c r="AL71" i="8"/>
  <c r="AX71" i="8" s="1"/>
  <c r="D66" i="58"/>
  <c r="D67" i="58"/>
  <c r="D68" i="58"/>
  <c r="D64" i="58"/>
  <c r="D65" i="58"/>
  <c r="D49" i="58"/>
  <c r="D51" i="58"/>
  <c r="D50" i="58"/>
  <c r="D47" i="58"/>
  <c r="D48" i="58"/>
  <c r="N135" i="73" l="1"/>
  <c r="Q135" i="73" s="1"/>
  <c r="N134" i="73"/>
  <c r="T134" i="73" s="1"/>
  <c r="W134" i="73" s="1"/>
  <c r="AS35" i="8"/>
  <c r="Q26" i="8"/>
  <c r="Y50" i="69"/>
  <c r="Z50" i="69" s="1"/>
  <c r="Y50" i="75"/>
  <c r="Z50" i="75" s="1"/>
  <c r="AR26" i="8"/>
  <c r="AK55" i="8"/>
  <c r="AW55" i="8" s="1"/>
  <c r="AQ72" i="8"/>
  <c r="AK39" i="8"/>
  <c r="AQ39" i="8" s="1"/>
  <c r="AK40" i="8"/>
  <c r="AW40" i="8" s="1"/>
  <c r="Q31" i="8"/>
  <c r="AR31" i="8"/>
  <c r="AK9" i="8"/>
  <c r="AW9" i="8" s="1"/>
  <c r="AD8" i="8"/>
  <c r="Q25" i="8"/>
  <c r="AR60" i="8"/>
  <c r="U60" i="8" s="1"/>
  <c r="V60" i="8" s="1"/>
  <c r="R60" i="8" s="1"/>
  <c r="Y50" i="64"/>
  <c r="Z50" i="64" s="1"/>
  <c r="AY80" i="8"/>
  <c r="Q92" i="8"/>
  <c r="AS92" i="8"/>
  <c r="U100" i="8"/>
  <c r="AR75" i="8"/>
  <c r="AM93" i="8"/>
  <c r="AY93" i="8" s="1"/>
  <c r="AF91" i="8"/>
  <c r="AY31" i="8"/>
  <c r="AY61" i="8"/>
  <c r="AR35" i="8"/>
  <c r="U42" i="8"/>
  <c r="V42" i="8" s="1"/>
  <c r="R42" i="8" s="1"/>
  <c r="AX42" i="8"/>
  <c r="AK50" i="8"/>
  <c r="AD41" i="8"/>
  <c r="AK42" i="8"/>
  <c r="Q71" i="8"/>
  <c r="AR71" i="8"/>
  <c r="AK60" i="8"/>
  <c r="Q69" i="8"/>
  <c r="AR69" i="8"/>
  <c r="AK68" i="8"/>
  <c r="AW68" i="8" s="1"/>
  <c r="Q70" i="8"/>
  <c r="AR70" i="8"/>
  <c r="P135" i="73" l="1"/>
  <c r="O135" i="73"/>
  <c r="O134" i="73"/>
  <c r="Q134" i="73"/>
  <c r="P134" i="73"/>
  <c r="T135" i="73"/>
  <c r="W135" i="73" s="1"/>
  <c r="X134" i="73" s="1"/>
  <c r="AG39" i="69" s="1"/>
  <c r="Q39" i="8"/>
  <c r="V49" i="69"/>
  <c r="W49" i="69" s="1"/>
  <c r="V49" i="75"/>
  <c r="W49" i="75" s="1"/>
  <c r="V52" i="69"/>
  <c r="W52" i="69" s="1"/>
  <c r="V52" i="75"/>
  <c r="W52" i="75" s="1"/>
  <c r="AW39" i="8"/>
  <c r="AQ40" i="8"/>
  <c r="Q40" i="8"/>
  <c r="AR25" i="8"/>
  <c r="AQ25" i="8" s="1"/>
  <c r="AW72" i="8"/>
  <c r="AQ55" i="8"/>
  <c r="Q55" i="8"/>
  <c r="Q9" i="8"/>
  <c r="V52" i="64"/>
  <c r="W52" i="64" s="1"/>
  <c r="V49" i="64"/>
  <c r="W49" i="64" s="1"/>
  <c r="Q50" i="8"/>
  <c r="AW50" i="8"/>
  <c r="Q72" i="8"/>
  <c r="Q60" i="8"/>
  <c r="AW60" i="8"/>
  <c r="AQ42" i="8"/>
  <c r="AW42" i="8"/>
  <c r="U75" i="8"/>
  <c r="V75" i="8" s="1"/>
  <c r="R75" i="8" s="1"/>
  <c r="AW100" i="8"/>
  <c r="V100" i="8"/>
  <c r="R100" i="8"/>
  <c r="AS93" i="8"/>
  <c r="AS91" i="8" s="1"/>
  <c r="Q93" i="8"/>
  <c r="U35" i="8"/>
  <c r="V35" i="8" s="1"/>
  <c r="AX60" i="8"/>
  <c r="AQ50" i="8"/>
  <c r="Q68" i="8"/>
  <c r="Q42" i="8"/>
  <c r="AR68" i="8"/>
  <c r="AQ60" i="8"/>
  <c r="D23" i="7"/>
  <c r="K69" i="59" s="1"/>
  <c r="D69" i="59" s="1"/>
  <c r="D20" i="24"/>
  <c r="D19" i="24"/>
  <c r="D17" i="24"/>
  <c r="D15" i="24"/>
  <c r="D13" i="24"/>
  <c r="J9" i="24"/>
  <c r="C33" i="7"/>
  <c r="J11" i="75" s="1"/>
  <c r="P3" i="8"/>
  <c r="C35" i="7"/>
  <c r="J12" i="24" s="1"/>
  <c r="X42" i="24"/>
  <c r="X41" i="24"/>
  <c r="X40" i="24"/>
  <c r="U42" i="24"/>
  <c r="U41" i="24"/>
  <c r="U40" i="24"/>
  <c r="R42" i="24"/>
  <c r="R41" i="24"/>
  <c r="R40" i="24"/>
  <c r="B75" i="24"/>
  <c r="B76" i="24"/>
  <c r="J8" i="24"/>
  <c r="D11" i="24"/>
  <c r="D10" i="24"/>
  <c r="D9" i="24"/>
  <c r="D8" i="24"/>
  <c r="J19" i="24"/>
  <c r="J18" i="24"/>
  <c r="J17" i="24"/>
  <c r="J16" i="24"/>
  <c r="J15" i="24"/>
  <c r="J14" i="24"/>
  <c r="O3" i="24"/>
  <c r="K3" i="24"/>
  <c r="B2" i="8"/>
  <c r="P2" i="8"/>
  <c r="B3" i="8"/>
  <c r="J10" i="24"/>
  <c r="F11" i="24"/>
  <c r="E12" i="24"/>
  <c r="J13" i="24"/>
  <c r="E14" i="24"/>
  <c r="E16" i="24"/>
  <c r="E18" i="24"/>
  <c r="J20" i="24"/>
  <c r="J21" i="24"/>
  <c r="U31" i="24"/>
  <c r="U36" i="24" s="1"/>
  <c r="Z35" i="24"/>
  <c r="Z36" i="24"/>
  <c r="B66" i="24"/>
  <c r="L66" i="24"/>
  <c r="B67" i="24"/>
  <c r="L67" i="24"/>
  <c r="B69" i="24"/>
  <c r="H69" i="24"/>
  <c r="L69" i="24"/>
  <c r="B71" i="24"/>
  <c r="H71" i="24"/>
  <c r="L71" i="24"/>
  <c r="C2" i="14"/>
  <c r="E2" i="14"/>
  <c r="F2" i="14"/>
  <c r="G2" i="14"/>
  <c r="C3" i="14"/>
  <c r="E3" i="14"/>
  <c r="F3" i="14"/>
  <c r="G3" i="14"/>
  <c r="U33" i="24"/>
  <c r="U34" i="24" l="1"/>
  <c r="W31" i="24"/>
  <c r="W36" i="24" s="1"/>
  <c r="V31" i="24"/>
  <c r="S57" i="69"/>
  <c r="S57" i="75"/>
  <c r="J12" i="69"/>
  <c r="J12" i="75"/>
  <c r="T57" i="69"/>
  <c r="T57" i="75"/>
  <c r="U35" i="24"/>
  <c r="Y49" i="69"/>
  <c r="Z49" i="69" s="1"/>
  <c r="Y49" i="75"/>
  <c r="Z49" i="75" s="1"/>
  <c r="U25" i="8"/>
  <c r="V25" i="8" s="1"/>
  <c r="R25" i="8" s="1"/>
  <c r="Y31" i="24"/>
  <c r="Y36" i="24" s="1"/>
  <c r="D73" i="59"/>
  <c r="D71" i="59"/>
  <c r="D70" i="59"/>
  <c r="D72" i="59"/>
  <c r="D74" i="59"/>
  <c r="X31" i="24"/>
  <c r="X35" i="24" s="1"/>
  <c r="J11" i="24"/>
  <c r="J11" i="69"/>
  <c r="Z12" i="69"/>
  <c r="F56" i="69"/>
  <c r="R159" i="8"/>
  <c r="P35" i="8"/>
  <c r="W35" i="24"/>
  <c r="J12" i="64"/>
  <c r="W34" i="24"/>
  <c r="J11" i="64"/>
  <c r="S57" i="64"/>
  <c r="T57" i="64"/>
  <c r="Y49" i="64"/>
  <c r="Z49" i="64" s="1"/>
  <c r="K79" i="59"/>
  <c r="T114" i="8"/>
  <c r="K53" i="59"/>
  <c r="K199" i="30"/>
  <c r="D199" i="30" s="1"/>
  <c r="K151" i="30"/>
  <c r="D151" i="30" s="1"/>
  <c r="AX75" i="8"/>
  <c r="U91" i="8"/>
  <c r="V91" i="8" s="1"/>
  <c r="P91" i="8" s="1"/>
  <c r="AY91" i="8"/>
  <c r="AX25" i="8"/>
  <c r="U68" i="8"/>
  <c r="V68" i="8" s="1"/>
  <c r="R68" i="8" s="1"/>
  <c r="AQ68" i="8"/>
  <c r="AQ41" i="8" s="1"/>
  <c r="U50" i="24"/>
  <c r="V36" i="24"/>
  <c r="V35" i="24"/>
  <c r="V33" i="24"/>
  <c r="V34" i="24"/>
  <c r="D21" i="24"/>
  <c r="U51" i="24"/>
  <c r="Y47" i="24"/>
  <c r="Z47" i="24" s="1"/>
  <c r="S50" i="69" l="1"/>
  <c r="T50" i="69" s="1"/>
  <c r="S50" i="75"/>
  <c r="T50" i="75" s="1"/>
  <c r="Y35" i="24"/>
  <c r="F56" i="75"/>
  <c r="Z12" i="75"/>
  <c r="V53" i="69"/>
  <c r="W53" i="69" s="1"/>
  <c r="V53" i="75"/>
  <c r="W53" i="75" s="1"/>
  <c r="S50" i="64"/>
  <c r="T50" i="64" s="1"/>
  <c r="X36" i="24"/>
  <c r="T95" i="8"/>
  <c r="AG95" i="8" s="1"/>
  <c r="D152" i="30"/>
  <c r="D156" i="30"/>
  <c r="D155" i="30"/>
  <c r="D154" i="30"/>
  <c r="D153" i="30"/>
  <c r="T98" i="8"/>
  <c r="AE98" i="8" s="1"/>
  <c r="D204" i="30"/>
  <c r="D203" i="30"/>
  <c r="D202" i="30"/>
  <c r="D201" i="30"/>
  <c r="D200" i="30"/>
  <c r="X34" i="24"/>
  <c r="D35" i="59"/>
  <c r="D79" i="59"/>
  <c r="Z12" i="64"/>
  <c r="F54" i="64"/>
  <c r="V53" i="64"/>
  <c r="W53" i="64" s="1"/>
  <c r="V95" i="8"/>
  <c r="V114" i="8"/>
  <c r="P114" i="8" s="1"/>
  <c r="I38" i="73" s="1"/>
  <c r="J38" i="73" s="1"/>
  <c r="N38" i="73" s="1"/>
  <c r="AG114" i="8"/>
  <c r="AH114" i="8"/>
  <c r="U41" i="8"/>
  <c r="V41" i="8" s="1"/>
  <c r="W46" i="75" s="1"/>
  <c r="AX68" i="8"/>
  <c r="Y46" i="24"/>
  <c r="Z46" i="24" s="1"/>
  <c r="S42" i="24"/>
  <c r="T42" i="24" s="1"/>
  <c r="O38" i="73" l="1"/>
  <c r="T38" i="73"/>
  <c r="Q38" i="73"/>
  <c r="P38" i="73"/>
  <c r="AH95" i="8"/>
  <c r="V98" i="8"/>
  <c r="R169" i="8" s="1"/>
  <c r="AG98" i="8"/>
  <c r="AF98" i="8"/>
  <c r="W46" i="64"/>
  <c r="W46" i="69"/>
  <c r="AH98" i="8"/>
  <c r="T115" i="8"/>
  <c r="AH115" i="8" s="1"/>
  <c r="D80" i="59"/>
  <c r="D84" i="59"/>
  <c r="D83" i="59"/>
  <c r="D82" i="59"/>
  <c r="D81" i="59"/>
  <c r="T113" i="8"/>
  <c r="V113" i="8" s="1"/>
  <c r="P113" i="8" s="1"/>
  <c r="I37" i="73" s="1"/>
  <c r="J37" i="73" s="1"/>
  <c r="N37" i="73" s="1"/>
  <c r="D40" i="59"/>
  <c r="D39" i="59"/>
  <c r="D38" i="59"/>
  <c r="D37" i="59"/>
  <c r="D36" i="59"/>
  <c r="P95" i="8"/>
  <c r="R164" i="8"/>
  <c r="AG94" i="8"/>
  <c r="AM95" i="8" s="1"/>
  <c r="R41" i="8"/>
  <c r="AW41" i="8"/>
  <c r="V40" i="24"/>
  <c r="W40" i="24" s="1"/>
  <c r="O37" i="73" l="1"/>
  <c r="P37" i="73"/>
  <c r="T37" i="73"/>
  <c r="Q37" i="73"/>
  <c r="R98" i="8"/>
  <c r="V46" i="69"/>
  <c r="V46" i="75"/>
  <c r="I62" i="73"/>
  <c r="J62" i="73" s="1"/>
  <c r="N61" i="73" s="1"/>
  <c r="I74" i="73"/>
  <c r="J74" i="73" s="1"/>
  <c r="N74" i="73" s="1"/>
  <c r="R158" i="8"/>
  <c r="J152" i="8" s="1"/>
  <c r="AG46" i="75" s="1"/>
  <c r="O44" i="75" s="1"/>
  <c r="V115" i="8"/>
  <c r="P115" i="8" s="1"/>
  <c r="I39" i="73" s="1"/>
  <c r="J39" i="73" s="1"/>
  <c r="N39" i="73" s="1"/>
  <c r="AG115" i="8"/>
  <c r="J45" i="69"/>
  <c r="Z8" i="69"/>
  <c r="AG113" i="8"/>
  <c r="AH113" i="8"/>
  <c r="R168" i="8"/>
  <c r="Y52" i="64"/>
  <c r="Z52" i="64" s="1"/>
  <c r="V46" i="64"/>
  <c r="AY95" i="8"/>
  <c r="Q95" i="8"/>
  <c r="AS95" i="8"/>
  <c r="AF94" i="8"/>
  <c r="AM96" i="8"/>
  <c r="V39" i="24"/>
  <c r="K37" i="24" s="1"/>
  <c r="V47" i="24"/>
  <c r="W47" i="24" s="1"/>
  <c r="T51" i="24"/>
  <c r="AA9" i="24"/>
  <c r="V42" i="24"/>
  <c r="W42" i="24" s="1"/>
  <c r="P61" i="73" l="1"/>
  <c r="T61" i="73"/>
  <c r="W61" i="73" s="1"/>
  <c r="X60" i="73" s="1"/>
  <c r="O61" i="73"/>
  <c r="Q61" i="73"/>
  <c r="P39" i="73"/>
  <c r="O39" i="73"/>
  <c r="Q39" i="73"/>
  <c r="T39" i="73"/>
  <c r="O74" i="73"/>
  <c r="Q74" i="73"/>
  <c r="T74" i="73"/>
  <c r="AG36" i="69" s="1"/>
  <c r="P74" i="73"/>
  <c r="J45" i="75"/>
  <c r="Z8" i="75"/>
  <c r="Y52" i="69"/>
  <c r="Z52" i="69" s="1"/>
  <c r="Y52" i="75"/>
  <c r="Z52" i="75" s="1"/>
  <c r="AG112" i="8"/>
  <c r="AF112" i="8" s="1"/>
  <c r="AF111" i="8" s="1"/>
  <c r="AE111" i="8" s="1"/>
  <c r="AE107" i="8" s="1"/>
  <c r="AD52" i="64"/>
  <c r="AG62" i="75"/>
  <c r="AG52" i="75"/>
  <c r="AD62" i="64"/>
  <c r="AG52" i="69"/>
  <c r="AG62" i="69"/>
  <c r="J167" i="8"/>
  <c r="AG46" i="69"/>
  <c r="O44" i="69" s="1"/>
  <c r="J43" i="64"/>
  <c r="Z8" i="64"/>
  <c r="AY96" i="8"/>
  <c r="AY94" i="8" s="1"/>
  <c r="Q96" i="8"/>
  <c r="AS96" i="8"/>
  <c r="AS94" i="8" s="1"/>
  <c r="AF90" i="8"/>
  <c r="AL94" i="8" s="1"/>
  <c r="W39" i="24"/>
  <c r="V41" i="24"/>
  <c r="W41" i="24" s="1"/>
  <c r="Y41" i="24"/>
  <c r="Z41" i="24" s="1"/>
  <c r="Y40" i="24"/>
  <c r="Z40" i="24" s="1"/>
  <c r="V137" i="8"/>
  <c r="P137" i="8" s="1"/>
  <c r="I105" i="73" s="1"/>
  <c r="J105" i="73" s="1"/>
  <c r="N105" i="73" s="1"/>
  <c r="T96" i="73" l="1"/>
  <c r="W95" i="73" s="1"/>
  <c r="O96" i="73"/>
  <c r="Q96" i="73"/>
  <c r="P96" i="73"/>
  <c r="AL112" i="8"/>
  <c r="AM113" i="8"/>
  <c r="AY113" i="8" s="1"/>
  <c r="AM115" i="8"/>
  <c r="Q115" i="8" s="1"/>
  <c r="AG57" i="69"/>
  <c r="O55" i="69" s="1"/>
  <c r="AG57" i="75"/>
  <c r="O55" i="75" s="1"/>
  <c r="AL116" i="8"/>
  <c r="AM114" i="8"/>
  <c r="AS114" i="8" s="1"/>
  <c r="O105" i="73"/>
  <c r="T105" i="73"/>
  <c r="P105" i="73"/>
  <c r="Q105" i="73"/>
  <c r="AD57" i="64"/>
  <c r="O54" i="64" s="1"/>
  <c r="AD46" i="64"/>
  <c r="O43" i="64" s="1"/>
  <c r="U94" i="8"/>
  <c r="V94" i="8" s="1"/>
  <c r="P94" i="8" s="1"/>
  <c r="AR94" i="8"/>
  <c r="AX94" i="8"/>
  <c r="Q94" i="8"/>
  <c r="AL91" i="8"/>
  <c r="AE90" i="8"/>
  <c r="AL97" i="8"/>
  <c r="AX116" i="8"/>
  <c r="AR116" i="8"/>
  <c r="Q116" i="8"/>
  <c r="AK111" i="8"/>
  <c r="AD107" i="8"/>
  <c r="AK108" i="8"/>
  <c r="AK119" i="8"/>
  <c r="AX112" i="8"/>
  <c r="Q112" i="8"/>
  <c r="AG137" i="8"/>
  <c r="AH137" i="8"/>
  <c r="AF137" i="8"/>
  <c r="Q113" i="8" l="1"/>
  <c r="AY114" i="8"/>
  <c r="AG35" i="69"/>
  <c r="AY115" i="8"/>
  <c r="AS113" i="8"/>
  <c r="Q114" i="8"/>
  <c r="AS115" i="8"/>
  <c r="AY112" i="8"/>
  <c r="AX111" i="8"/>
  <c r="AW119" i="8"/>
  <c r="AQ119" i="8"/>
  <c r="Q119" i="8"/>
  <c r="AW108" i="8"/>
  <c r="AQ108" i="8"/>
  <c r="Q108" i="8"/>
  <c r="AW111" i="8"/>
  <c r="Q111" i="8"/>
  <c r="AX97" i="8"/>
  <c r="AR97" i="8"/>
  <c r="Q97" i="8"/>
  <c r="AE74" i="8"/>
  <c r="AK90" i="8" s="1"/>
  <c r="Q91" i="8"/>
  <c r="AX91" i="8"/>
  <c r="AR91" i="8"/>
  <c r="AF136" i="8"/>
  <c r="AL137" i="8" s="1"/>
  <c r="AX137" i="8" s="1"/>
  <c r="T50" i="24"/>
  <c r="V46" i="24"/>
  <c r="W46" i="24" s="1"/>
  <c r="AS112" i="8" l="1"/>
  <c r="AX90" i="8"/>
  <c r="AR90" i="8"/>
  <c r="U90" i="8" s="1"/>
  <c r="V90" i="8" s="1"/>
  <c r="R90" i="8" s="1"/>
  <c r="Y51" i="75" s="1"/>
  <c r="Z51" i="75" s="1"/>
  <c r="Q90" i="8"/>
  <c r="AW90" i="8"/>
  <c r="AK75" i="8"/>
  <c r="AD74" i="8"/>
  <c r="AD7" i="8" s="1"/>
  <c r="AK98" i="8"/>
  <c r="AK85" i="8"/>
  <c r="AW107" i="8"/>
  <c r="Q137" i="8"/>
  <c r="AR137" i="8"/>
  <c r="AE136" i="8"/>
  <c r="AL147" i="8"/>
  <c r="AX147" i="8" s="1"/>
  <c r="AL146" i="8"/>
  <c r="AX146" i="8" s="1"/>
  <c r="AL142" i="8"/>
  <c r="AX142" i="8" s="1"/>
  <c r="AL138" i="8"/>
  <c r="AX138" i="8" s="1"/>
  <c r="AL148" i="8"/>
  <c r="AX148" i="8" s="1"/>
  <c r="S41" i="24"/>
  <c r="T41" i="24" s="1"/>
  <c r="S50" i="24"/>
  <c r="V50" i="24" s="1"/>
  <c r="S46" i="24"/>
  <c r="T46" i="24" s="1"/>
  <c r="U112" i="8" l="1"/>
  <c r="V112" i="8" s="1"/>
  <c r="P112" i="8" s="1"/>
  <c r="AR112" i="8"/>
  <c r="AR111" i="8" s="1"/>
  <c r="Y51" i="64"/>
  <c r="Z51" i="64" s="1"/>
  <c r="Y51" i="69"/>
  <c r="Z51" i="69" s="1"/>
  <c r="AQ90" i="8"/>
  <c r="AW85" i="8"/>
  <c r="Q85" i="8"/>
  <c r="AQ85" i="8"/>
  <c r="AW98" i="8"/>
  <c r="Q98" i="8"/>
  <c r="AQ98" i="8"/>
  <c r="AJ74" i="8"/>
  <c r="AJ8" i="8"/>
  <c r="AJ41" i="8"/>
  <c r="AW75" i="8"/>
  <c r="Q75" i="8"/>
  <c r="AQ75" i="8"/>
  <c r="Y42" i="24"/>
  <c r="Z42" i="24" s="1"/>
  <c r="Q142" i="8"/>
  <c r="AR142" i="8"/>
  <c r="Q146" i="8"/>
  <c r="AR146" i="8"/>
  <c r="Q147" i="8"/>
  <c r="AR147" i="8"/>
  <c r="Q138" i="8"/>
  <c r="AR138" i="8"/>
  <c r="AE127" i="8"/>
  <c r="Q148" i="8"/>
  <c r="AR148" i="8"/>
  <c r="S55" i="24"/>
  <c r="J24" i="24"/>
  <c r="W50" i="24"/>
  <c r="U111" i="8" l="1"/>
  <c r="V111" i="8" s="1"/>
  <c r="R111" i="8" s="1"/>
  <c r="AQ111" i="8"/>
  <c r="AQ107" i="8" s="1"/>
  <c r="U107" i="8" s="1"/>
  <c r="AW74" i="8"/>
  <c r="AQ74" i="8"/>
  <c r="U74" i="8" s="1"/>
  <c r="AV41" i="8"/>
  <c r="Q41" i="8"/>
  <c r="AP41" i="8"/>
  <c r="AV8" i="8"/>
  <c r="Q8" i="8"/>
  <c r="Q74" i="8"/>
  <c r="AV74" i="8"/>
  <c r="AR136" i="8"/>
  <c r="AD127" i="8"/>
  <c r="AK129" i="8"/>
  <c r="AW129" i="8" s="1"/>
  <c r="AK128" i="8"/>
  <c r="AW128" i="8" s="1"/>
  <c r="AK136" i="8"/>
  <c r="AA11" i="24"/>
  <c r="S9" i="24"/>
  <c r="N46" i="24"/>
  <c r="R107" i="8" l="1"/>
  <c r="V107" i="8"/>
  <c r="V61" i="69"/>
  <c r="W61" i="69" s="1"/>
  <c r="V61" i="75"/>
  <c r="W61" i="75" s="1"/>
  <c r="V61" i="64"/>
  <c r="W61" i="64" s="1"/>
  <c r="AP74" i="8"/>
  <c r="R74" i="8"/>
  <c r="V74" i="8"/>
  <c r="Q136" i="8"/>
  <c r="AW136" i="8"/>
  <c r="U136" i="8"/>
  <c r="V136" i="8" s="1"/>
  <c r="R136" i="8" s="1"/>
  <c r="AD99" i="8"/>
  <c r="AQ136" i="8"/>
  <c r="Q128" i="8"/>
  <c r="AQ128" i="8"/>
  <c r="Q129" i="8"/>
  <c r="AQ129" i="8"/>
  <c r="K33" i="24"/>
  <c r="S51" i="24"/>
  <c r="V51" i="24" s="1"/>
  <c r="S47" i="24"/>
  <c r="T47" i="24" s="1"/>
  <c r="Z46" i="69" l="1"/>
  <c r="Z46" i="75"/>
  <c r="Y62" i="69"/>
  <c r="Z62" i="69" s="1"/>
  <c r="Y62" i="75"/>
  <c r="Z62" i="75" s="1"/>
  <c r="W57" i="69"/>
  <c r="W57" i="75"/>
  <c r="W57" i="64"/>
  <c r="Y46" i="69"/>
  <c r="Z9" i="69" s="1"/>
  <c r="Y46" i="75"/>
  <c r="V57" i="69"/>
  <c r="V57" i="75"/>
  <c r="V57" i="64"/>
  <c r="Y46" i="64"/>
  <c r="L43" i="64" s="1"/>
  <c r="Z46" i="64"/>
  <c r="Y62" i="64"/>
  <c r="Z62" i="64" s="1"/>
  <c r="AA10" i="24"/>
  <c r="Y39" i="24"/>
  <c r="AX136" i="8"/>
  <c r="AJ100" i="8"/>
  <c r="AV100" i="8" s="1"/>
  <c r="AJ107" i="8"/>
  <c r="AV107" i="8" s="1"/>
  <c r="AJ127" i="8"/>
  <c r="AQ127" i="8"/>
  <c r="J25" i="24"/>
  <c r="W51" i="24"/>
  <c r="S54" i="24"/>
  <c r="L45" i="69" l="1"/>
  <c r="L45" i="75"/>
  <c r="Z9" i="75"/>
  <c r="J54" i="64"/>
  <c r="Z11" i="64"/>
  <c r="J56" i="69"/>
  <c r="Z11" i="69"/>
  <c r="Z11" i="75"/>
  <c r="J56" i="75"/>
  <c r="Z9" i="64"/>
  <c r="Z39" i="24"/>
  <c r="O37" i="24"/>
  <c r="Q127" i="8"/>
  <c r="AV127" i="8"/>
  <c r="U10" i="8"/>
  <c r="Q107" i="8"/>
  <c r="AP107" i="8"/>
  <c r="Q100" i="8"/>
  <c r="AP100" i="8"/>
  <c r="U127" i="8"/>
  <c r="AP127" i="8"/>
  <c r="V10" i="8" l="1"/>
  <c r="P10" i="8" s="1"/>
  <c r="AW127" i="8"/>
  <c r="AR10" i="8"/>
  <c r="AR9" i="8" s="1"/>
  <c r="R127" i="8"/>
  <c r="V127" i="8"/>
  <c r="AP99" i="8"/>
  <c r="U99" i="8" s="1"/>
  <c r="Z57" i="69" l="1"/>
  <c r="Z57" i="75"/>
  <c r="Y57" i="69"/>
  <c r="Z10" i="69" s="1"/>
  <c r="Y57" i="75"/>
  <c r="I44" i="73"/>
  <c r="J44" i="73" s="1"/>
  <c r="N44" i="73" s="1"/>
  <c r="I85" i="73"/>
  <c r="J85" i="73" s="1"/>
  <c r="N85" i="73" s="1"/>
  <c r="I140" i="73"/>
  <c r="J140" i="73" s="1"/>
  <c r="N140" i="73" s="1"/>
  <c r="Z57" i="64"/>
  <c r="Y57" i="64"/>
  <c r="U9" i="8"/>
  <c r="V9" i="8" s="1"/>
  <c r="R9" i="8" s="1"/>
  <c r="AX9" i="8"/>
  <c r="AQ9" i="8"/>
  <c r="AQ8" i="8" s="1"/>
  <c r="R99" i="8"/>
  <c r="L54" i="75" s="1"/>
  <c r="V99" i="8"/>
  <c r="L56" i="69" l="1"/>
  <c r="S49" i="69"/>
  <c r="T49" i="69" s="1"/>
  <c r="S49" i="75"/>
  <c r="T49" i="75" s="1"/>
  <c r="T85" i="73"/>
  <c r="W85" i="73" s="1"/>
  <c r="P85" i="73"/>
  <c r="O85" i="73"/>
  <c r="Q85" i="73"/>
  <c r="S8" i="69"/>
  <c r="S10" i="69" s="1"/>
  <c r="T24" i="69" s="1"/>
  <c r="S8" i="75"/>
  <c r="S10" i="75" s="1"/>
  <c r="T24" i="75" s="1"/>
  <c r="P44" i="73"/>
  <c r="T44" i="73"/>
  <c r="W40" i="73" s="1"/>
  <c r="X37" i="73" s="1"/>
  <c r="Q44" i="73"/>
  <c r="O44" i="73"/>
  <c r="P140" i="73"/>
  <c r="Q140" i="73"/>
  <c r="T140" i="73"/>
  <c r="O140" i="73"/>
  <c r="L56" i="75"/>
  <c r="Z10" i="75"/>
  <c r="L52" i="64"/>
  <c r="L54" i="69"/>
  <c r="S49" i="64"/>
  <c r="T49" i="64" s="1"/>
  <c r="S8" i="64"/>
  <c r="S10" i="64" s="1"/>
  <c r="L54" i="64"/>
  <c r="Z10" i="64"/>
  <c r="S40" i="24"/>
  <c r="T40" i="24" s="1"/>
  <c r="S11" i="24"/>
  <c r="T25" i="24" s="1"/>
  <c r="S28" i="24" s="1"/>
  <c r="U8" i="8"/>
  <c r="V8" i="8" s="1"/>
  <c r="AV99" i="8"/>
  <c r="AP8" i="8"/>
  <c r="AP7" i="8" s="1"/>
  <c r="AG40" i="69" l="1"/>
  <c r="W140" i="73"/>
  <c r="X140" i="73" s="1"/>
  <c r="AG37" i="69"/>
  <c r="X78" i="73"/>
  <c r="Y10" i="73" s="1"/>
  <c r="Z10" i="73" s="1"/>
  <c r="AI24" i="69" s="1"/>
  <c r="AI25" i="69" s="1"/>
  <c r="AI26" i="69" s="1"/>
  <c r="AG33" i="69"/>
  <c r="T26" i="75"/>
  <c r="S26" i="75"/>
  <c r="T46" i="69"/>
  <c r="T46" i="75"/>
  <c r="T26" i="69"/>
  <c r="S26" i="69"/>
  <c r="T46" i="64"/>
  <c r="T24" i="64"/>
  <c r="AW8" i="8"/>
  <c r="R8" i="8"/>
  <c r="T28" i="24"/>
  <c r="U7" i="8"/>
  <c r="V7" i="8" s="1"/>
  <c r="S7" i="69" l="1"/>
  <c r="S9" i="69" s="1"/>
  <c r="S7" i="75"/>
  <c r="S9" i="75" s="1"/>
  <c r="S46" i="69"/>
  <c r="E45" i="69" s="1"/>
  <c r="S46" i="75"/>
  <c r="T25" i="69"/>
  <c r="S11" i="69"/>
  <c r="S12" i="69" s="1"/>
  <c r="C25" i="69" s="1"/>
  <c r="S7" i="64"/>
  <c r="S9" i="64" s="1"/>
  <c r="T25" i="64" s="1"/>
  <c r="U27" i="64" s="1"/>
  <c r="S39" i="24"/>
  <c r="T39" i="24" s="1"/>
  <c r="S46" i="64"/>
  <c r="S26" i="64"/>
  <c r="T26" i="64"/>
  <c r="R7" i="8"/>
  <c r="AA12" i="24"/>
  <c r="AV7" i="8"/>
  <c r="Z13" i="69" l="1"/>
  <c r="L43" i="69"/>
  <c r="L43" i="75"/>
  <c r="E45" i="75"/>
  <c r="Z13" i="75"/>
  <c r="S11" i="75"/>
  <c r="S12" i="75" s="1"/>
  <c r="C25" i="75" s="1"/>
  <c r="T25" i="75"/>
  <c r="U27" i="69"/>
  <c r="T27" i="69"/>
  <c r="T27" i="64"/>
  <c r="S11" i="64"/>
  <c r="S12" i="64" s="1"/>
  <c r="C25" i="64" s="1"/>
  <c r="S13" i="69"/>
  <c r="S14" i="69" s="1"/>
  <c r="G37" i="24"/>
  <c r="S8" i="24"/>
  <c r="S10" i="24" s="1"/>
  <c r="T26" i="24" s="1"/>
  <c r="T29" i="24" s="1"/>
  <c r="L41" i="64"/>
  <c r="Z13" i="64"/>
  <c r="E43" i="64"/>
  <c r="N35" i="24"/>
  <c r="S13" i="75" l="1"/>
  <c r="S14" i="75" s="1"/>
  <c r="T27" i="75"/>
  <c r="U27" i="75"/>
  <c r="S13" i="64"/>
  <c r="S14" i="64" s="1"/>
  <c r="U29" i="24"/>
  <c r="S12" i="24"/>
  <c r="S13" i="24" s="1"/>
  <c r="S15" i="24" s="1"/>
  <c r="S1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日建設計 </author>
    <author>Junko ENDO</author>
  </authors>
  <commentList>
    <comment ref="C12" authorId="0" shapeId="0" xr:uid="{00000000-0006-0000-0000-000001000000}">
      <text>
        <r>
          <rPr>
            <sz val="9"/>
            <color indexed="81"/>
            <rFont val="ＭＳ Ｐゴシック"/>
            <family val="3"/>
            <charset val="128"/>
          </rPr>
          <t>2014/1等と入力して下さい。2014年1月と表示されます。</t>
        </r>
      </text>
    </comment>
    <comment ref="C40" authorId="0" shapeId="0" xr:uid="{00000000-0006-0000-0000-000002000000}">
      <text>
        <r>
          <rPr>
            <sz val="9"/>
            <color indexed="81"/>
            <rFont val="ＭＳ Ｐゴシック"/>
            <family val="3"/>
            <charset val="128"/>
          </rPr>
          <t>2014/1/1等と入力して下さい。2014年1月1日と表示されます。</t>
        </r>
      </text>
    </comment>
    <comment ref="B45" authorId="1" shapeId="0" xr:uid="{00000000-0006-0000-0000-000003000000}">
      <text>
        <r>
          <rPr>
            <sz val="9"/>
            <color indexed="81"/>
            <rFont val="ＭＳ Ｐゴシック"/>
            <family val="3"/>
            <charset val="128"/>
          </rPr>
          <t>第３者による評価結果の確認などを行っている場合は記述する。</t>
        </r>
      </text>
    </comment>
    <comment ref="C45" authorId="0" shapeId="0" xr:uid="{00000000-0006-0000-0000-000004000000}">
      <text>
        <r>
          <rPr>
            <sz val="9"/>
            <color indexed="81"/>
            <rFont val="ＭＳ Ｐゴシック"/>
            <family val="3"/>
            <charset val="128"/>
          </rPr>
          <t xml:space="preserve">2014/1/1等と入力して下さい。2014年1月1日と表示されます。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Junko ENDO</author>
    <author xml:space="preserve"> </author>
  </authors>
  <commentList>
    <comment ref="D5" authorId="0" shapeId="0" xr:uid="{00000000-0006-0000-0100-000001000000}">
      <text>
        <r>
          <rPr>
            <b/>
            <sz val="10"/>
            <color indexed="81"/>
            <rFont val="ＭＳ Ｐゴシック"/>
            <family val="3"/>
            <charset val="128"/>
          </rPr>
          <t>計画上の配慮事項:100字以内で記述してください。</t>
        </r>
        <r>
          <rPr>
            <sz val="10"/>
            <color indexed="81"/>
            <rFont val="ＭＳ Ｐゴシック"/>
            <family val="3"/>
            <charset val="128"/>
          </rPr>
          <t xml:space="preserve">
</t>
        </r>
      </text>
    </comment>
    <comment ref="C6" authorId="1" shapeId="0" xr:uid="{00000000-0006-0000-0100-000002000000}">
      <text>
        <r>
          <rPr>
            <b/>
            <sz val="9"/>
            <color indexed="81"/>
            <rFont val="ＭＳ Ｐゴシック"/>
            <family val="3"/>
            <charset val="128"/>
          </rPr>
          <t xml:space="preserve"> 注）　計画における総合的なコンセプトを簡潔に記載してください。（200字以内）</t>
        </r>
      </text>
    </comment>
    <comment ref="C7" authorId="1" shapeId="0" xr:uid="{00000000-0006-0000-0100-000003000000}">
      <text>
        <r>
          <rPr>
            <b/>
            <sz val="9"/>
            <color indexed="81"/>
            <rFont val="ＭＳ Ｐゴシック"/>
            <family val="3"/>
            <charset val="128"/>
          </rPr>
          <t>注）　「環境」に対する配慮事項を簡潔に記載してください。（100字以内）</t>
        </r>
      </text>
    </comment>
    <comment ref="C8" authorId="1" shapeId="0" xr:uid="{00000000-0006-0000-0100-000004000000}">
      <text>
        <r>
          <rPr>
            <b/>
            <sz val="9"/>
            <color indexed="81"/>
            <rFont val="ＭＳ Ｐゴシック"/>
            <family val="3"/>
            <charset val="128"/>
          </rPr>
          <t>注）　「社会」に対する配慮事項を簡潔に記載してください。（100字以内）</t>
        </r>
        <r>
          <rPr>
            <sz val="9"/>
            <color indexed="81"/>
            <rFont val="ＭＳ Ｐゴシック"/>
            <family val="3"/>
            <charset val="128"/>
          </rPr>
          <t xml:space="preserve">
</t>
        </r>
      </text>
    </comment>
    <comment ref="C9" authorId="1" shapeId="0" xr:uid="{00000000-0006-0000-0100-000005000000}">
      <text>
        <r>
          <rPr>
            <b/>
            <sz val="9"/>
            <color indexed="81"/>
            <rFont val="ＭＳ Ｐゴシック"/>
            <family val="3"/>
            <charset val="128"/>
          </rPr>
          <t>注）　「経済」に対する配慮事項を簡潔に記載してください。（100字以内）</t>
        </r>
      </text>
    </comment>
    <comment ref="C10" authorId="1" shapeId="0" xr:uid="{00000000-0006-0000-0100-000006000000}">
      <text>
        <r>
          <rPr>
            <b/>
            <sz val="9"/>
            <color indexed="81"/>
            <rFont val="ＭＳ Ｐゴシック"/>
            <family val="3"/>
            <charset val="128"/>
          </rPr>
          <t>注）　「エネルギー」に対する配慮事項を簡潔に記載してください。（100字以内）</t>
        </r>
      </text>
    </comment>
    <comment ref="C11" authorId="1" shapeId="0" xr:uid="{00000000-0006-0000-0100-000007000000}">
      <text>
        <r>
          <rPr>
            <b/>
            <sz val="9"/>
            <color indexed="81"/>
            <rFont val="ＭＳ Ｐゴシック"/>
            <family val="3"/>
            <charset val="128"/>
          </rPr>
          <t>注）　「資源環境」に対する配慮事項を簡潔に記載してください。（100字以内）</t>
        </r>
      </text>
    </comment>
    <comment ref="C12" authorId="1" shapeId="0" xr:uid="{00000000-0006-0000-0100-000008000000}">
      <text>
        <r>
          <rPr>
            <b/>
            <sz val="9"/>
            <color indexed="81"/>
            <rFont val="ＭＳ Ｐゴシック"/>
            <family val="3"/>
            <charset val="128"/>
          </rPr>
          <t>注）　「周辺環境」に対する配慮事項を簡潔に記載してください。（100字以内）</t>
        </r>
      </text>
    </comment>
    <comment ref="C13" authorId="1" shapeId="0" xr:uid="{00000000-0006-0000-0100-000009000000}">
      <text>
        <r>
          <rPr>
            <b/>
            <sz val="9"/>
            <color indexed="81"/>
            <rFont val="ＭＳ Ｐゴシック"/>
            <family val="3"/>
            <charset val="128"/>
          </rPr>
          <t>注）　上記の６つのカテゴリー以外に、プロジェクト自体の環境性能としてＣＡＳＢＥＥで評価し難い環境配慮の取組みがあれば、ここに記載してください。（100字以内）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Junko ENDO</author>
  </authors>
  <commentList>
    <comment ref="E86" authorId="0" shapeId="0" xr:uid="{122A452D-9967-492E-B9EF-48D54EA157CD}">
      <text>
        <r>
          <rPr>
            <b/>
            <sz val="9"/>
            <color indexed="81"/>
            <rFont val="MS P ゴシック"/>
            <family val="3"/>
            <charset val="128"/>
          </rPr>
          <t>建物数が多い場合は合計値を入力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<sst xmlns="http://schemas.openxmlformats.org/spreadsheetml/2006/main" count="4263" uniqueCount="2013">
  <si>
    <t>評　価　ソ　フ　ト</t>
    <rPh sb="0" eb="1">
      <t>ヒョウ</t>
    </rPh>
    <rPh sb="2" eb="3">
      <t>アタイ</t>
    </rPh>
    <phoneticPr fontId="3"/>
  </si>
  <si>
    <t>バージョン</t>
    <phoneticPr fontId="3"/>
  </si>
  <si>
    <t>■使用評価マニュアル：</t>
    <rPh sb="1" eb="3">
      <t>シヨウ</t>
    </rPh>
    <rPh sb="3" eb="5">
      <t>ヒョウカ</t>
    </rPh>
    <phoneticPr fontId="3"/>
  </si>
  <si>
    <t>1）概要入力</t>
    <rPh sb="2" eb="4">
      <t>ガイヨウ</t>
    </rPh>
    <rPh sb="4" eb="6">
      <t>ニュウリョク</t>
    </rPh>
    <phoneticPr fontId="3"/>
  </si>
  <si>
    <t>① 対象区域概要</t>
    <rPh sb="2" eb="4">
      <t>タイショウ</t>
    </rPh>
    <rPh sb="4" eb="6">
      <t>クイキ</t>
    </rPh>
    <rPh sb="6" eb="8">
      <t>ガイヨウ</t>
    </rPh>
    <phoneticPr fontId="3"/>
  </si>
  <si>
    <t>■開発名称</t>
    <rPh sb="1" eb="3">
      <t>かいはつ</t>
    </rPh>
    <rPh sb="3" eb="5">
      <t>ﾒｲｼｮｳ</t>
    </rPh>
    <phoneticPr fontId="18" type="noConversion"/>
  </si>
  <si>
    <t>Aプロジェクト</t>
    <phoneticPr fontId="3"/>
  </si>
  <si>
    <t>■所在地</t>
    <rPh sb="1" eb="4">
      <t>ｼｮｻﾞｲﾁ</t>
    </rPh>
    <phoneticPr fontId="18" type="noConversion"/>
  </si>
  <si>
    <t>東京都千代田区</t>
    <rPh sb="0" eb="3">
      <t>トウキョウト</t>
    </rPh>
    <rPh sb="3" eb="7">
      <t>チヨダク</t>
    </rPh>
    <phoneticPr fontId="3"/>
  </si>
  <si>
    <t>■竣工年 (予定/竣工)</t>
    <rPh sb="1" eb="3">
      <t>ｼｭﾝｺｳ</t>
    </rPh>
    <rPh sb="3" eb="4">
      <t>ﾈﾝ</t>
    </rPh>
    <rPh sb="6" eb="8">
      <t>ﾖﾃｲ</t>
    </rPh>
    <rPh sb="9" eb="11">
      <t>ｼｭﾝｺｳ</t>
    </rPh>
    <phoneticPr fontId="18" type="noConversion"/>
  </si>
  <si>
    <t>■使用評価ソフト</t>
    <rPh sb="1" eb="3">
      <t>しよう</t>
    </rPh>
    <rPh sb="3" eb="5">
      <t>ひょうか</t>
    </rPh>
    <phoneticPr fontId="18" type="noConversion"/>
  </si>
  <si>
    <t>■地域・地区</t>
    <rPh sb="1" eb="3">
      <t>ﾁｲｷ</t>
    </rPh>
    <rPh sb="4" eb="6">
      <t>ﾁｸ</t>
    </rPh>
    <phoneticPr fontId="18" type="noConversion"/>
  </si>
  <si>
    <t>地域・地区(1)</t>
    <rPh sb="0" eb="2">
      <t>チイキ</t>
    </rPh>
    <rPh sb="3" eb="5">
      <t>チク</t>
    </rPh>
    <phoneticPr fontId="3"/>
  </si>
  <si>
    <t>地域・地区(2)</t>
    <rPh sb="0" eb="2">
      <t>チイキ</t>
    </rPh>
    <rPh sb="3" eb="5">
      <t>チク</t>
    </rPh>
    <phoneticPr fontId="3"/>
  </si>
  <si>
    <t>商業地域、防火地域</t>
    <rPh sb="0" eb="2">
      <t>ショウギョウ</t>
    </rPh>
    <rPh sb="2" eb="4">
      <t>チイキ</t>
    </rPh>
    <rPh sb="5" eb="7">
      <t>ボウカ</t>
    </rPh>
    <rPh sb="7" eb="9">
      <t>チイキ</t>
    </rPh>
    <phoneticPr fontId="3"/>
  </si>
  <si>
    <t>指定建蔽率</t>
    <rPh sb="2" eb="5">
      <t>けんぺいりつ</t>
    </rPh>
    <phoneticPr fontId="18" type="noConversion"/>
  </si>
  <si>
    <t>%</t>
    <phoneticPr fontId="3"/>
  </si>
  <si>
    <t>指定容積率</t>
    <rPh sb="2" eb="4">
      <t>ようせき</t>
    </rPh>
    <rPh sb="4" eb="5">
      <t>りつ</t>
    </rPh>
    <phoneticPr fontId="18" type="noConversion"/>
  </si>
  <si>
    <t>地域・地区(3)</t>
    <rPh sb="0" eb="2">
      <t>チイキ</t>
    </rPh>
    <rPh sb="3" eb="5">
      <t>チク</t>
    </rPh>
    <phoneticPr fontId="3"/>
  </si>
  <si>
    <t>地域・地区(4)</t>
    <rPh sb="0" eb="2">
      <t>チイキ</t>
    </rPh>
    <rPh sb="3" eb="5">
      <t>チク</t>
    </rPh>
    <phoneticPr fontId="3"/>
  </si>
  <si>
    <t>住宅系</t>
    <rPh sb="0" eb="2">
      <t>ジュウタク</t>
    </rPh>
    <rPh sb="2" eb="3">
      <t>ケイ</t>
    </rPh>
    <phoneticPr fontId="3"/>
  </si>
  <si>
    <t>非住宅系</t>
    <rPh sb="0" eb="1">
      <t>ヒ</t>
    </rPh>
    <rPh sb="1" eb="3">
      <t>ジュウタク</t>
    </rPh>
    <rPh sb="3" eb="4">
      <t>ケイ</t>
    </rPh>
    <phoneticPr fontId="3"/>
  </si>
  <si>
    <t>■住宅系・非住宅系の割合</t>
    <rPh sb="1" eb="3">
      <t>じゅうたく</t>
    </rPh>
    <rPh sb="3" eb="4">
      <t>けい</t>
    </rPh>
    <rPh sb="5" eb="6">
      <t>ひ</t>
    </rPh>
    <rPh sb="6" eb="8">
      <t>じゅうたく</t>
    </rPh>
    <rPh sb="8" eb="9">
      <t>けい</t>
    </rPh>
    <rPh sb="10" eb="12">
      <t>わりあい</t>
    </rPh>
    <phoneticPr fontId="18" type="noConversion"/>
  </si>
  <si>
    <t>■基準建蔽率</t>
    <rPh sb="1" eb="3">
      <t>きじゅん</t>
    </rPh>
    <rPh sb="3" eb="6">
      <t>けんぺいりつ</t>
    </rPh>
    <phoneticPr fontId="18" type="noConversion"/>
  </si>
  <si>
    <t>■基準容積率</t>
    <rPh sb="1" eb="3">
      <t>きじゅん</t>
    </rPh>
    <rPh sb="3" eb="5">
      <t>ようせき</t>
    </rPh>
    <rPh sb="5" eb="6">
      <t>りつ</t>
    </rPh>
    <phoneticPr fontId="18" type="noConversion"/>
  </si>
  <si>
    <t>■適用制度・事業</t>
    <rPh sb="1" eb="3">
      <t>ﾃｷﾖｳ</t>
    </rPh>
    <rPh sb="3" eb="5">
      <t>ｾｲﾄﾞ</t>
    </rPh>
    <rPh sb="6" eb="8">
      <t>ｼﾞｷﾞｮｳ</t>
    </rPh>
    <phoneticPr fontId="18" type="noConversion"/>
  </si>
  <si>
    <t>第一種市街地再開発事業</t>
    <rPh sb="0" eb="1">
      <t>ダイ</t>
    </rPh>
    <rPh sb="1" eb="3">
      <t>イチシュ</t>
    </rPh>
    <rPh sb="3" eb="6">
      <t>シガイチ</t>
    </rPh>
    <rPh sb="6" eb="9">
      <t>サイカイハツ</t>
    </rPh>
    <rPh sb="9" eb="11">
      <t>ジギョウ</t>
    </rPh>
    <phoneticPr fontId="3"/>
  </si>
  <si>
    <t>再開発地区計画</t>
    <phoneticPr fontId="3"/>
  </si>
  <si>
    <t>■許容建蔽率</t>
    <rPh sb="1" eb="3">
      <t>きょよう</t>
    </rPh>
    <rPh sb="3" eb="6">
      <t>けんぺいりつ</t>
    </rPh>
    <phoneticPr fontId="18" type="noConversion"/>
  </si>
  <si>
    <t>■許容容積率</t>
    <rPh sb="1" eb="3">
      <t>きょよう</t>
    </rPh>
    <rPh sb="3" eb="5">
      <t>ようせき</t>
    </rPh>
    <rPh sb="5" eb="6">
      <t>りつ</t>
    </rPh>
    <phoneticPr fontId="18" type="noConversion"/>
  </si>
  <si>
    <t>■区域面積</t>
    <rPh sb="1" eb="3">
      <t>くいき</t>
    </rPh>
    <rPh sb="3" eb="5">
      <t>めんせき</t>
    </rPh>
    <phoneticPr fontId="18" type="noConversion"/>
  </si>
  <si>
    <t>ha</t>
    <phoneticPr fontId="3"/>
  </si>
  <si>
    <t>■敷地面積</t>
    <rPh sb="1" eb="3">
      <t>ｼｷﾁ</t>
    </rPh>
    <rPh sb="3" eb="5">
      <t>ﾒﾝｾｷ</t>
    </rPh>
    <phoneticPr fontId="18" type="noConversion"/>
  </si>
  <si>
    <t>■建築面積</t>
    <rPh sb="1" eb="3">
      <t>ｹﾝﾁｸ</t>
    </rPh>
    <rPh sb="3" eb="5">
      <t>ﾒﾝｾｷ</t>
    </rPh>
    <phoneticPr fontId="18" type="noConversion"/>
  </si>
  <si>
    <t>㎡</t>
    <phoneticPr fontId="3"/>
  </si>
  <si>
    <t>■計画建蔽率</t>
    <rPh sb="1" eb="3">
      <t>けいかく</t>
    </rPh>
    <rPh sb="3" eb="6">
      <t>けんぺいりつ</t>
    </rPh>
    <phoneticPr fontId="18" type="noConversion"/>
  </si>
  <si>
    <t>■延床面積</t>
    <rPh sb="1" eb="2">
      <t>ﾉ</t>
    </rPh>
    <rPh sb="2" eb="5">
      <t>ﾕｶﾒﾝｾｷ</t>
    </rPh>
    <phoneticPr fontId="18" type="noConversion"/>
  </si>
  <si>
    <t>■計画容積率</t>
    <rPh sb="1" eb="3">
      <t>けいかく</t>
    </rPh>
    <rPh sb="3" eb="5">
      <t>ようせき</t>
    </rPh>
    <rPh sb="5" eb="6">
      <t>りつ</t>
    </rPh>
    <phoneticPr fontId="18" type="noConversion"/>
  </si>
  <si>
    <t>その他</t>
    <rPh sb="2" eb="3">
      <t>ホカ</t>
    </rPh>
    <phoneticPr fontId="3"/>
  </si>
  <si>
    <t>■上位計画等</t>
    <rPh sb="1" eb="3">
      <t>じょうい</t>
    </rPh>
    <rPh sb="3" eb="5">
      <t>けいかく</t>
    </rPh>
    <rPh sb="5" eb="6">
      <t>とう</t>
    </rPh>
    <phoneticPr fontId="18" type="noConversion"/>
  </si>
  <si>
    <t>○○○</t>
    <phoneticPr fontId="3"/>
  </si>
  <si>
    <t>　（参照計画）</t>
    <rPh sb="2" eb="4">
      <t>サンショウ</t>
    </rPh>
    <rPh sb="4" eb="6">
      <t>ケイカク</t>
    </rPh>
    <phoneticPr fontId="3"/>
  </si>
  <si>
    <t>② 評価の実施</t>
    <rPh sb="2" eb="4">
      <t>ヒョウカ</t>
    </rPh>
    <rPh sb="5" eb="7">
      <t>ジッシ</t>
    </rPh>
    <phoneticPr fontId="3"/>
  </si>
  <si>
    <r>
      <t xml:space="preserve">■ </t>
    </r>
    <r>
      <rPr>
        <sz val="10"/>
        <rFont val="ＭＳ Ｐゴシック"/>
        <family val="3"/>
        <charset val="128"/>
      </rPr>
      <t>作成日</t>
    </r>
    <rPh sb="2" eb="5">
      <t>サクセイビ</t>
    </rPh>
    <phoneticPr fontId="3"/>
  </si>
  <si>
    <r>
      <t xml:space="preserve">■ </t>
    </r>
    <r>
      <rPr>
        <sz val="10"/>
        <rFont val="ＭＳ Ｐゴシック"/>
        <family val="3"/>
        <charset val="128"/>
      </rPr>
      <t>作成者</t>
    </r>
    <rPh sb="2" eb="5">
      <t>サクセイシャ</t>
    </rPh>
    <phoneticPr fontId="3"/>
  </si>
  <si>
    <r>
      <t>作成者(1)</t>
    </r>
    <r>
      <rPr>
        <sz val="11"/>
        <rFont val="ＭＳ Ｐゴシック"/>
        <family val="3"/>
        <charset val="128"/>
      </rPr>
      <t/>
    </r>
    <rPh sb="0" eb="3">
      <t>サクセイシャ</t>
    </rPh>
    <phoneticPr fontId="3"/>
  </si>
  <si>
    <t>作成者(2)</t>
    <phoneticPr fontId="3"/>
  </si>
  <si>
    <t>作成者(3)</t>
    <phoneticPr fontId="3"/>
  </si>
  <si>
    <t>■■　■■</t>
    <phoneticPr fontId="3"/>
  </si>
  <si>
    <r>
      <t>作成者(4)</t>
    </r>
    <r>
      <rPr>
        <sz val="11"/>
        <rFont val="ＭＳ Ｐゴシック"/>
        <family val="3"/>
        <charset val="128"/>
      </rPr>
      <t/>
    </r>
    <phoneticPr fontId="3"/>
  </si>
  <si>
    <t>作成者(5)</t>
    <phoneticPr fontId="3"/>
  </si>
  <si>
    <t>作成者(6)</t>
    <phoneticPr fontId="3"/>
  </si>
  <si>
    <r>
      <t xml:space="preserve">■ </t>
    </r>
    <r>
      <rPr>
        <sz val="10"/>
        <rFont val="ＭＳ Ｐゴシック"/>
        <family val="3"/>
        <charset val="128"/>
      </rPr>
      <t>確認日</t>
    </r>
    <rPh sb="2" eb="4">
      <t>カクニン</t>
    </rPh>
    <rPh sb="4" eb="5">
      <t>ビ</t>
    </rPh>
    <phoneticPr fontId="3"/>
  </si>
  <si>
    <r>
      <t xml:space="preserve">■ </t>
    </r>
    <r>
      <rPr>
        <sz val="10"/>
        <rFont val="ＭＳ Ｐゴシック"/>
        <family val="3"/>
        <charset val="128"/>
      </rPr>
      <t>確認者</t>
    </r>
    <rPh sb="2" eb="4">
      <t>カクニン</t>
    </rPh>
    <rPh sb="4" eb="5">
      <t>シャ</t>
    </rPh>
    <phoneticPr fontId="3"/>
  </si>
  <si>
    <t>□□　□□</t>
    <phoneticPr fontId="3"/>
  </si>
  <si>
    <t>2）各シートの表示</t>
    <rPh sb="2" eb="3">
      <t>カク</t>
    </rPh>
    <rPh sb="7" eb="9">
      <t>ヒョウジ</t>
    </rPh>
    <phoneticPr fontId="3"/>
  </si>
  <si>
    <t>評価結果表示シート</t>
    <rPh sb="0" eb="2">
      <t>ヒョウカ</t>
    </rPh>
    <rPh sb="2" eb="4">
      <t>ケッカ</t>
    </rPh>
    <rPh sb="4" eb="6">
      <t>ヒョウジ</t>
    </rPh>
    <phoneticPr fontId="3"/>
  </si>
  <si>
    <t>●結果　</t>
    <rPh sb="1" eb="3">
      <t>ケッカ</t>
    </rPh>
    <phoneticPr fontId="3"/>
  </si>
  <si>
    <t>スコアシート</t>
    <phoneticPr fontId="3"/>
  </si>
  <si>
    <t>●スコア</t>
    <phoneticPr fontId="3"/>
  </si>
  <si>
    <t>配慮シート</t>
    <rPh sb="0" eb="2">
      <t>ハイリョ</t>
    </rPh>
    <phoneticPr fontId="3"/>
  </si>
  <si>
    <t>●配慮</t>
    <rPh sb="1" eb="3">
      <t>ハイリョ</t>
    </rPh>
    <phoneticPr fontId="3"/>
  </si>
  <si>
    <t>採点Qシート</t>
    <rPh sb="0" eb="2">
      <t>サイテン</t>
    </rPh>
    <phoneticPr fontId="3"/>
  </si>
  <si>
    <t>●Ｑ１</t>
  </si>
  <si>
    <t>●Ｑ２</t>
  </si>
  <si>
    <t>●Ｑ３</t>
  </si>
  <si>
    <t>採点Lシート</t>
    <rPh sb="0" eb="2">
      <t>サイテン</t>
    </rPh>
    <phoneticPr fontId="3"/>
  </si>
  <si>
    <t>●ＬＲ１</t>
  </si>
  <si>
    <t>●ＬＲ２</t>
  </si>
  <si>
    <t>●ＬＲ３</t>
  </si>
  <si>
    <t>←</t>
    <phoneticPr fontId="3"/>
  </si>
  <si>
    <t>■使用マニュアル：</t>
    <rPh sb="1" eb="3">
      <t>しよう</t>
    </rPh>
    <phoneticPr fontId="18" type="noConversion"/>
  </si>
  <si>
    <r>
      <t>1-1</t>
    </r>
    <r>
      <rPr>
        <b/>
        <sz val="12"/>
        <color indexed="9"/>
        <rFont val="ＭＳ Ｐゴシック"/>
        <family val="3"/>
        <charset val="128"/>
      </rPr>
      <t>　街区の概要</t>
    </r>
    <rPh sb="4" eb="6">
      <t>がいく</t>
    </rPh>
    <rPh sb="7" eb="9">
      <t>ｶﾞｲﾖｳ</t>
    </rPh>
    <phoneticPr fontId="18" type="noConversion"/>
  </si>
  <si>
    <r>
      <t xml:space="preserve">1-2 </t>
    </r>
    <r>
      <rPr>
        <b/>
        <sz val="12"/>
        <color indexed="9"/>
        <rFont val="ＭＳ Ｐゴシック"/>
        <family val="3"/>
        <charset val="128"/>
      </rPr>
      <t>対象区域</t>
    </r>
    <phoneticPr fontId="3"/>
  </si>
  <si>
    <t>BEE rank</t>
    <phoneticPr fontId="3"/>
  </si>
  <si>
    <t>radar chart</t>
    <phoneticPr fontId="3"/>
  </si>
  <si>
    <t>開発名称</t>
    <rPh sb="0" eb="2">
      <t>かいはつ</t>
    </rPh>
    <rPh sb="2" eb="4">
      <t>ﾒｲｼｮｳ</t>
    </rPh>
    <phoneticPr fontId="18" type="noConversion"/>
  </si>
  <si>
    <t>適用制度・事業</t>
  </si>
  <si>
    <t>SQ</t>
    <phoneticPr fontId="3"/>
  </si>
  <si>
    <t>radar chart</t>
  </si>
  <si>
    <t>評価</t>
    <rPh sb="0" eb="2">
      <t>ヒョウカ</t>
    </rPh>
    <phoneticPr fontId="3"/>
  </si>
  <si>
    <t>所在地</t>
    <rPh sb="0" eb="3">
      <t>ｼｮｻﾞｲﾁ</t>
    </rPh>
    <phoneticPr fontId="18" type="noConversion"/>
  </si>
  <si>
    <t>許容建蔽率/容積率</t>
    <rPh sb="0" eb="2">
      <t>キョヨウ</t>
    </rPh>
    <rPh sb="2" eb="5">
      <t>ケンペイリツ</t>
    </rPh>
    <phoneticPr fontId="3"/>
  </si>
  <si>
    <t>SL</t>
    <phoneticPr fontId="3"/>
  </si>
  <si>
    <t>Q2</t>
    <phoneticPr fontId="3"/>
  </si>
  <si>
    <r>
      <t xml:space="preserve">Q2 </t>
    </r>
    <r>
      <rPr>
        <sz val="11"/>
        <rFont val="ＭＳ Ｐゴシック"/>
        <family val="3"/>
        <charset val="128"/>
      </rPr>
      <t>社会</t>
    </r>
    <rPh sb="3" eb="5">
      <t>シャカイ</t>
    </rPh>
    <phoneticPr fontId="3"/>
  </si>
  <si>
    <t>区域面積</t>
    <rPh sb="0" eb="2">
      <t>くいき</t>
    </rPh>
    <rPh sb="2" eb="4">
      <t>めんせき</t>
    </rPh>
    <phoneticPr fontId="18" type="noConversion"/>
  </si>
  <si>
    <t>ha</t>
    <phoneticPr fontId="18" type="noConversion"/>
  </si>
  <si>
    <t>敷地面積</t>
    <rPh sb="0" eb="2">
      <t>ｼｷﾁ</t>
    </rPh>
    <rPh sb="2" eb="4">
      <t>ﾒﾝｾｷ</t>
    </rPh>
    <phoneticPr fontId="18" type="noConversion"/>
  </si>
  <si>
    <t>Q</t>
    <phoneticPr fontId="3"/>
  </si>
  <si>
    <t>Q3</t>
    <phoneticPr fontId="3"/>
  </si>
  <si>
    <r>
      <t xml:space="preserve">Q3 </t>
    </r>
    <r>
      <rPr>
        <sz val="11"/>
        <rFont val="ＭＳ Ｐゴシック"/>
        <family val="3"/>
        <charset val="128"/>
      </rPr>
      <t>経済</t>
    </r>
    <rPh sb="3" eb="5">
      <t>ケイザイ</t>
    </rPh>
    <phoneticPr fontId="3"/>
  </si>
  <si>
    <t>竣工(供用開始)年</t>
    <rPh sb="3" eb="5">
      <t>キョウヨウ</t>
    </rPh>
    <rPh sb="5" eb="7">
      <t>カイシ</t>
    </rPh>
    <rPh sb="8" eb="9">
      <t>トシ</t>
    </rPh>
    <phoneticPr fontId="3"/>
  </si>
  <si>
    <t>建築面積/計画建蔽率</t>
    <rPh sb="0" eb="2">
      <t>ｹﾝﾁｸ</t>
    </rPh>
    <rPh sb="2" eb="4">
      <t>ﾒﾝｾｷ</t>
    </rPh>
    <phoneticPr fontId="18" type="noConversion"/>
  </si>
  <si>
    <t>L</t>
    <phoneticPr fontId="3"/>
  </si>
  <si>
    <t>LR</t>
    <phoneticPr fontId="3"/>
  </si>
  <si>
    <r>
      <t xml:space="preserve">LR </t>
    </r>
    <r>
      <rPr>
        <sz val="11"/>
        <rFont val="ＭＳ Ｐゴシック"/>
        <family val="3"/>
        <charset val="128"/>
      </rPr>
      <t>環境負荷低減</t>
    </r>
    <rPh sb="3" eb="5">
      <t>カンキョウ</t>
    </rPh>
    <rPh sb="5" eb="7">
      <t>フカ</t>
    </rPh>
    <rPh sb="7" eb="9">
      <t>テイゲン</t>
    </rPh>
    <phoneticPr fontId="3"/>
  </si>
  <si>
    <t>地域・地区</t>
    <rPh sb="0" eb="2">
      <t>ﾁｲｷ</t>
    </rPh>
    <rPh sb="3" eb="5">
      <t>ﾁｸ</t>
    </rPh>
    <phoneticPr fontId="18" type="noConversion"/>
  </si>
  <si>
    <t>(1)</t>
    <phoneticPr fontId="3"/>
  </si>
  <si>
    <t>延床面積/計画容積率</t>
    <rPh sb="0" eb="1">
      <t>ﾉ</t>
    </rPh>
    <rPh sb="1" eb="4">
      <t>ﾕｶﾒﾝｾｷ</t>
    </rPh>
    <phoneticPr fontId="18" type="noConversion"/>
  </si>
  <si>
    <t>BEE</t>
    <phoneticPr fontId="3"/>
  </si>
  <si>
    <t>Q1</t>
    <phoneticPr fontId="3"/>
  </si>
  <si>
    <r>
      <t xml:space="preserve">Q1 </t>
    </r>
    <r>
      <rPr>
        <sz val="11"/>
        <rFont val="ＭＳ Ｐゴシック"/>
        <family val="3"/>
        <charset val="128"/>
      </rPr>
      <t>環境</t>
    </r>
    <rPh sb="3" eb="5">
      <t>カンキョウ</t>
    </rPh>
    <phoneticPr fontId="3"/>
  </si>
  <si>
    <t>(指定建蔽率/容積率）</t>
    <rPh sb="1" eb="3">
      <t>ｼﾃｲ</t>
    </rPh>
    <rPh sb="3" eb="6">
      <t>ｹﾝﾍﾟｲﾘﾂ</t>
    </rPh>
    <rPh sb="7" eb="9">
      <t>ﾖｳｾｷ</t>
    </rPh>
    <rPh sb="9" eb="10">
      <t>ﾘﾂ</t>
    </rPh>
    <phoneticPr fontId="18" type="noConversion"/>
  </si>
  <si>
    <t>評価の実施日</t>
    <rPh sb="0" eb="2">
      <t>ﾋｮｳｶ</t>
    </rPh>
    <rPh sb="3" eb="6">
      <t>ｼﾞｯｼﾋﾞ</t>
    </rPh>
    <phoneticPr fontId="18" type="noConversion"/>
  </si>
  <si>
    <t>対象区域図等</t>
    <rPh sb="0" eb="2">
      <t>タイショウ</t>
    </rPh>
    <rPh sb="2" eb="3">
      <t>ク</t>
    </rPh>
    <rPh sb="3" eb="4">
      <t>イキ</t>
    </rPh>
    <rPh sb="4" eb="5">
      <t>ズ</t>
    </rPh>
    <rPh sb="5" eb="6">
      <t>トウ</t>
    </rPh>
    <phoneticPr fontId="3"/>
  </si>
  <si>
    <t>BEE(Round)</t>
    <phoneticPr fontId="3"/>
  </si>
  <si>
    <t>(2)</t>
    <phoneticPr fontId="3"/>
  </si>
  <si>
    <t>作成者</t>
    <rPh sb="0" eb="3">
      <t>サクセイシャ</t>
    </rPh>
    <phoneticPr fontId="3"/>
  </si>
  <si>
    <t>図を貼り付けるときは</t>
    <rPh sb="0" eb="1">
      <t>ズ</t>
    </rPh>
    <rPh sb="2" eb="3">
      <t>ハ</t>
    </rPh>
    <rPh sb="4" eb="5">
      <t>ツ</t>
    </rPh>
    <phoneticPr fontId="3"/>
  </si>
  <si>
    <t>Rank(red star)</t>
    <phoneticPr fontId="3"/>
  </si>
  <si>
    <t>(3)</t>
    <phoneticPr fontId="3"/>
  </si>
  <si>
    <t>シートの保護を解除してください</t>
    <phoneticPr fontId="3"/>
  </si>
  <si>
    <t>(blank star)</t>
    <phoneticPr fontId="3"/>
  </si>
  <si>
    <t>(4)</t>
    <phoneticPr fontId="3"/>
  </si>
  <si>
    <t>基準建蔽率/容積率</t>
    <rPh sb="6" eb="8">
      <t>ヨウセキ</t>
    </rPh>
    <rPh sb="8" eb="9">
      <t>リツ</t>
    </rPh>
    <phoneticPr fontId="3"/>
  </si>
  <si>
    <t>確認日</t>
    <phoneticPr fontId="3"/>
  </si>
  <si>
    <t>滞在人口</t>
    <rPh sb="0" eb="2">
      <t>タイザイ</t>
    </rPh>
    <rPh sb="2" eb="4">
      <t>ジンコウ</t>
    </rPh>
    <phoneticPr fontId="3"/>
  </si>
  <si>
    <t>人</t>
    <rPh sb="0" eb="1">
      <t>ヒト</t>
    </rPh>
    <phoneticPr fontId="3"/>
  </si>
  <si>
    <t>確認者</t>
    <phoneticPr fontId="3"/>
  </si>
  <si>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がいく</t>
    </rPh>
    <phoneticPr fontId="18" type="noConversion"/>
  </si>
  <si>
    <r>
      <t>2-2</t>
    </r>
    <r>
      <rPr>
        <b/>
        <sz val="12"/>
        <color indexed="9"/>
        <rFont val="ＭＳ Ｐゴシック"/>
        <family val="3"/>
        <charset val="128"/>
      </rPr>
      <t>　</t>
    </r>
    <r>
      <rPr>
        <b/>
        <sz val="12"/>
        <color indexed="9"/>
        <rFont val="Arial"/>
        <family val="2"/>
      </rPr>
      <t>CO2</t>
    </r>
    <r>
      <rPr>
        <b/>
        <sz val="12"/>
        <color indexed="9"/>
        <rFont val="ＭＳ Ｐゴシック"/>
        <family val="3"/>
        <charset val="128"/>
      </rPr>
      <t>排出量チャート（CO2総排出量）</t>
    </r>
    <rPh sb="18" eb="19">
      <t>ソウ</t>
    </rPh>
    <rPh sb="19" eb="21">
      <t>ハイシュツ</t>
    </rPh>
    <rPh sb="21" eb="22">
      <t>リョウ</t>
    </rPh>
    <phoneticPr fontId="3"/>
  </si>
  <si>
    <r>
      <t>2-3</t>
    </r>
    <r>
      <rPr>
        <b/>
        <sz val="12"/>
        <color indexed="9"/>
        <rFont val="ＭＳ Ｐゴシック"/>
        <family val="3"/>
        <charset val="128"/>
      </rPr>
      <t>　大項目の評価（ﾚｰﾀﾞｰﾁｬｰﾄ）</t>
    </r>
    <phoneticPr fontId="3"/>
  </si>
  <si>
    <t>BEE chart</t>
    <phoneticPr fontId="3"/>
  </si>
  <si>
    <r>
      <t>BAU</t>
    </r>
    <r>
      <rPr>
        <sz val="11"/>
        <rFont val="ＭＳ Ｐゴシック"/>
        <family val="3"/>
        <charset val="128"/>
      </rPr>
      <t>の総排出量</t>
    </r>
    <r>
      <rPr>
        <sz val="11"/>
        <rFont val="Arial"/>
        <family val="2"/>
      </rPr>
      <t>=</t>
    </r>
    <rPh sb="4" eb="5">
      <t>ソウ</t>
    </rPh>
    <rPh sb="5" eb="7">
      <t>ハイシュツ</t>
    </rPh>
    <rPh sb="7" eb="8">
      <t>リョウ</t>
    </rPh>
    <phoneticPr fontId="3"/>
  </si>
  <si>
    <t>基準</t>
    <rPh sb="0" eb="2">
      <t>キジュン</t>
    </rPh>
    <phoneticPr fontId="3"/>
  </si>
  <si>
    <t>原点</t>
    <rPh sb="0" eb="2">
      <t>ゲンテン</t>
    </rPh>
    <phoneticPr fontId="3"/>
  </si>
  <si>
    <t>X目盛線</t>
    <rPh sb="1" eb="3">
      <t>メモ</t>
    </rPh>
    <rPh sb="3" eb="4">
      <t>セン</t>
    </rPh>
    <phoneticPr fontId="3"/>
  </si>
  <si>
    <t>Y目盛線</t>
    <rPh sb="1" eb="3">
      <t>メモ</t>
    </rPh>
    <rPh sb="3" eb="4">
      <t>セン</t>
    </rPh>
    <phoneticPr fontId="3"/>
  </si>
  <si>
    <t>施策後の総排出量=</t>
    <rPh sb="0" eb="2">
      <t>シサク</t>
    </rPh>
    <rPh sb="2" eb="3">
      <t>アト</t>
    </rPh>
    <rPh sb="4" eb="5">
      <t>ソウ</t>
    </rPh>
    <rPh sb="5" eb="7">
      <t>ハイシュツ</t>
    </rPh>
    <rPh sb="7" eb="8">
      <t>リョウ</t>
    </rPh>
    <phoneticPr fontId="3"/>
  </si>
  <si>
    <r>
      <t>BEE</t>
    </r>
    <r>
      <rPr>
        <sz val="11"/>
        <rFont val="ＭＳ Ｐゴシック"/>
        <family val="3"/>
        <charset val="128"/>
      </rPr>
      <t>の分母側</t>
    </r>
    <r>
      <rPr>
        <sz val="11"/>
        <rFont val="Arial"/>
        <family val="2"/>
      </rPr>
      <t>(L)</t>
    </r>
    <rPh sb="4" eb="6">
      <t>ブンボ</t>
    </rPh>
    <rPh sb="6" eb="7">
      <t>ガワ</t>
    </rPh>
    <phoneticPr fontId="3"/>
  </si>
  <si>
    <r>
      <t>BEE</t>
    </r>
    <r>
      <rPr>
        <sz val="11"/>
        <rFont val="ＭＳ Ｐゴシック"/>
        <family val="3"/>
        <charset val="128"/>
      </rPr>
      <t>の分子側</t>
    </r>
    <r>
      <rPr>
        <sz val="11"/>
        <rFont val="Arial"/>
        <family val="2"/>
      </rPr>
      <t>(Q)</t>
    </r>
    <rPh sb="4" eb="6">
      <t>ブンシ</t>
    </rPh>
    <rPh sb="6" eb="7">
      <t>ガワ</t>
    </rPh>
    <phoneticPr fontId="3"/>
  </si>
  <si>
    <t>X</t>
    <phoneticPr fontId="3"/>
  </si>
  <si>
    <t>S</t>
    <phoneticPr fontId="3"/>
  </si>
  <si>
    <t>A</t>
    <phoneticPr fontId="3"/>
  </si>
  <si>
    <r>
      <t>2-4</t>
    </r>
    <r>
      <rPr>
        <b/>
        <sz val="12"/>
        <color indexed="9"/>
        <rFont val="ＭＳ Ｐゴシック"/>
        <family val="3"/>
        <charset val="128"/>
      </rPr>
      <t>　中項目の評価（ﾊﾞｰﾁｬｰﾄ）</t>
    </r>
    <phoneticPr fontId="3"/>
  </si>
  <si>
    <t>B+</t>
    <phoneticPr fontId="3"/>
  </si>
  <si>
    <r>
      <t>Q</t>
    </r>
    <r>
      <rPr>
        <b/>
        <sz val="11"/>
        <color indexed="26"/>
        <rFont val="ＭＳ Ｐゴシック"/>
        <family val="3"/>
        <charset val="128"/>
      </rPr>
      <t>　街区の環境品質</t>
    </r>
    <rPh sb="2" eb="4">
      <t>ガイク</t>
    </rPh>
    <rPh sb="5" eb="7">
      <t>カンキョウ</t>
    </rPh>
    <rPh sb="7" eb="9">
      <t>ヒンシツ</t>
    </rPh>
    <phoneticPr fontId="3"/>
  </si>
  <si>
    <r>
      <t>Q</t>
    </r>
    <r>
      <rPr>
        <b/>
        <i/>
        <sz val="14"/>
        <color indexed="26"/>
        <rFont val="ＭＳ Ｐゴシック"/>
        <family val="3"/>
        <charset val="128"/>
      </rPr>
      <t>のスコア</t>
    </r>
    <r>
      <rPr>
        <b/>
        <i/>
        <sz val="14"/>
        <color indexed="26"/>
        <rFont val="Arial"/>
        <family val="2"/>
      </rPr>
      <t>=</t>
    </r>
    <phoneticPr fontId="3"/>
  </si>
  <si>
    <t>B</t>
    <phoneticPr fontId="3"/>
  </si>
  <si>
    <r>
      <rPr>
        <b/>
        <sz val="11"/>
        <rFont val="ＭＳ Ｐゴシック"/>
        <family val="3"/>
        <charset val="128"/>
      </rPr>
      <t>　</t>
    </r>
    <r>
      <rPr>
        <b/>
        <sz val="11"/>
        <rFont val="Arial"/>
        <family val="2"/>
      </rPr>
      <t xml:space="preserve">Q1 </t>
    </r>
    <r>
      <rPr>
        <b/>
        <sz val="11"/>
        <rFont val="ＭＳ Ｐゴシック"/>
        <family val="3"/>
        <charset val="128"/>
      </rPr>
      <t>環境</t>
    </r>
    <phoneticPr fontId="3"/>
  </si>
  <si>
    <r>
      <t xml:space="preserve">      </t>
    </r>
    <r>
      <rPr>
        <b/>
        <sz val="11"/>
        <rFont val="ＭＳ Ｐゴシック"/>
        <family val="3"/>
        <charset val="128"/>
      </rPr>
      <t>　</t>
    </r>
    <r>
      <rPr>
        <b/>
        <sz val="11"/>
        <rFont val="Arial"/>
        <family val="2"/>
      </rPr>
      <t xml:space="preserve">Q2 </t>
    </r>
    <r>
      <rPr>
        <b/>
        <sz val="11"/>
        <rFont val="ＭＳ Ｐゴシック"/>
        <family val="3"/>
        <charset val="128"/>
      </rPr>
      <t>社会</t>
    </r>
    <rPh sb="10" eb="12">
      <t>シャカイ</t>
    </rPh>
    <phoneticPr fontId="3"/>
  </si>
  <si>
    <r>
      <rPr>
        <b/>
        <sz val="11"/>
        <rFont val="ＭＳ Ｐゴシック"/>
        <family val="3"/>
        <charset val="128"/>
      </rPr>
      <t>　　</t>
    </r>
    <r>
      <rPr>
        <b/>
        <sz val="11"/>
        <rFont val="Arial"/>
        <family val="2"/>
      </rPr>
      <t xml:space="preserve">Q3 </t>
    </r>
    <r>
      <rPr>
        <b/>
        <sz val="11"/>
        <rFont val="ＭＳ Ｐゴシック"/>
        <family val="3"/>
        <charset val="128"/>
      </rPr>
      <t>経済</t>
    </r>
    <rPh sb="5" eb="7">
      <t>ケイザイ</t>
    </rPh>
    <phoneticPr fontId="3"/>
  </si>
  <si>
    <t>B-</t>
    <phoneticPr fontId="3"/>
  </si>
  <si>
    <t>Score(RoundDown)</t>
    <phoneticPr fontId="3"/>
  </si>
  <si>
    <t>Label(N.A.)</t>
    <phoneticPr fontId="3"/>
  </si>
  <si>
    <r>
      <rPr>
        <sz val="11"/>
        <rFont val="Arial"/>
        <family val="2"/>
      </rPr>
      <t>Q2</t>
    </r>
    <r>
      <rPr>
        <sz val="11"/>
        <rFont val="ＭＳ Ｐゴシック"/>
        <family val="3"/>
        <charset val="128"/>
      </rPr>
      <t xml:space="preserve"> 社会</t>
    </r>
    <rPh sb="3" eb="5">
      <t>シャカイ</t>
    </rPh>
    <phoneticPr fontId="3"/>
  </si>
  <si>
    <r>
      <t xml:space="preserve">L1 </t>
    </r>
    <r>
      <rPr>
        <sz val="11"/>
        <rFont val="ＭＳ Ｐゴシック"/>
        <family val="3"/>
        <charset val="128"/>
      </rPr>
      <t>交通分野</t>
    </r>
    <rPh sb="3" eb="5">
      <t>コウツウ</t>
    </rPh>
    <rPh sb="5" eb="7">
      <t>ブンヤ</t>
    </rPh>
    <phoneticPr fontId="3"/>
  </si>
  <si>
    <r>
      <t xml:space="preserve">L2 </t>
    </r>
    <r>
      <rPr>
        <sz val="11"/>
        <rFont val="ＭＳ Ｐゴシック"/>
        <family val="3"/>
        <charset val="128"/>
      </rPr>
      <t>建築分野</t>
    </r>
    <rPh sb="3" eb="5">
      <t>ケンチク</t>
    </rPh>
    <rPh sb="5" eb="7">
      <t>ブンヤ</t>
    </rPh>
    <phoneticPr fontId="3"/>
  </si>
  <si>
    <r>
      <t xml:space="preserve">L3 </t>
    </r>
    <r>
      <rPr>
        <sz val="11"/>
        <rFont val="ＭＳ Ｐゴシック"/>
        <family val="3"/>
        <charset val="128"/>
      </rPr>
      <t>みどり分野</t>
    </r>
    <rPh sb="6" eb="8">
      <t>ブンヤ</t>
    </rPh>
    <phoneticPr fontId="3"/>
  </si>
  <si>
    <r>
      <t>L</t>
    </r>
    <r>
      <rPr>
        <b/>
        <sz val="11"/>
        <color indexed="42"/>
        <rFont val="ＭＳ Ｐゴシック"/>
        <family val="3"/>
        <charset val="128"/>
      </rPr>
      <t>　街区の環境負荷（</t>
    </r>
    <r>
      <rPr>
        <b/>
        <sz val="11"/>
        <color indexed="42"/>
        <rFont val="Arial"/>
        <family val="2"/>
      </rPr>
      <t>CO2</t>
    </r>
    <r>
      <rPr>
        <b/>
        <sz val="11"/>
        <color indexed="42"/>
        <rFont val="ＭＳ Ｐゴシック"/>
        <family val="3"/>
        <charset val="128"/>
      </rPr>
      <t>排出量の内訳）</t>
    </r>
    <rPh sb="2" eb="4">
      <t>ガイク</t>
    </rPh>
    <rPh sb="13" eb="15">
      <t>ハイシュツ</t>
    </rPh>
    <rPh sb="15" eb="16">
      <t>リョウ</t>
    </rPh>
    <rPh sb="17" eb="19">
      <t>ウチワケ</t>
    </rPh>
    <phoneticPr fontId="3"/>
  </si>
  <si>
    <r>
      <t>LR</t>
    </r>
    <r>
      <rPr>
        <b/>
        <i/>
        <sz val="14"/>
        <color indexed="42"/>
        <rFont val="ＭＳ Ｐゴシック"/>
        <family val="3"/>
        <charset val="128"/>
      </rPr>
      <t>のスコア</t>
    </r>
    <r>
      <rPr>
        <b/>
        <i/>
        <sz val="14"/>
        <color indexed="42"/>
        <rFont val="Arial"/>
        <family val="2"/>
      </rPr>
      <t>=</t>
    </r>
    <phoneticPr fontId="3"/>
  </si>
  <si>
    <t>BAU</t>
    <phoneticPr fontId="3"/>
  </si>
  <si>
    <r>
      <rPr>
        <b/>
        <sz val="11"/>
        <rFont val="ＭＳ Ｐゴシック"/>
        <family val="3"/>
        <charset val="128"/>
      </rPr>
      <t>　</t>
    </r>
    <r>
      <rPr>
        <b/>
        <sz val="11"/>
        <rFont val="Arial"/>
        <family val="2"/>
      </rPr>
      <t xml:space="preserve">L1 </t>
    </r>
    <r>
      <rPr>
        <b/>
        <sz val="11"/>
        <rFont val="ＭＳ Ｐゴシック"/>
        <family val="3"/>
        <charset val="128"/>
      </rPr>
      <t>交通分野</t>
    </r>
    <rPh sb="4" eb="6">
      <t>コウツウ</t>
    </rPh>
    <rPh sb="6" eb="8">
      <t>ブンヤ</t>
    </rPh>
    <phoneticPr fontId="3"/>
  </si>
  <si>
    <r>
      <t xml:space="preserve">      </t>
    </r>
    <r>
      <rPr>
        <b/>
        <sz val="11"/>
        <rFont val="ＭＳ Ｐゴシック"/>
        <family val="3"/>
        <charset val="128"/>
      </rPr>
      <t>　</t>
    </r>
    <r>
      <rPr>
        <b/>
        <sz val="11"/>
        <rFont val="Arial"/>
        <family val="2"/>
      </rPr>
      <t xml:space="preserve">L2 </t>
    </r>
    <r>
      <rPr>
        <b/>
        <sz val="11"/>
        <rFont val="ＭＳ Ｐゴシック"/>
        <family val="3"/>
        <charset val="128"/>
      </rPr>
      <t>建築（家庭・業務）分野</t>
    </r>
    <rPh sb="13" eb="15">
      <t>カテイ</t>
    </rPh>
    <rPh sb="16" eb="18">
      <t>ギョウム</t>
    </rPh>
    <rPh sb="19" eb="21">
      <t>ブンヤ</t>
    </rPh>
    <phoneticPr fontId="3"/>
  </si>
  <si>
    <r>
      <rPr>
        <b/>
        <sz val="11"/>
        <rFont val="ＭＳ Ｐゴシック"/>
        <family val="3"/>
        <charset val="128"/>
      </rPr>
      <t>　　</t>
    </r>
    <r>
      <rPr>
        <b/>
        <sz val="11"/>
        <rFont val="Arial"/>
        <family val="2"/>
      </rPr>
      <t xml:space="preserve">L3 </t>
    </r>
    <r>
      <rPr>
        <b/>
        <sz val="11"/>
        <rFont val="ＭＳ Ｐゴシック"/>
        <family val="3"/>
        <charset val="128"/>
      </rPr>
      <t>みどり分野</t>
    </r>
    <rPh sb="8" eb="10">
      <t>ブンヤ</t>
    </rPh>
    <phoneticPr fontId="3"/>
  </si>
  <si>
    <t>施策後</t>
    <rPh sb="0" eb="2">
      <t>シサク</t>
    </rPh>
    <rPh sb="2" eb="3">
      <t>アト</t>
    </rPh>
    <phoneticPr fontId="3"/>
  </si>
  <si>
    <t>交通</t>
    <rPh sb="0" eb="2">
      <t>コウツウ</t>
    </rPh>
    <phoneticPr fontId="3"/>
  </si>
  <si>
    <t>建築</t>
    <phoneticPr fontId="3"/>
  </si>
  <si>
    <t>みどり</t>
    <phoneticPr fontId="3"/>
  </si>
  <si>
    <t>合計</t>
    <rPh sb="0" eb="2">
      <t>ゴウケイ</t>
    </rPh>
    <phoneticPr fontId="3"/>
  </si>
  <si>
    <t>t-CO2/人・年</t>
    <rPh sb="6" eb="7">
      <t>ヒト</t>
    </rPh>
    <rPh sb="8" eb="9">
      <t>ネン</t>
    </rPh>
    <phoneticPr fontId="3"/>
  </si>
  <si>
    <t>総排出量</t>
    <rPh sb="0" eb="1">
      <t>ソウ</t>
    </rPh>
    <rPh sb="1" eb="3">
      <t>ハイシュツ</t>
    </rPh>
    <rPh sb="3" eb="4">
      <t>リョウ</t>
    </rPh>
    <phoneticPr fontId="3"/>
  </si>
  <si>
    <t>←横棒グラフでBAUを上にするために敢えて上下入れ替え</t>
    <rPh sb="1" eb="2">
      <t>ヨコ</t>
    </rPh>
    <rPh sb="2" eb="3">
      <t>ボウ</t>
    </rPh>
    <rPh sb="11" eb="12">
      <t>ウエ</t>
    </rPh>
    <rPh sb="18" eb="19">
      <t>ア</t>
    </rPh>
    <rPh sb="21" eb="23">
      <t>ジョウゲ</t>
    </rPh>
    <rPh sb="23" eb="24">
      <t>イ</t>
    </rPh>
    <rPh sb="25" eb="26">
      <t>カ</t>
    </rPh>
    <phoneticPr fontId="3"/>
  </si>
  <si>
    <r>
      <t>3</t>
    </r>
    <r>
      <rPr>
        <b/>
        <sz val="12"/>
        <color indexed="9"/>
        <rFont val="ＭＳ Ｐゴシック"/>
        <family val="3"/>
        <charset val="128"/>
      </rPr>
      <t>　計画上の配慮事項</t>
    </r>
    <rPh sb="2" eb="4">
      <t>ケイカク</t>
    </rPh>
    <rPh sb="4" eb="5">
      <t>ジョウ</t>
    </rPh>
    <rPh sb="6" eb="8">
      <t>ハイリョ</t>
    </rPh>
    <rPh sb="8" eb="10">
      <t>ジコウ</t>
    </rPh>
    <phoneticPr fontId="3"/>
  </si>
  <si>
    <r>
      <t xml:space="preserve">Q1 </t>
    </r>
    <r>
      <rPr>
        <b/>
        <sz val="11"/>
        <color indexed="9"/>
        <rFont val="ＭＳ Ｐゴシック"/>
        <family val="3"/>
        <charset val="128"/>
      </rPr>
      <t>環境</t>
    </r>
    <phoneticPr fontId="3"/>
  </si>
  <si>
    <r>
      <t xml:space="preserve">Q2 </t>
    </r>
    <r>
      <rPr>
        <b/>
        <sz val="11"/>
        <color indexed="9"/>
        <rFont val="ＭＳ Ｐゴシック"/>
        <family val="3"/>
        <charset val="128"/>
      </rPr>
      <t>社会</t>
    </r>
    <rPh sb="3" eb="5">
      <t>シャカイ</t>
    </rPh>
    <phoneticPr fontId="3"/>
  </si>
  <si>
    <r>
      <t xml:space="preserve">Q3 </t>
    </r>
    <r>
      <rPr>
        <b/>
        <sz val="11"/>
        <color indexed="9"/>
        <rFont val="ＭＳ Ｐゴシック"/>
        <family val="3"/>
        <charset val="128"/>
      </rPr>
      <t>経済</t>
    </r>
    <rPh sb="3" eb="5">
      <t>ケイザイ</t>
    </rPh>
    <phoneticPr fontId="3"/>
  </si>
  <si>
    <r>
      <t xml:space="preserve">L1 </t>
    </r>
    <r>
      <rPr>
        <b/>
        <sz val="11"/>
        <color indexed="9"/>
        <rFont val="ＭＳ Ｐゴシック"/>
        <family val="3"/>
        <charset val="128"/>
      </rPr>
      <t>交通分野</t>
    </r>
    <rPh sb="3" eb="5">
      <t>コウツウ</t>
    </rPh>
    <rPh sb="5" eb="7">
      <t>ブンヤ</t>
    </rPh>
    <phoneticPr fontId="3"/>
  </si>
  <si>
    <r>
      <t xml:space="preserve">L2 </t>
    </r>
    <r>
      <rPr>
        <b/>
        <sz val="11"/>
        <color indexed="9"/>
        <rFont val="ＭＳ Ｐゴシック"/>
        <family val="3"/>
        <charset val="128"/>
      </rPr>
      <t>建築（家庭・業務）分野</t>
    </r>
    <rPh sb="3" eb="5">
      <t>ケンチク</t>
    </rPh>
    <rPh sb="6" eb="8">
      <t>カテイ</t>
    </rPh>
    <rPh sb="9" eb="11">
      <t>ギョウム</t>
    </rPh>
    <rPh sb="12" eb="14">
      <t>ブンヤ</t>
    </rPh>
    <phoneticPr fontId="3"/>
  </si>
  <si>
    <r>
      <t xml:space="preserve">L3 </t>
    </r>
    <r>
      <rPr>
        <b/>
        <sz val="11"/>
        <color indexed="9"/>
        <rFont val="ＭＳ Ｐゴシック"/>
        <family val="3"/>
        <charset val="128"/>
      </rPr>
      <t>みどり分野</t>
    </r>
    <rPh sb="6" eb="8">
      <t>ブンヤ</t>
    </rPh>
    <phoneticPr fontId="3"/>
  </si>
  <si>
    <r>
      <t>4</t>
    </r>
    <r>
      <rPr>
        <b/>
        <sz val="12"/>
        <color indexed="9"/>
        <rFont val="ＭＳ Ｐゴシック"/>
        <family val="3"/>
        <charset val="128"/>
      </rPr>
      <t>　上位計画との整合性</t>
    </r>
    <rPh sb="2" eb="4">
      <t>ジョウイ</t>
    </rPh>
    <rPh sb="4" eb="6">
      <t>ケイカク</t>
    </rPh>
    <rPh sb="8" eb="11">
      <t>セイゴウセイ</t>
    </rPh>
    <phoneticPr fontId="3"/>
  </si>
  <si>
    <t>上位計画等</t>
    <rPh sb="0" eb="2">
      <t>ジョウイ</t>
    </rPh>
    <rPh sb="2" eb="5">
      <t>ケイカクトウ</t>
    </rPh>
    <phoneticPr fontId="3"/>
  </si>
  <si>
    <t>background</t>
    <phoneticPr fontId="3"/>
  </si>
  <si>
    <t>std</t>
    <phoneticPr fontId="3"/>
  </si>
  <si>
    <t>SLR</t>
    <phoneticPr fontId="3"/>
  </si>
  <si>
    <t>LR3</t>
    <phoneticPr fontId="3"/>
  </si>
  <si>
    <t>LR2</t>
    <phoneticPr fontId="3"/>
  </si>
  <si>
    <t>LR1</t>
    <phoneticPr fontId="3"/>
  </si>
  <si>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3"/>
  </si>
  <si>
    <r>
      <t>2-3</t>
    </r>
    <r>
      <rPr>
        <b/>
        <sz val="12"/>
        <color indexed="9"/>
        <rFont val="ＭＳ Ｐゴシック"/>
        <family val="3"/>
        <charset val="128"/>
      </rPr>
      <t>　大項目の評価（ﾚｰﾀﾞｰﾁｬｰﾄ）</t>
    </r>
    <rPh sb="4" eb="7">
      <t>ダイコウモク</t>
    </rPh>
    <rPh sb="8" eb="10">
      <t>ヒョウカ</t>
    </rPh>
    <phoneticPr fontId="3"/>
  </si>
  <si>
    <r>
      <t>BEE</t>
    </r>
    <r>
      <rPr>
        <sz val="11"/>
        <rFont val="ＭＳ Ｐゴシック"/>
        <family val="3"/>
        <charset val="128"/>
      </rPr>
      <t>グラフ</t>
    </r>
    <phoneticPr fontId="3"/>
  </si>
  <si>
    <t>SDGsRank</t>
  </si>
  <si>
    <t>SDGsRank(Ring)</t>
  </si>
  <si>
    <t>(BlankRing)</t>
  </si>
  <si>
    <t>スコア</t>
    <phoneticPr fontId="3"/>
  </si>
  <si>
    <t>ゴール3</t>
    <phoneticPr fontId="3"/>
  </si>
  <si>
    <t>ゴール4</t>
  </si>
  <si>
    <t>ゴール5</t>
  </si>
  <si>
    <t>ゴール6</t>
  </si>
  <si>
    <t>ゴール7</t>
  </si>
  <si>
    <t>ゴール8</t>
  </si>
  <si>
    <t>Rank(green star)</t>
    <phoneticPr fontId="3"/>
  </si>
  <si>
    <t>標準計算</t>
    <rPh sb="0" eb="2">
      <t>ヒョウジュン</t>
    </rPh>
    <rPh sb="2" eb="4">
      <t>ケイサン</t>
    </rPh>
    <phoneticPr fontId="3"/>
  </si>
  <si>
    <t xml:space="preserve"> ④上記+
　オフサイト手法</t>
    <phoneticPr fontId="3"/>
  </si>
  <si>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3"/>
  </si>
  <si>
    <t>ゴール9</t>
  </si>
  <si>
    <t>※個別計算</t>
    <rPh sb="1" eb="3">
      <t>コベツ</t>
    </rPh>
    <rPh sb="3" eb="5">
      <t>ケイサン</t>
    </rPh>
    <phoneticPr fontId="3"/>
  </si>
  <si>
    <t>個別計算</t>
    <rPh sb="0" eb="2">
      <t>コベツ</t>
    </rPh>
    <rPh sb="2" eb="4">
      <t>ケイサン</t>
    </rPh>
    <phoneticPr fontId="3"/>
  </si>
  <si>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3"/>
  </si>
  <si>
    <t>ゴール11</t>
  </si>
  <si>
    <t>ゴール12</t>
  </si>
  <si>
    <r>
      <t>* SDG1,2,10,14,16</t>
    </r>
    <r>
      <rPr>
        <sz val="8"/>
        <rFont val="ＭＳ Ｐゴシック"/>
        <family val="3"/>
        <charset val="128"/>
        <scheme val="minor"/>
      </rPr>
      <t>は他のゴールに集約されています</t>
    </r>
    <phoneticPr fontId="3"/>
  </si>
  <si>
    <t>LCCO2(kg-CO2/ym2)</t>
    <phoneticPr fontId="3"/>
  </si>
  <si>
    <t>建設</t>
    <rPh sb="0" eb="2">
      <t>ケンセツ</t>
    </rPh>
    <phoneticPr fontId="3"/>
  </si>
  <si>
    <t>修繕・更新・解体</t>
    <rPh sb="0" eb="2">
      <t>シュウゼン</t>
    </rPh>
    <rPh sb="3" eb="5">
      <t>コウシン</t>
    </rPh>
    <rPh sb="6" eb="8">
      <t>カイタイ</t>
    </rPh>
    <phoneticPr fontId="3"/>
  </si>
  <si>
    <t>運用</t>
    <rPh sb="0" eb="2">
      <t>ウンヨウ</t>
    </rPh>
    <phoneticPr fontId="3"/>
  </si>
  <si>
    <t>オンサイト</t>
    <phoneticPr fontId="3"/>
  </si>
  <si>
    <t>オフサイト</t>
    <phoneticPr fontId="3"/>
  </si>
  <si>
    <t>％</t>
    <phoneticPr fontId="3"/>
  </si>
  <si>
    <t>Sum</t>
    <phoneticPr fontId="3"/>
  </si>
  <si>
    <t>ゴール13</t>
  </si>
  <si>
    <r>
      <t>2-4</t>
    </r>
    <r>
      <rPr>
        <b/>
        <sz val="12"/>
        <color indexed="9"/>
        <rFont val="ＭＳ Ｐゴシック"/>
        <family val="3"/>
        <charset val="128"/>
      </rPr>
      <t>　中項目の評価（バーチャート）</t>
    </r>
    <phoneticPr fontId="3"/>
  </si>
  <si>
    <t>Ref</t>
    <phoneticPr fontId="3"/>
  </si>
  <si>
    <t>ゴール15</t>
  </si>
  <si>
    <r>
      <t>Q</t>
    </r>
    <r>
      <rPr>
        <b/>
        <sz val="9"/>
        <color rgb="FFFFFFCC"/>
        <rFont val="Arial"/>
        <family val="2"/>
      </rPr>
      <t>UD</t>
    </r>
    <r>
      <rPr>
        <b/>
        <sz val="11"/>
        <color indexed="26"/>
        <rFont val="Arial"/>
        <family val="2"/>
      </rPr>
      <t xml:space="preserve"> </t>
    </r>
    <r>
      <rPr>
        <b/>
        <sz val="11"/>
        <color indexed="26"/>
        <rFont val="ＭＳ Ｐゴシック"/>
        <family val="3"/>
        <charset val="128"/>
      </rPr>
      <t>環境品質</t>
    </r>
    <rPh sb="4" eb="6">
      <t>カンキョウ</t>
    </rPh>
    <rPh sb="6" eb="8">
      <t>ヒンシツ</t>
    </rPh>
    <phoneticPr fontId="3"/>
  </si>
  <si>
    <r>
      <t>Q</t>
    </r>
    <r>
      <rPr>
        <b/>
        <i/>
        <sz val="11"/>
        <color rgb="FFFFFFFF"/>
        <rFont val="Arial"/>
        <family val="2"/>
      </rPr>
      <t>UD</t>
    </r>
    <r>
      <rPr>
        <b/>
        <i/>
        <sz val="14"/>
        <color indexed="9"/>
        <rFont val="ＭＳ Ｐゴシック"/>
        <family val="3"/>
        <charset val="128"/>
      </rPr>
      <t>のスコア</t>
    </r>
    <r>
      <rPr>
        <b/>
        <i/>
        <sz val="14"/>
        <color indexed="9"/>
        <rFont val="Arial"/>
        <family val="2"/>
      </rPr>
      <t>=</t>
    </r>
    <phoneticPr fontId="3"/>
  </si>
  <si>
    <t>マネジメント・スマート性能</t>
    <rPh sb="11" eb="13">
      <t>セイノウ</t>
    </rPh>
    <phoneticPr fontId="3"/>
  </si>
  <si>
    <t>Subjest1</t>
    <phoneticPr fontId="3"/>
  </si>
  <si>
    <t>N.A.</t>
  </si>
  <si>
    <t>ゴール17</t>
    <phoneticPr fontId="3"/>
  </si>
  <si>
    <t>Subjest2</t>
    <phoneticPr fontId="3"/>
  </si>
  <si>
    <t>Subjest3</t>
    <phoneticPr fontId="3"/>
  </si>
  <si>
    <t>Score</t>
    <phoneticPr fontId="3"/>
  </si>
  <si>
    <t>Score(Round)</t>
    <phoneticPr fontId="3"/>
  </si>
  <si>
    <t>NA</t>
    <phoneticPr fontId="3"/>
  </si>
  <si>
    <t>自然環境</t>
    <phoneticPr fontId="3"/>
  </si>
  <si>
    <t>ガバナンス</t>
    <phoneticPr fontId="3"/>
  </si>
  <si>
    <t>経済基盤</t>
    <phoneticPr fontId="3"/>
  </si>
  <si>
    <t>生活環境</t>
    <phoneticPr fontId="3"/>
  </si>
  <si>
    <t>生活利便</t>
    <phoneticPr fontId="3"/>
  </si>
  <si>
    <t>ヒューマン
キャピタル</t>
    <phoneticPr fontId="3"/>
  </si>
  <si>
    <t>建築物
環境配慮</t>
    <phoneticPr fontId="3"/>
  </si>
  <si>
    <t>健康福祉</t>
    <phoneticPr fontId="3"/>
  </si>
  <si>
    <t>活性化方策</t>
    <phoneticPr fontId="3"/>
  </si>
  <si>
    <r>
      <t>LR</t>
    </r>
    <r>
      <rPr>
        <b/>
        <sz val="9"/>
        <color rgb="FFCCFFCC"/>
        <rFont val="Arial"/>
        <family val="2"/>
      </rPr>
      <t>UD</t>
    </r>
    <r>
      <rPr>
        <b/>
        <sz val="11"/>
        <color indexed="42"/>
        <rFont val="Arial"/>
        <family val="2"/>
      </rPr>
      <t xml:space="preserve"> </t>
    </r>
    <r>
      <rPr>
        <b/>
        <sz val="11"/>
        <color indexed="42"/>
        <rFont val="ＭＳ Ｐゴシック"/>
        <family val="3"/>
        <charset val="128"/>
      </rPr>
      <t>環境負荷低減性</t>
    </r>
    <phoneticPr fontId="3"/>
  </si>
  <si>
    <r>
      <t>LR</t>
    </r>
    <r>
      <rPr>
        <b/>
        <i/>
        <sz val="11"/>
        <color rgb="FFFFFFFF"/>
        <rFont val="Arial"/>
        <family val="2"/>
      </rPr>
      <t>UD</t>
    </r>
    <r>
      <rPr>
        <b/>
        <i/>
        <sz val="14"/>
        <color indexed="9"/>
        <rFont val="ＭＳ Ｐゴシック"/>
        <family val="3"/>
        <charset val="128"/>
      </rPr>
      <t>のスコア</t>
    </r>
    <r>
      <rPr>
        <b/>
        <i/>
        <sz val="14"/>
        <color indexed="9"/>
        <rFont val="Arial"/>
        <family val="2"/>
      </rPr>
      <t>=</t>
    </r>
    <phoneticPr fontId="3"/>
  </si>
  <si>
    <t>環境性能
スマート化</t>
    <rPh sb="0" eb="2">
      <t>カンキョウ</t>
    </rPh>
    <rPh sb="2" eb="4">
      <t>セイノウ</t>
    </rPh>
    <rPh sb="9" eb="10">
      <t>カ</t>
    </rPh>
    <phoneticPr fontId="3"/>
  </si>
  <si>
    <t>安全安心</t>
    <phoneticPr fontId="3"/>
  </si>
  <si>
    <t>経済性能
スマート化</t>
    <phoneticPr fontId="3"/>
  </si>
  <si>
    <t>包摂性</t>
    <phoneticPr fontId="3"/>
  </si>
  <si>
    <t>社会性能
スマート化</t>
    <phoneticPr fontId="3"/>
  </si>
  <si>
    <t>エネルギー
効率化</t>
    <phoneticPr fontId="3"/>
  </si>
  <si>
    <t>土地資源</t>
    <phoneticPr fontId="3"/>
  </si>
  <si>
    <t>地球温暖化
負荷の削減</t>
    <phoneticPr fontId="3"/>
  </si>
  <si>
    <t>再生
エネルギー</t>
    <phoneticPr fontId="3"/>
  </si>
  <si>
    <t>水資源</t>
    <phoneticPr fontId="3"/>
  </si>
  <si>
    <t>交通負荷
の削減</t>
    <phoneticPr fontId="3"/>
  </si>
  <si>
    <t>未利用
エネルギー</t>
    <phoneticPr fontId="3"/>
  </si>
  <si>
    <t>資源循環</t>
    <phoneticPr fontId="3"/>
  </si>
  <si>
    <t>環境阻害
の削減</t>
    <phoneticPr fontId="3"/>
  </si>
  <si>
    <t>エネルギー
マネジメント</t>
    <phoneticPr fontId="3"/>
  </si>
  <si>
    <t>■CASBEE: Comprehensive Assessment System for Built Environment Efficiency （建築環境総合性能評価システム）</t>
    <phoneticPr fontId="3"/>
  </si>
  <si>
    <t>■Q: Quality （街区の環境品質）、L: Load （街区の環境負荷）、 BEE: Built Environment Efficiency  （街区の環境効率）</t>
    <phoneticPr fontId="3"/>
  </si>
  <si>
    <r>
      <rPr>
        <b/>
        <sz val="9"/>
        <rFont val="ＭＳ Ｐゴシック"/>
        <family val="3"/>
        <charset val="128"/>
      </rPr>
      <t>■評価ソフト：</t>
    </r>
    <rPh sb="1" eb="3">
      <t>ヒョウカ</t>
    </rPh>
    <phoneticPr fontId="3"/>
  </si>
  <si>
    <t>重み係数_既定</t>
    <rPh sb="0" eb="1">
      <t>オモ</t>
    </rPh>
    <rPh sb="2" eb="4">
      <t>ケイスウ</t>
    </rPh>
    <rPh sb="5" eb="7">
      <t>キテイ</t>
    </rPh>
    <phoneticPr fontId="3"/>
  </si>
  <si>
    <t>重み係数_対象項目</t>
    <rPh sb="0" eb="1">
      <t>オモ</t>
    </rPh>
    <rPh sb="2" eb="4">
      <t>ケイスウ</t>
    </rPh>
    <rPh sb="5" eb="7">
      <t>タイショウ</t>
    </rPh>
    <rPh sb="7" eb="9">
      <t>コウモク</t>
    </rPh>
    <phoneticPr fontId="3"/>
  </si>
  <si>
    <t>重み係数_配分後</t>
    <rPh sb="0" eb="1">
      <t>オモ</t>
    </rPh>
    <rPh sb="2" eb="4">
      <t>ケイスウ</t>
    </rPh>
    <rPh sb="5" eb="7">
      <t>ハイブン</t>
    </rPh>
    <rPh sb="7" eb="8">
      <t>ゴ</t>
    </rPh>
    <phoneticPr fontId="3"/>
  </si>
  <si>
    <t>集計結果</t>
    <rPh sb="0" eb="2">
      <t>シュウケイ</t>
    </rPh>
    <rPh sb="2" eb="4">
      <t>ケッカ</t>
    </rPh>
    <phoneticPr fontId="3"/>
  </si>
  <si>
    <t>重み係数_確認</t>
    <rPh sb="0" eb="1">
      <t>オモ</t>
    </rPh>
    <rPh sb="2" eb="4">
      <t>ケイスウ</t>
    </rPh>
    <rPh sb="5" eb="7">
      <t>カクニン</t>
    </rPh>
    <phoneticPr fontId="3"/>
  </si>
  <si>
    <t>スコアシート</t>
    <phoneticPr fontId="18" type="noConversion"/>
  </si>
  <si>
    <t>大項目</t>
    <rPh sb="0" eb="3">
      <t>ダイコウモク</t>
    </rPh>
    <phoneticPr fontId="131"/>
  </si>
  <si>
    <t>中項目</t>
    <rPh sb="0" eb="1">
      <t>チュウ</t>
    </rPh>
    <rPh sb="1" eb="3">
      <t>コウモク</t>
    </rPh>
    <phoneticPr fontId="131"/>
  </si>
  <si>
    <t>小項目</t>
    <rPh sb="0" eb="3">
      <t>ショウコウモク</t>
    </rPh>
    <phoneticPr fontId="131"/>
  </si>
  <si>
    <t>細項目</t>
    <rPh sb="0" eb="1">
      <t>コマ</t>
    </rPh>
    <rPh sb="1" eb="3">
      <t>コウモク</t>
    </rPh>
    <phoneticPr fontId="131"/>
  </si>
  <si>
    <t>細細目</t>
    <rPh sb="0" eb="3">
      <t>サイサイモク</t>
    </rPh>
    <phoneticPr fontId="3"/>
  </si>
  <si>
    <t>配慮項目</t>
    <phoneticPr fontId="3"/>
  </si>
  <si>
    <t>環境配慮計画の概要記入欄</t>
    <rPh sb="4" eb="6">
      <t>ケイカク</t>
    </rPh>
    <phoneticPr fontId="3"/>
  </si>
  <si>
    <t>評価点</t>
    <rPh sb="0" eb="3">
      <t>ヒョウカテン</t>
    </rPh>
    <phoneticPr fontId="3"/>
  </si>
  <si>
    <t>重み
係数</t>
    <rPh sb="0" eb="1">
      <t>オモ</t>
    </rPh>
    <phoneticPr fontId="3"/>
  </si>
  <si>
    <t>全体</t>
    <phoneticPr fontId="3"/>
  </si>
  <si>
    <t>採点結果</t>
    <rPh sb="0" eb="2">
      <t>サイテン</t>
    </rPh>
    <rPh sb="2" eb="4">
      <t>ケッカ</t>
    </rPh>
    <phoneticPr fontId="3"/>
  </si>
  <si>
    <t>1</t>
    <phoneticPr fontId="3"/>
  </si>
  <si>
    <t>エリアマネジメント</t>
    <phoneticPr fontId="3"/>
  </si>
  <si>
    <t>2</t>
    <phoneticPr fontId="3"/>
  </si>
  <si>
    <t>エネルギーマネジメント</t>
    <phoneticPr fontId="3"/>
  </si>
  <si>
    <t>Q2.1.2　エリアマネジメント</t>
  </si>
  <si>
    <t>交通マネジメント</t>
    <rPh sb="0" eb="2">
      <t>コウツウ</t>
    </rPh>
    <phoneticPr fontId="3"/>
  </si>
  <si>
    <t>発展的マネジメント</t>
    <rPh sb="0" eb="3">
      <t>ハッテンテキ</t>
    </rPh>
    <phoneticPr fontId="3"/>
  </si>
  <si>
    <t>LR3.2.1.2　交通需要マネジメント等の取組み</t>
  </si>
  <si>
    <t>Q2.1.1　コンプライアンス</t>
    <phoneticPr fontId="3"/>
  </si>
  <si>
    <t>Q3.1.2.2　公共交通指向型開発</t>
  </si>
  <si>
    <t>Q2.4.2　発災後の対応性能</t>
    <phoneticPr fontId="3"/>
  </si>
  <si>
    <t>Q3.1.2.3　モビリティサービス</t>
    <phoneticPr fontId="3"/>
  </si>
  <si>
    <t>Q2.4.4　防犯</t>
    <phoneticPr fontId="3"/>
  </si>
  <si>
    <t>Q3.1.2.4　物流システム</t>
    <phoneticPr fontId="3"/>
  </si>
  <si>
    <t>Q2.5.1　地域の歴史・文化との融和</t>
    <phoneticPr fontId="3"/>
  </si>
  <si>
    <t>LR3.2.2.1　他の交通手段への転換による自動車交通量の総量削減</t>
    <phoneticPr fontId="3"/>
  </si>
  <si>
    <t>Q3.3.2.1　地域産業の振興</t>
    <phoneticPr fontId="3"/>
  </si>
  <si>
    <t>LR3.2.2.2　周辺交通への負荷を抑制する動線計画</t>
    <phoneticPr fontId="3"/>
  </si>
  <si>
    <t>Q3.3.2.2　魅力的なまちなかの形成</t>
    <phoneticPr fontId="3"/>
  </si>
  <si>
    <t>Q3.3.3　多様な主体の連携</t>
    <phoneticPr fontId="3"/>
  </si>
  <si>
    <t>環境のスマート化</t>
    <rPh sb="0" eb="2">
      <t>カンキョウ</t>
    </rPh>
    <rPh sb="7" eb="8">
      <t>カ</t>
    </rPh>
    <phoneticPr fontId="3"/>
  </si>
  <si>
    <t>経済のスマート化</t>
    <rPh sb="0" eb="2">
      <t>ケイザイ</t>
    </rPh>
    <rPh sb="7" eb="8">
      <t>カ</t>
    </rPh>
    <phoneticPr fontId="3"/>
  </si>
  <si>
    <t>Q1.4　環境性能に関するスマート化</t>
  </si>
  <si>
    <t>Q3.4　経済性能に関するスマート化</t>
  </si>
  <si>
    <t>社会のスマート化</t>
    <rPh sb="0" eb="2">
      <t>シャカイ</t>
    </rPh>
    <rPh sb="7" eb="8">
      <t>カ</t>
    </rPh>
    <phoneticPr fontId="3"/>
  </si>
  <si>
    <t>Q2.6　社会性能に関するスマート化</t>
  </si>
  <si>
    <t>評価する取組み</t>
    <rPh sb="0" eb="2">
      <t>ヒョウカ</t>
    </rPh>
    <rPh sb="4" eb="6">
      <t>トリクミ</t>
    </rPh>
    <phoneticPr fontId="3"/>
  </si>
  <si>
    <t>No.1</t>
    <phoneticPr fontId="3"/>
  </si>
  <si>
    <t>No.2</t>
  </si>
  <si>
    <t>No.3</t>
  </si>
  <si>
    <t>No.4</t>
  </si>
  <si>
    <t>No.5</t>
  </si>
  <si>
    <t>No.6</t>
  </si>
  <si>
    <t>No.7</t>
  </si>
  <si>
    <t>No.8</t>
  </si>
  <si>
    <t>No.9</t>
  </si>
  <si>
    <t>No.10</t>
  </si>
  <si>
    <t>No.11</t>
  </si>
  <si>
    <t>No.12</t>
  </si>
  <si>
    <t>-</t>
    <phoneticPr fontId="3"/>
  </si>
  <si>
    <t>■　計画上の配慮事項</t>
    <rPh sb="2" eb="4">
      <t>ケイカク</t>
    </rPh>
    <rPh sb="4" eb="5">
      <t>ジョウ</t>
    </rPh>
    <rPh sb="6" eb="8">
      <t>ハイリョ</t>
    </rPh>
    <rPh sb="8" eb="10">
      <t>ジコウ</t>
    </rPh>
    <phoneticPr fontId="3"/>
  </si>
  <si>
    <t>■作成者</t>
    <rPh sb="1" eb="4">
      <t>サクセイシャ</t>
    </rPh>
    <phoneticPr fontId="3"/>
  </si>
  <si>
    <t>■作成日</t>
    <rPh sb="1" eb="4">
      <t>サクセイビ</t>
    </rPh>
    <phoneticPr fontId="3"/>
  </si>
  <si>
    <t>計画上の配慮事項</t>
    <rPh sb="0" eb="2">
      <t>ケイカク</t>
    </rPh>
    <rPh sb="2" eb="3">
      <t>ジョウ</t>
    </rPh>
    <rPh sb="4" eb="6">
      <t>ハイリョ</t>
    </rPh>
    <rPh sb="6" eb="8">
      <t>ジコウ</t>
    </rPh>
    <phoneticPr fontId="3"/>
  </si>
  <si>
    <t>主な環境配慮の具体策</t>
    <rPh sb="0" eb="1">
      <t>オモ</t>
    </rPh>
    <rPh sb="2" eb="4">
      <t>カンキョウ</t>
    </rPh>
    <rPh sb="4" eb="6">
      <t>ハイリョ</t>
    </rPh>
    <rPh sb="7" eb="9">
      <t>グタイ</t>
    </rPh>
    <rPh sb="9" eb="10">
      <t>サク</t>
    </rPh>
    <phoneticPr fontId="3"/>
  </si>
  <si>
    <t>総合</t>
    <rPh sb="0" eb="2">
      <t>ソウゴウ</t>
    </rPh>
    <phoneticPr fontId="3"/>
  </si>
  <si>
    <t>■開発名称</t>
    <rPh sb="1" eb="3">
      <t>カイハツ</t>
    </rPh>
    <rPh sb="3" eb="5">
      <t>メイショウ</t>
    </rPh>
    <phoneticPr fontId="3"/>
  </si>
  <si>
    <r>
      <rPr>
        <sz val="11"/>
        <rFont val="ＭＳ Ｐゴシック"/>
        <family val="3"/>
        <charset val="128"/>
      </rPr>
      <t>　レベル　</t>
    </r>
    <r>
      <rPr>
        <sz val="11"/>
        <rFont val="Arial"/>
        <family val="2"/>
      </rPr>
      <t>1</t>
    </r>
    <phoneticPr fontId="3"/>
  </si>
  <si>
    <r>
      <rPr>
        <sz val="11"/>
        <rFont val="ＭＳ Ｐゴシック"/>
        <family val="3"/>
        <charset val="128"/>
      </rPr>
      <t>■レベル　</t>
    </r>
    <r>
      <rPr>
        <sz val="11"/>
        <rFont val="Arial"/>
        <family val="2"/>
      </rPr>
      <t>1</t>
    </r>
    <phoneticPr fontId="3"/>
  </si>
  <si>
    <r>
      <rPr>
        <sz val="11"/>
        <rFont val="ＭＳ Ｐゴシック"/>
        <family val="3"/>
        <charset val="128"/>
      </rPr>
      <t>　レベル　</t>
    </r>
    <r>
      <rPr>
        <sz val="11"/>
        <rFont val="Arial"/>
        <family val="2"/>
      </rPr>
      <t>2</t>
    </r>
  </si>
  <si>
    <r>
      <rPr>
        <sz val="11"/>
        <rFont val="ＭＳ Ｐゴシック"/>
        <family val="3"/>
        <charset val="128"/>
      </rPr>
      <t>■レベル　</t>
    </r>
    <r>
      <rPr>
        <sz val="11"/>
        <rFont val="Arial"/>
        <family val="2"/>
      </rPr>
      <t>2</t>
    </r>
  </si>
  <si>
    <t>〇</t>
    <phoneticPr fontId="3"/>
  </si>
  <si>
    <r>
      <rPr>
        <sz val="11"/>
        <rFont val="ＭＳ Ｐゴシック"/>
        <family val="3"/>
        <charset val="128"/>
      </rPr>
      <t>　レベル　</t>
    </r>
    <r>
      <rPr>
        <sz val="11"/>
        <rFont val="Arial"/>
        <family val="2"/>
      </rPr>
      <t>3</t>
    </r>
  </si>
  <si>
    <r>
      <rPr>
        <sz val="11"/>
        <rFont val="ＭＳ Ｐゴシック"/>
        <family val="3"/>
        <charset val="128"/>
      </rPr>
      <t>■レベル　</t>
    </r>
    <r>
      <rPr>
        <sz val="11"/>
        <rFont val="Arial"/>
        <family val="2"/>
      </rPr>
      <t>3</t>
    </r>
  </si>
  <si>
    <t>未評価</t>
    <phoneticPr fontId="3"/>
  </si>
  <si>
    <r>
      <rPr>
        <sz val="11"/>
        <rFont val="ＭＳ Ｐゴシック"/>
        <family val="3"/>
        <charset val="128"/>
      </rPr>
      <t>　レベル　</t>
    </r>
    <r>
      <rPr>
        <sz val="11"/>
        <rFont val="Arial"/>
        <family val="2"/>
      </rPr>
      <t>4</t>
    </r>
  </si>
  <si>
    <r>
      <rPr>
        <sz val="11"/>
        <rFont val="ＭＳ Ｐゴシック"/>
        <family val="3"/>
        <charset val="128"/>
      </rPr>
      <t>■レベル　</t>
    </r>
    <r>
      <rPr>
        <sz val="11"/>
        <rFont val="Arial"/>
        <family val="2"/>
      </rPr>
      <t>4</t>
    </r>
  </si>
  <si>
    <r>
      <rPr>
        <sz val="11"/>
        <rFont val="ＭＳ Ｐゴシック"/>
        <family val="3"/>
        <charset val="128"/>
      </rPr>
      <t>　レベル　</t>
    </r>
    <r>
      <rPr>
        <sz val="11"/>
        <rFont val="Arial"/>
        <family val="2"/>
      </rPr>
      <t>5</t>
    </r>
  </si>
  <si>
    <r>
      <rPr>
        <sz val="11"/>
        <rFont val="ＭＳ Ｐゴシック"/>
        <family val="3"/>
        <charset val="128"/>
      </rPr>
      <t>■レベル　</t>
    </r>
    <r>
      <rPr>
        <sz val="11"/>
        <rFont val="Arial"/>
        <family val="2"/>
      </rPr>
      <t>5</t>
    </r>
  </si>
  <si>
    <t>色欄について、プルダウンメニューから選択、または数値・コメントを記入のこと</t>
    <rPh sb="0" eb="1">
      <t>イロ</t>
    </rPh>
    <rPh sb="1" eb="2">
      <t>ラン</t>
    </rPh>
    <rPh sb="18" eb="20">
      <t>センタク</t>
    </rPh>
    <rPh sb="24" eb="26">
      <t>スウチ</t>
    </rPh>
    <rPh sb="32" eb="34">
      <t>キニュウ</t>
    </rPh>
    <phoneticPr fontId="3"/>
  </si>
  <si>
    <t>※環境配慮の概要は最長30字程度。レベル３を超える場合は必ず記入し、多い場合は配慮シートに記述する。</t>
    <phoneticPr fontId="3"/>
  </si>
  <si>
    <r>
      <t xml:space="preserve">1.1 </t>
    </r>
    <r>
      <rPr>
        <b/>
        <sz val="12"/>
        <color indexed="8"/>
        <rFont val="ＭＳ Ｐゴシック"/>
        <family val="3"/>
        <charset val="128"/>
      </rPr>
      <t>自然環境</t>
    </r>
    <rPh sb="4" eb="6">
      <t>シゼン</t>
    </rPh>
    <rPh sb="6" eb="8">
      <t>カンキョウ</t>
    </rPh>
    <phoneticPr fontId="3"/>
  </si>
  <si>
    <r>
      <t xml:space="preserve">1.1.1 </t>
    </r>
    <r>
      <rPr>
        <b/>
        <sz val="12"/>
        <color indexed="8"/>
        <rFont val="ＭＳ Ｐゴシック"/>
        <family val="3"/>
        <charset val="128"/>
      </rPr>
      <t>自然環境の保全</t>
    </r>
    <rPh sb="6" eb="8">
      <t>シゼン</t>
    </rPh>
    <rPh sb="8" eb="10">
      <t>カンキョウ</t>
    </rPh>
    <rPh sb="11" eb="13">
      <t>ホゼン</t>
    </rPh>
    <phoneticPr fontId="3"/>
  </si>
  <si>
    <r>
      <rPr>
        <sz val="11"/>
        <rFont val="ＭＳ Ｐゴシック"/>
        <family val="3"/>
        <charset val="128"/>
      </rPr>
      <t>レベル</t>
    </r>
    <phoneticPr fontId="3"/>
  </si>
  <si>
    <r>
      <rPr>
        <sz val="11"/>
        <rFont val="ＭＳ Ｐゴシック"/>
        <family val="3"/>
        <charset val="128"/>
      </rPr>
      <t>取組数</t>
    </r>
    <rPh sb="0" eb="3">
      <t>トリクミスウ</t>
    </rPh>
    <phoneticPr fontId="3"/>
  </si>
  <si>
    <t>（該当するレベルなし）</t>
  </si>
  <si>
    <t>保全するべき動植物を把握しており、一部の種を保全している</t>
  </si>
  <si>
    <t>保全するべき動植物を把握しており、過半の種を保全している</t>
  </si>
  <si>
    <t>環境配慮概要</t>
    <rPh sb="0" eb="2">
      <t>カンキョウ</t>
    </rPh>
    <rPh sb="2" eb="4">
      <t>ハイリョ</t>
    </rPh>
    <rPh sb="4" eb="6">
      <t>ガイヨウ</t>
    </rPh>
    <phoneticPr fontId="3"/>
  </si>
  <si>
    <r>
      <rPr>
        <sz val="10"/>
        <rFont val="ＭＳ Ｐゴシック"/>
        <family val="3"/>
        <charset val="128"/>
      </rPr>
      <t>（該当するレベルなし）</t>
    </r>
  </si>
  <si>
    <r>
      <t xml:space="preserve">1.1.2.1 </t>
    </r>
    <r>
      <rPr>
        <b/>
        <sz val="10"/>
        <rFont val="ＭＳ Ｐゴシック"/>
        <family val="3"/>
        <charset val="128"/>
      </rPr>
      <t>生物の生息空間のまとまり</t>
    </r>
    <rPh sb="8" eb="10">
      <t>セイブツ</t>
    </rPh>
    <rPh sb="11" eb="13">
      <t>セイソク</t>
    </rPh>
    <rPh sb="13" eb="15">
      <t>クウカン</t>
    </rPh>
    <phoneticPr fontId="3"/>
  </si>
  <si>
    <r>
      <t xml:space="preserve">1.1.2.2 </t>
    </r>
    <r>
      <rPr>
        <b/>
        <sz val="10"/>
        <rFont val="ＭＳ Ｐゴシック"/>
        <family val="3"/>
        <charset val="128"/>
      </rPr>
      <t>生物の生息空間の質</t>
    </r>
    <phoneticPr fontId="3"/>
  </si>
  <si>
    <t>1）樹林</t>
    <phoneticPr fontId="3"/>
  </si>
  <si>
    <r>
      <rPr>
        <sz val="10"/>
        <rFont val="ＭＳ Ｐゴシック"/>
        <family val="3"/>
        <charset val="128"/>
      </rPr>
      <t>樹林がない</t>
    </r>
    <phoneticPr fontId="3"/>
  </si>
  <si>
    <r>
      <rPr>
        <sz val="10"/>
        <rFont val="ＭＳ Ｐゴシック"/>
        <family val="3"/>
        <charset val="128"/>
      </rPr>
      <t>樹林が高木のみで構成されており、階層構造がない</t>
    </r>
  </si>
  <si>
    <r>
      <rPr>
        <sz val="10"/>
        <rFont val="ＭＳ Ｐゴシック"/>
        <family val="3"/>
        <charset val="128"/>
      </rPr>
      <t>樹林に高木層に加えて低木層、もしくは草本層が存在する階層構造がある</t>
    </r>
  </si>
  <si>
    <r>
      <rPr>
        <sz val="10"/>
        <rFont val="ＭＳ Ｐゴシック"/>
        <family val="3"/>
        <charset val="128"/>
      </rPr>
      <t>樹林に高木層、低木層、草本層がすべて存在する階層構造がある</t>
    </r>
  </si>
  <si>
    <t>2）草地</t>
    <phoneticPr fontId="3"/>
  </si>
  <si>
    <r>
      <rPr>
        <sz val="10"/>
        <rFont val="ＭＳ Ｐゴシック"/>
        <family val="3"/>
        <charset val="128"/>
      </rPr>
      <t>芝地のみ・あるいは芝地、草地がない</t>
    </r>
    <phoneticPr fontId="3"/>
  </si>
  <si>
    <r>
      <rPr>
        <sz val="10"/>
        <rFont val="ＭＳ Ｐゴシック"/>
        <family val="3"/>
        <charset val="128"/>
      </rPr>
      <t>高さが一様にそろっている芝地以外の草地がある</t>
    </r>
  </si>
  <si>
    <r>
      <rPr>
        <sz val="10"/>
        <rFont val="ＭＳ Ｐゴシック"/>
        <family val="3"/>
        <charset val="128"/>
      </rPr>
      <t>種類構成は同じだが、管理等により高茎と低茎の草地がある</t>
    </r>
  </si>
  <si>
    <r>
      <rPr>
        <sz val="10"/>
        <rFont val="ＭＳ Ｐゴシック"/>
        <family val="3"/>
        <charset val="128"/>
      </rPr>
      <t>高茎草地と低茎草地が計画地内に混在する</t>
    </r>
  </si>
  <si>
    <t>3）水辺</t>
    <phoneticPr fontId="3"/>
  </si>
  <si>
    <r>
      <rPr>
        <sz val="10"/>
        <rFont val="ＭＳ Ｐゴシック"/>
        <family val="3"/>
        <charset val="128"/>
      </rPr>
      <t>水辺がない</t>
    </r>
    <phoneticPr fontId="3"/>
  </si>
  <si>
    <r>
      <rPr>
        <sz val="10"/>
        <rFont val="ＭＳ Ｐゴシック"/>
        <family val="3"/>
        <charset val="128"/>
      </rPr>
      <t>水辺はあるが、抽水植物を伴わない</t>
    </r>
  </si>
  <si>
    <r>
      <rPr>
        <sz val="10"/>
        <rFont val="ＭＳ Ｐゴシック"/>
        <family val="3"/>
        <charset val="128"/>
      </rPr>
      <t>抽水植物を伴う水辺がある</t>
    </r>
  </si>
  <si>
    <r>
      <rPr>
        <sz val="10"/>
        <rFont val="ＭＳ Ｐゴシック"/>
        <family val="3"/>
        <charset val="128"/>
      </rPr>
      <t>緩傾斜護岸で抽水植物を伴う水辺があるが、陸地から水辺へ植生の連続性がない</t>
    </r>
  </si>
  <si>
    <r>
      <rPr>
        <sz val="10"/>
        <rFont val="ＭＳ Ｐゴシック"/>
        <family val="3"/>
        <charset val="128"/>
      </rPr>
      <t>緩傾斜護岸で抽水植物を伴う水辺があり、陸地から水辺へ植生の連続性がある</t>
    </r>
  </si>
  <si>
    <r>
      <t xml:space="preserve">1.1.2.3 </t>
    </r>
    <r>
      <rPr>
        <b/>
        <sz val="10"/>
        <rFont val="ＭＳ Ｐゴシック"/>
        <family val="3"/>
        <charset val="128"/>
      </rPr>
      <t>地域性への配慮</t>
    </r>
    <phoneticPr fontId="3"/>
  </si>
  <si>
    <t>1）木本（中高木）</t>
    <rPh sb="2" eb="3">
      <t>キ</t>
    </rPh>
    <rPh sb="3" eb="4">
      <t>ホン</t>
    </rPh>
    <rPh sb="5" eb="8">
      <t>チュウコウボク</t>
    </rPh>
    <phoneticPr fontId="3"/>
  </si>
  <si>
    <r>
      <rPr>
        <sz val="10"/>
        <rFont val="ＭＳ Ｐゴシック"/>
        <family val="3"/>
        <charset val="128"/>
      </rPr>
      <t>地域に本来生育する植物種（在来種）を意識した緑地計画を行っていない</t>
    </r>
    <phoneticPr fontId="3"/>
  </si>
  <si>
    <r>
      <rPr>
        <sz val="10"/>
        <rFont val="ＭＳ Ｐゴシック"/>
        <family val="3"/>
        <charset val="128"/>
      </rPr>
      <t>地域に本来生育する植物種（在来種）による緑地計画が部分的に行われている</t>
    </r>
  </si>
  <si>
    <r>
      <rPr>
        <sz val="10"/>
        <rFont val="ＭＳ Ｐゴシック"/>
        <family val="3"/>
        <charset val="128"/>
      </rPr>
      <t>木本（中高木）の過半の本数が、地域に本来生育する植物種（在来種）による緑地計画が行われている</t>
    </r>
    <phoneticPr fontId="3"/>
  </si>
  <si>
    <r>
      <rPr>
        <sz val="10"/>
        <rFont val="ＭＳ Ｐゴシック"/>
        <family val="3"/>
        <charset val="128"/>
      </rPr>
      <t>木本（中高木）のほぼすべてが、地域に本来生育する植物種（在来種）による緑地計画が行われている</t>
    </r>
    <phoneticPr fontId="3"/>
  </si>
  <si>
    <t>2）木本（低木）・草本</t>
    <phoneticPr fontId="3"/>
  </si>
  <si>
    <r>
      <rPr>
        <sz val="10"/>
        <rFont val="ＭＳ Ｐゴシック"/>
        <family val="3"/>
        <charset val="128"/>
      </rPr>
      <t>木本（低木）・草本の過半の面積が、地域に本来生育する植物種（在来種）による緑地計画が行われている</t>
    </r>
    <phoneticPr fontId="3"/>
  </si>
  <si>
    <r>
      <rPr>
        <sz val="10"/>
        <rFont val="ＭＳ Ｐゴシック"/>
        <family val="3"/>
        <charset val="128"/>
      </rPr>
      <t>木本（低木）・草本のほぼすべてが、地域に本来生育する植物種（在来種）による緑地計画が行われている</t>
    </r>
    <phoneticPr fontId="3"/>
  </si>
  <si>
    <r>
      <t xml:space="preserve">1.1.2.4 </t>
    </r>
    <r>
      <rPr>
        <b/>
        <sz val="10"/>
        <rFont val="ＭＳ Ｐゴシック"/>
        <family val="3"/>
        <charset val="128"/>
      </rPr>
      <t>エコロジカルネットワーク</t>
    </r>
    <phoneticPr fontId="3"/>
  </si>
  <si>
    <r>
      <rPr>
        <sz val="10"/>
        <rFont val="ＭＳ Ｐゴシック"/>
        <family val="3"/>
        <charset val="128"/>
      </rPr>
      <t>生物ネットワークを考慮していない</t>
    </r>
    <phoneticPr fontId="3"/>
  </si>
  <si>
    <r>
      <rPr>
        <sz val="10"/>
        <rFont val="ＭＳ Ｐゴシック"/>
        <family val="3"/>
        <charset val="128"/>
      </rPr>
      <t>街区内における緑地間の生物ネットワークに配慮している</t>
    </r>
  </si>
  <si>
    <r>
      <rPr>
        <sz val="10"/>
        <rFont val="ＭＳ Ｐゴシック"/>
        <family val="3"/>
        <charset val="128"/>
      </rPr>
      <t>まとまりのある緑地等の配置計画によって外部との繋がりに配慮したネットワークを形成している</t>
    </r>
  </si>
  <si>
    <r>
      <t xml:space="preserve">1.2 </t>
    </r>
    <r>
      <rPr>
        <b/>
        <sz val="12"/>
        <color indexed="8"/>
        <rFont val="ＭＳ Ｐゴシック"/>
        <family val="3"/>
        <charset val="128"/>
      </rPr>
      <t>生活環境</t>
    </r>
    <phoneticPr fontId="3"/>
  </si>
  <si>
    <r>
      <t>40%</t>
    </r>
    <r>
      <rPr>
        <sz val="10"/>
        <rFont val="ＭＳ Ｐゴシック"/>
        <family val="3"/>
        <charset val="128"/>
      </rPr>
      <t>以上</t>
    </r>
  </si>
  <si>
    <t>1）屋上緑化</t>
    <phoneticPr fontId="3"/>
  </si>
  <si>
    <t>2）壁面緑化</t>
    <phoneticPr fontId="3"/>
  </si>
  <si>
    <r>
      <rPr>
        <sz val="10"/>
        <rFont val="ＭＳ Ｐゴシック"/>
        <family val="3"/>
        <charset val="128"/>
      </rPr>
      <t>（該当するレベルなし）</t>
    </r>
    <phoneticPr fontId="3"/>
  </si>
  <si>
    <r>
      <rPr>
        <sz val="10"/>
        <rFont val="ＭＳ Ｐゴシック"/>
        <family val="3"/>
        <charset val="128"/>
      </rPr>
      <t>壁面が緑化されていない</t>
    </r>
  </si>
  <si>
    <r>
      <rPr>
        <sz val="10"/>
        <rFont val="ＭＳ Ｐゴシック"/>
        <family val="3"/>
        <charset val="128"/>
      </rPr>
      <t>壁面の一部が緑化されている</t>
    </r>
  </si>
  <si>
    <r>
      <rPr>
        <sz val="10"/>
        <rFont val="ＭＳ Ｐゴシック"/>
        <family val="3"/>
        <charset val="128"/>
      </rPr>
      <t>壁面の</t>
    </r>
    <r>
      <rPr>
        <sz val="10"/>
        <rFont val="Arial"/>
        <family val="2"/>
      </rPr>
      <t>5%</t>
    </r>
    <r>
      <rPr>
        <sz val="10"/>
        <rFont val="ＭＳ Ｐゴシック"/>
        <family val="3"/>
        <charset val="128"/>
      </rPr>
      <t>以上が緑化されている</t>
    </r>
  </si>
  <si>
    <r>
      <t xml:space="preserve">1.2.2 </t>
    </r>
    <r>
      <rPr>
        <b/>
        <sz val="12"/>
        <color indexed="8"/>
        <rFont val="ＭＳ Ｐゴシック"/>
        <family val="3"/>
        <charset val="128"/>
      </rPr>
      <t>熱環境</t>
    </r>
    <rPh sb="6" eb="7">
      <t>ネツ</t>
    </rPh>
    <rPh sb="7" eb="9">
      <t>カンキョウ</t>
    </rPh>
    <phoneticPr fontId="3"/>
  </si>
  <si>
    <r>
      <t xml:space="preserve">1.2.2.1 </t>
    </r>
    <r>
      <rPr>
        <b/>
        <sz val="10"/>
        <rFont val="ＭＳ Ｐゴシック"/>
        <family val="3"/>
        <charset val="128"/>
      </rPr>
      <t>日射の遮蔽</t>
    </r>
    <rPh sb="8" eb="10">
      <t>ニッシャ</t>
    </rPh>
    <rPh sb="11" eb="13">
      <t>シャヘイ</t>
    </rPh>
    <phoneticPr fontId="3"/>
  </si>
  <si>
    <t>評価する取組</t>
    <rPh sb="0" eb="2">
      <t>ヒョウカ</t>
    </rPh>
    <rPh sb="4" eb="6">
      <t>トリクミ</t>
    </rPh>
    <phoneticPr fontId="3"/>
  </si>
  <si>
    <t>取組数合計</t>
    <rPh sb="0" eb="3">
      <t>トリクミスウ</t>
    </rPh>
    <rPh sb="3" eb="5">
      <t>ゴウケイ</t>
    </rPh>
    <phoneticPr fontId="3"/>
  </si>
  <si>
    <r>
      <rPr>
        <sz val="10"/>
        <rFont val="ＭＳ Ｐゴシック"/>
        <family val="3"/>
        <charset val="128"/>
      </rPr>
      <t>①滞留空間への配慮</t>
    </r>
    <phoneticPr fontId="3"/>
  </si>
  <si>
    <r>
      <rPr>
        <sz val="10"/>
        <rFont val="ＭＳ Ｐゴシック"/>
        <family val="3"/>
        <charset val="128"/>
      </rPr>
      <t>緑陰を形成する緑など、日射を遮る取組みを適切に配置している</t>
    </r>
    <phoneticPr fontId="3"/>
  </si>
  <si>
    <r>
      <rPr>
        <sz val="9"/>
        <rFont val="ＭＳ Ｐゴシック"/>
        <family val="3"/>
        <charset val="128"/>
      </rPr>
      <t>〇</t>
    </r>
  </si>
  <si>
    <r>
      <rPr>
        <sz val="10"/>
        <rFont val="ＭＳ Ｐゴシック"/>
        <family val="3"/>
        <charset val="128"/>
      </rPr>
      <t>②移動空間への配慮</t>
    </r>
    <phoneticPr fontId="3"/>
  </si>
  <si>
    <t>〇</t>
  </si>
  <si>
    <r>
      <rPr>
        <sz val="10"/>
        <rFont val="ＭＳ Ｐゴシック"/>
        <family val="3"/>
        <charset val="128"/>
      </rPr>
      <t>輻射熱及び反射の抑制に配慮した地表面被覆を配置している</t>
    </r>
    <phoneticPr fontId="3"/>
  </si>
  <si>
    <r>
      <t xml:space="preserve">1.2.2.3 </t>
    </r>
    <r>
      <rPr>
        <b/>
        <sz val="10"/>
        <rFont val="ＭＳ Ｐゴシック"/>
        <family val="3"/>
        <charset val="128"/>
      </rPr>
      <t>風通しの確保</t>
    </r>
    <phoneticPr fontId="3"/>
  </si>
  <si>
    <r>
      <rPr>
        <sz val="10"/>
        <rFont val="ＭＳ Ｐゴシック"/>
        <family val="3"/>
        <charset val="128"/>
      </rPr>
      <t>ガイドライン等によって具体的なルールを定め実現手段を確保している</t>
    </r>
  </si>
  <si>
    <r>
      <rPr>
        <sz val="10"/>
        <rFont val="ＭＳ Ｐゴシック"/>
        <family val="3"/>
        <charset val="128"/>
      </rPr>
      <t>①壁面の位置への配慮</t>
    </r>
  </si>
  <si>
    <r>
      <rPr>
        <sz val="10"/>
        <rFont val="ＭＳ Ｐゴシック"/>
        <family val="3"/>
        <charset val="128"/>
      </rPr>
      <t>②外装素材・色彩の調和への配慮</t>
    </r>
  </si>
  <si>
    <r>
      <rPr>
        <sz val="10"/>
        <rFont val="ＭＳ Ｐゴシック"/>
        <family val="3"/>
        <charset val="128"/>
      </rPr>
      <t>④インフラ（大規模駐車場を含む）による景観影響への配慮</t>
    </r>
    <phoneticPr fontId="3"/>
  </si>
  <si>
    <r>
      <rPr>
        <sz val="10"/>
        <rFont val="ＭＳ Ｐゴシック"/>
        <family val="3"/>
        <charset val="128"/>
      </rPr>
      <t>⑤親水性への配慮</t>
    </r>
    <phoneticPr fontId="3"/>
  </si>
  <si>
    <r>
      <rPr>
        <sz val="10"/>
        <rFont val="ＭＳ Ｐゴシック"/>
        <family val="3"/>
        <charset val="128"/>
      </rPr>
      <t>ガイドライン等によって目標や方針を定めている</t>
    </r>
  </si>
  <si>
    <r>
      <rPr>
        <sz val="10"/>
        <rFont val="ＭＳ Ｐゴシック"/>
        <family val="3"/>
        <charset val="128"/>
      </rPr>
      <t>⑥舗装材料の素材・色彩の調和への配慮</t>
    </r>
    <phoneticPr fontId="3"/>
  </si>
  <si>
    <r>
      <rPr>
        <sz val="10"/>
        <rFont val="ＭＳ Ｐゴシック"/>
        <family val="3"/>
        <charset val="128"/>
      </rPr>
      <t>⑦植栽の樹種、配置への配慮</t>
    </r>
    <phoneticPr fontId="3"/>
  </si>
  <si>
    <r>
      <rPr>
        <sz val="10"/>
        <rFont val="ＭＳ Ｐゴシック"/>
        <family val="3"/>
        <charset val="128"/>
      </rPr>
      <t>⑧照明、ファニチュア、サイン計画への配慮</t>
    </r>
    <phoneticPr fontId="3"/>
  </si>
  <si>
    <r>
      <rPr>
        <sz val="10"/>
        <rFont val="ＭＳ Ｐゴシック"/>
        <family val="3"/>
        <charset val="128"/>
      </rPr>
      <t>①景観軸への配慮</t>
    </r>
  </si>
  <si>
    <r>
      <rPr>
        <sz val="10"/>
        <rFont val="ＭＳ Ｐゴシック"/>
        <family val="3"/>
        <charset val="128"/>
      </rPr>
      <t>②自然環境の連続性への配慮</t>
    </r>
  </si>
  <si>
    <r>
      <rPr>
        <sz val="10"/>
        <rFont val="ＭＳ Ｐゴシック"/>
        <family val="3"/>
        <charset val="128"/>
      </rPr>
      <t>③周辺地域のスカイラインへの配慮</t>
    </r>
  </si>
  <si>
    <r>
      <t xml:space="preserve">1.3 </t>
    </r>
    <r>
      <rPr>
        <b/>
        <sz val="12"/>
        <color indexed="8"/>
        <rFont val="ＭＳ Ｐゴシック"/>
        <family val="3"/>
        <charset val="128"/>
      </rPr>
      <t>建築物における環境配慮</t>
    </r>
    <rPh sb="4" eb="7">
      <t>ケンチクブツ</t>
    </rPh>
    <rPh sb="11" eb="13">
      <t>カンキョウ</t>
    </rPh>
    <rPh sb="13" eb="15">
      <t>ハイリョ</t>
    </rPh>
    <phoneticPr fontId="3"/>
  </si>
  <si>
    <r>
      <t>CASBEE</t>
    </r>
    <r>
      <rPr>
        <sz val="10"/>
        <rFont val="ＭＳ Ｐゴシック"/>
        <family val="3"/>
        <charset val="128"/>
      </rPr>
      <t>評価のされた建築物がない</t>
    </r>
    <phoneticPr fontId="3"/>
  </si>
  <si>
    <r>
      <t>CASBEE</t>
    </r>
    <r>
      <rPr>
        <sz val="10"/>
        <rFont val="ＭＳ Ｐゴシック"/>
        <family val="3"/>
        <charset val="128"/>
      </rPr>
      <t>評価のされた、もしくは評価をする予定のある建築物が含まれている</t>
    </r>
  </si>
  <si>
    <r>
      <t>CASBEE</t>
    </r>
    <r>
      <rPr>
        <sz val="10"/>
        <rFont val="ＭＳ Ｐゴシック"/>
        <family val="3"/>
        <charset val="128"/>
      </rPr>
      <t>評価のされた、もしくは評価をする予定のある建築物が過半を占めている</t>
    </r>
  </si>
  <si>
    <r>
      <t>CASBEE</t>
    </r>
    <r>
      <rPr>
        <sz val="10"/>
        <rFont val="ＭＳ Ｐゴシック"/>
        <family val="3"/>
        <charset val="128"/>
      </rPr>
      <t>評価のされた、もしくは評価をする予定のある建築物が過半を占めており、第三者認証を受け、</t>
    </r>
    <r>
      <rPr>
        <sz val="10"/>
        <rFont val="Arial"/>
        <family val="2"/>
      </rPr>
      <t>A</t>
    </r>
    <r>
      <rPr>
        <sz val="10"/>
        <rFont val="ＭＳ Ｐゴシック"/>
        <family val="3"/>
        <charset val="128"/>
      </rPr>
      <t>以上を取得した建築物が存在する</t>
    </r>
  </si>
  <si>
    <t>CASBEEのランク等を記述</t>
    <rPh sb="10" eb="11">
      <t>トウ</t>
    </rPh>
    <rPh sb="12" eb="14">
      <t>キジュツ</t>
    </rPh>
    <phoneticPr fontId="3"/>
  </si>
  <si>
    <r>
      <t xml:space="preserve">1.4 </t>
    </r>
    <r>
      <rPr>
        <b/>
        <sz val="12"/>
        <color indexed="8"/>
        <rFont val="ＭＳ Ｐゴシック"/>
        <family val="3"/>
        <charset val="128"/>
      </rPr>
      <t>環境性能に関するスマート化</t>
    </r>
    <phoneticPr fontId="3"/>
  </si>
  <si>
    <r>
      <t xml:space="preserve">2.1.1 </t>
    </r>
    <r>
      <rPr>
        <b/>
        <sz val="12"/>
        <color indexed="8"/>
        <rFont val="ＭＳ Ｐゴシック"/>
        <family val="3"/>
        <charset val="128"/>
      </rPr>
      <t>コンプライアンス</t>
    </r>
    <phoneticPr fontId="3"/>
  </si>
  <si>
    <t>現行法令に照らして水準の低い建築物（既存不適格建築物等）がある</t>
    <phoneticPr fontId="3"/>
  </si>
  <si>
    <t>（該当するレベルなし）</t>
    <phoneticPr fontId="3"/>
  </si>
  <si>
    <t>当該プロジェクトに関係する法令を順守している</t>
    <phoneticPr fontId="3"/>
  </si>
  <si>
    <t>自主的に実施した環境評価や計測を公開している</t>
    <phoneticPr fontId="3"/>
  </si>
  <si>
    <t>自主的に実施した環境評価や計測を、定期的に公開し必要な改善をしている</t>
    <phoneticPr fontId="3"/>
  </si>
  <si>
    <r>
      <t xml:space="preserve">2.1.2 </t>
    </r>
    <r>
      <rPr>
        <b/>
        <sz val="12"/>
        <color indexed="8"/>
        <rFont val="ＭＳ Ｐゴシック"/>
        <family val="3"/>
        <charset val="128"/>
      </rPr>
      <t>エリアマネジメント</t>
    </r>
    <phoneticPr fontId="3"/>
  </si>
  <si>
    <t>街区内に自治会やエリアマネジメント組織が存在しない</t>
    <phoneticPr fontId="3"/>
  </si>
  <si>
    <t>街区内に自治会やエリアマネジメント組織が存在する</t>
    <phoneticPr fontId="3"/>
  </si>
  <si>
    <t>街区内に自治会やエリアマネジメント組織が存在し、かつ周辺の地域コミュニティ組織との連携（計画を含む）している</t>
    <phoneticPr fontId="3"/>
  </si>
  <si>
    <t>レベル4に加え、自治会またはエリアマネジメント組織を行政が認定または一定関与または法人化（計画を含む）している</t>
    <phoneticPr fontId="3"/>
  </si>
  <si>
    <t>① 会費</t>
    <phoneticPr fontId="3"/>
  </si>
  <si>
    <t>自治会、NPO等の構成員が拠出する責務のある費用。団地管理組合法人の管理費等も含むものとする。</t>
    <phoneticPr fontId="3"/>
  </si>
  <si>
    <t>② 出資金</t>
    <phoneticPr fontId="3"/>
  </si>
  <si>
    <t>組合の組合員、合同会社・株式会社の出資金</t>
    <phoneticPr fontId="3"/>
  </si>
  <si>
    <t>③ 補助金・助成金</t>
    <phoneticPr fontId="3"/>
  </si>
  <si>
    <t>地方公共団体等や民間の助成財団等からの補助金・助成金等</t>
    <phoneticPr fontId="3"/>
  </si>
  <si>
    <t>④ 寄付金・協賛金</t>
    <phoneticPr fontId="3"/>
  </si>
  <si>
    <t>組織の活動に賛同する個人・企業からの寄付金、協賛金</t>
    <phoneticPr fontId="3"/>
  </si>
  <si>
    <t>⑤ 事業収益</t>
    <phoneticPr fontId="3"/>
  </si>
  <si>
    <t>販売事業、駐車場・駐輪場の運営、広告事業、視察会等での収益金</t>
    <phoneticPr fontId="3"/>
  </si>
  <si>
    <t>維持管理に関する管理計画がない</t>
    <phoneticPr fontId="3"/>
  </si>
  <si>
    <t>マネジメント組織が、公共空間・施設の維持管理、清掃、防災、防犯、交通整理等、地域の日常的な課題に対応している</t>
    <phoneticPr fontId="3"/>
  </si>
  <si>
    <t>樹木、草地、水辺などを要素とする自然環境の機能維持・向上のための管理計画がない</t>
    <phoneticPr fontId="3"/>
  </si>
  <si>
    <t>樹林、草地、水辺などを要素とする自然環境の機能維持・向上のための管理計画が示されている</t>
    <phoneticPr fontId="3"/>
  </si>
  <si>
    <t>樹林、草地、水辺などを要素とする自然環境の機能維持・向上のための管理計画が示されており、それを実施するためのマネジメントプランが確立されている</t>
    <phoneticPr fontId="3"/>
  </si>
  <si>
    <t>商業施設（最寄りのスーパーや商店街等）までの道のりが、1500m以上</t>
    <phoneticPr fontId="3"/>
  </si>
  <si>
    <t>商業施設（最寄りのスーパーや商店街等）までの道のりが、800m以上　　1500m未満</t>
    <phoneticPr fontId="3"/>
  </si>
  <si>
    <t>商業施設（最寄りのスーパーや商店街等）までの道のりが、600m以上　　 800m未満</t>
    <phoneticPr fontId="3"/>
  </si>
  <si>
    <t>商業施設（最寄りのスーパーや商店街等）までの道のりが、300m以上　　 600m未満</t>
    <phoneticPr fontId="3"/>
  </si>
  <si>
    <t>商業施設（最寄りのスーパーや商店街等）までの道のりが、300m未満</t>
    <phoneticPr fontId="3"/>
  </si>
  <si>
    <t>駅と1ｋｍ以上、バス停と500ｍ以上離れており、総合交通対策も講じていない</t>
    <phoneticPr fontId="3"/>
  </si>
  <si>
    <t>駅と600ｍ以上（1ｋｍ未満）、バス停と300ｍ以上（500ｍ未満）離れており、総合交通対策も講じていない</t>
    <phoneticPr fontId="3"/>
  </si>
  <si>
    <t>駅と600ｍ未満、またはバス停と300ｍ未満である。あるいは、上記を満たさないが総合交通対策を講じている</t>
    <phoneticPr fontId="3"/>
  </si>
  <si>
    <t>駅と300ｍ未満、またはバス停と直結している。あるいは、距離はレベル4相当だが総合交通対策を講じている</t>
    <phoneticPr fontId="3"/>
  </si>
  <si>
    <t>行政施設（役所）までの道のりが、1500m以上</t>
    <phoneticPr fontId="3"/>
  </si>
  <si>
    <t>行政施設（役所）までの道のりが、800m以上　　1500m未満</t>
    <phoneticPr fontId="3"/>
  </si>
  <si>
    <t>行政施設（役所）までの道のりが、600m以上　　 800m未満</t>
    <phoneticPr fontId="3"/>
  </si>
  <si>
    <t>行政施設（役所）までの道のりが、300m以上　　 600m未満</t>
    <phoneticPr fontId="3"/>
  </si>
  <si>
    <t>行政施設（役所）までの道のりが、300m未満</t>
    <phoneticPr fontId="3"/>
  </si>
  <si>
    <t>健康増進施設（公園やスポーツ施設等）までの道のりが、1500m以上</t>
    <phoneticPr fontId="3"/>
  </si>
  <si>
    <t>健康増進施設（公園やスポーツ施設等）までの道のりが、800m以上　　1500m未満</t>
    <phoneticPr fontId="3"/>
  </si>
  <si>
    <t>健康増進施設（公園やスポーツ施設等）までの道のりが、600m以上　　 800m未満</t>
    <phoneticPr fontId="3"/>
  </si>
  <si>
    <t>健康増進施設（公園やスポーツ施設等）までの道のりが、300m以上　 　600m未満</t>
    <phoneticPr fontId="3"/>
  </si>
  <si>
    <t>健康増進施設（公園やスポーツ施設等）までの道のりが、300m未満</t>
    <phoneticPr fontId="3"/>
  </si>
  <si>
    <t>福祉施設（老人福祉、児童福祉施設等）までの道のりが、1500m以上</t>
    <phoneticPr fontId="3"/>
  </si>
  <si>
    <t>福祉施設（老人福祉、児童福祉施設等）までの道のりが、800m以上　　1500m未満</t>
    <phoneticPr fontId="3"/>
  </si>
  <si>
    <t>福祉施設（老人福祉、児童福祉施設等）までの道のりが、600m以上　　 800m未満</t>
    <phoneticPr fontId="3"/>
  </si>
  <si>
    <t>福祉施設（老人福祉、児童福祉施設等）までの道のりが、300m以上　　 600m未満</t>
    <phoneticPr fontId="3"/>
  </si>
  <si>
    <t>福祉施設（老人福祉、児童福祉施設等）までの道のりが、300m未満</t>
    <phoneticPr fontId="3"/>
  </si>
  <si>
    <t>医療施設（日常的な診療行為を受ける病院、診療所等）までの道のりが、1500m以上</t>
    <phoneticPr fontId="3"/>
  </si>
  <si>
    <t>医療施設（日常的な診療行為を受ける病院、診療所等）までの道のりが、800m以上　　1500m未満</t>
    <phoneticPr fontId="3"/>
  </si>
  <si>
    <t>医療施設（日常的な診療行為を受ける病院、診療所等）までの道のりが、600m以上　　 800m未満</t>
    <phoneticPr fontId="3"/>
  </si>
  <si>
    <t>医療施設（日常的な診療行為を受ける病院、診療所等）までの道のりが、300m以上　　 600m未満</t>
    <phoneticPr fontId="3"/>
  </si>
  <si>
    <t>医療施設（日常的な診療行為を受ける病院、診療所等）までの道のりが、300m未満</t>
    <phoneticPr fontId="3"/>
  </si>
  <si>
    <r>
      <t xml:space="preserve">2.4.1 </t>
    </r>
    <r>
      <rPr>
        <b/>
        <sz val="12"/>
        <color indexed="8"/>
        <rFont val="ＭＳ Ｐゴシック"/>
        <family val="3"/>
        <charset val="128"/>
      </rPr>
      <t>防災基本性能</t>
    </r>
    <phoneticPr fontId="3"/>
  </si>
  <si>
    <r>
      <t xml:space="preserve">2.4.1.1 </t>
    </r>
    <r>
      <rPr>
        <b/>
        <sz val="10"/>
        <color indexed="8"/>
        <rFont val="ＭＳ Ｐゴシック"/>
        <family val="3"/>
        <charset val="128"/>
      </rPr>
      <t>災害への対応</t>
    </r>
    <phoneticPr fontId="3"/>
  </si>
  <si>
    <t>地域の災害特性を把握していない（ハザードマップ等を確認していない）</t>
    <phoneticPr fontId="3"/>
  </si>
  <si>
    <t>地域の災害特性を把握し、問題がないことを確認している（ハザードマップ等で問題がない等）、または、問題個所に通常の（法的基準を満たす）防災措置を施している</t>
    <phoneticPr fontId="3"/>
  </si>
  <si>
    <t>地域の災害特性を把握し、問題個所に通常を超える防災措置を施している</t>
    <phoneticPr fontId="3"/>
  </si>
  <si>
    <t>地域の災害特性を把握しており、周辺街区への貢献も含めた防災措置を施している</t>
    <phoneticPr fontId="3"/>
  </si>
  <si>
    <t>取組んでいる項目がない</t>
    <phoneticPr fontId="3"/>
  </si>
  <si>
    <r>
      <rPr>
        <sz val="10"/>
        <rFont val="ＭＳ ゴシック"/>
        <family val="3"/>
        <charset val="128"/>
      </rPr>
      <t>取組んでいる項目が</t>
    </r>
    <r>
      <rPr>
        <sz val="10"/>
        <rFont val="Arial"/>
        <family val="2"/>
      </rPr>
      <t xml:space="preserve">a.b.c. </t>
    </r>
    <r>
      <rPr>
        <sz val="10"/>
        <rFont val="ＭＳ ゴシック"/>
        <family val="3"/>
        <charset val="128"/>
      </rPr>
      <t>とも１つある</t>
    </r>
    <phoneticPr fontId="3"/>
  </si>
  <si>
    <r>
      <rPr>
        <sz val="10"/>
        <rFont val="ＭＳ ゴシック"/>
        <family val="3"/>
        <charset val="128"/>
      </rPr>
      <t>取組んでいる項目が</t>
    </r>
    <r>
      <rPr>
        <sz val="10"/>
        <rFont val="Arial"/>
        <family val="2"/>
      </rPr>
      <t>a.b.c.</t>
    </r>
    <r>
      <rPr>
        <sz val="10"/>
        <rFont val="ＭＳ ゴシック"/>
        <family val="3"/>
        <charset val="128"/>
      </rPr>
      <t>とも１つあり、かつ、合計で５つ以上ある</t>
    </r>
    <phoneticPr fontId="3"/>
  </si>
  <si>
    <t>a. 通信インフラ</t>
    <phoneticPr fontId="3"/>
  </si>
  <si>
    <t xml:space="preserve">①機器・配管への対策
</t>
    <phoneticPr fontId="3"/>
  </si>
  <si>
    <t>防水、地震、停電対策がある</t>
    <phoneticPr fontId="3"/>
  </si>
  <si>
    <t xml:space="preserve">②区域外との接続
</t>
    <phoneticPr fontId="3"/>
  </si>
  <si>
    <t>区域外との通信系統が２系統以上ある。WiFiなどの無線接続も１系統と考える</t>
    <phoneticPr fontId="3"/>
  </si>
  <si>
    <t>b. 水の供給処理インフラ</t>
    <phoneticPr fontId="3"/>
  </si>
  <si>
    <t>①上下水道配管の耐震性能</t>
    <phoneticPr fontId="3"/>
  </si>
  <si>
    <t>通常の耐震基準を満たしている</t>
    <phoneticPr fontId="3"/>
  </si>
  <si>
    <t xml:space="preserve">②非常時の対策
</t>
    <phoneticPr fontId="3"/>
  </si>
  <si>
    <t>上下水をストックしておく共同施設がある、もしくは街区内の建物間で融通するシステムがある</t>
    <phoneticPr fontId="3"/>
  </si>
  <si>
    <t>c. エネルギー供給インフラ</t>
    <phoneticPr fontId="3"/>
  </si>
  <si>
    <t>①エネルギー関連設備の耐震性能</t>
    <phoneticPr fontId="3"/>
  </si>
  <si>
    <t>②エネルギー関連設備の浸水対策</t>
    <phoneticPr fontId="3"/>
  </si>
  <si>
    <t>万が一の浸水に備えて、電源・熱源設備を浸水リスクの低い場所に設置する等の対策を講じている</t>
    <phoneticPr fontId="3"/>
  </si>
  <si>
    <t xml:space="preserve">③区域外との接続
</t>
    <phoneticPr fontId="3"/>
  </si>
  <si>
    <t>複数系統による受電（二重化、スポットネットワーク方式、ループ方式）や中圧ガス接続となっている、または電力・熱の区域外（地域冷暖房）との接続がある</t>
    <phoneticPr fontId="3"/>
  </si>
  <si>
    <r>
      <t xml:space="preserve">2.4.1.3 </t>
    </r>
    <r>
      <rPr>
        <b/>
        <sz val="10"/>
        <rFont val="ＭＳ Ｐゴシック"/>
        <family val="3"/>
        <charset val="128"/>
      </rPr>
      <t>防災空地・避難路</t>
    </r>
    <phoneticPr fontId="3"/>
  </si>
  <si>
    <t>取組んでいる項目が1つ以下</t>
    <phoneticPr fontId="3"/>
  </si>
  <si>
    <t>取組んでいる項目が2つ</t>
    <phoneticPr fontId="3"/>
  </si>
  <si>
    <t>取組んでいる項目が3つ</t>
    <phoneticPr fontId="3"/>
  </si>
  <si>
    <t>取組んでいる項目が4つ</t>
    <phoneticPr fontId="3"/>
  </si>
  <si>
    <r>
      <rPr>
        <sz val="10"/>
        <rFont val="ＭＳ ゴシック"/>
        <family val="3"/>
        <charset val="128"/>
      </rPr>
      <t>取組んでいる項目が</t>
    </r>
    <r>
      <rPr>
        <sz val="10"/>
        <rFont val="Arial"/>
        <family val="2"/>
      </rPr>
      <t>4</t>
    </r>
    <r>
      <rPr>
        <sz val="10"/>
        <rFont val="ＭＳ ゴシック"/>
        <family val="3"/>
        <charset val="128"/>
      </rPr>
      <t>つ、かつ、防災空地や避難路のネットワークについて、周辺街区との連携を考慮して計画している</t>
    </r>
    <phoneticPr fontId="3"/>
  </si>
  <si>
    <t>①適切な空地規模と配置</t>
    <phoneticPr fontId="3"/>
  </si>
  <si>
    <t>配置や規模に関する適切な計画を行い十分な量の空間を確保している</t>
    <phoneticPr fontId="3"/>
  </si>
  <si>
    <t>②避難路のネットワーク形成</t>
    <phoneticPr fontId="3"/>
  </si>
  <si>
    <t>道路幅（8ｍ以上）の確保、２方向避難などの避難路ネットワークが形成されている</t>
    <phoneticPr fontId="3"/>
  </si>
  <si>
    <t>③避難場所へのアクセス</t>
    <phoneticPr fontId="3"/>
  </si>
  <si>
    <t>最寄り（または指定の）避難場所まで250ｍ未満である</t>
    <phoneticPr fontId="3"/>
  </si>
  <si>
    <t>④災害時の避難シミュレーションにより避難安全検証を実施している</t>
    <phoneticPr fontId="3"/>
  </si>
  <si>
    <t>計画した避難ルートの実効性などをシミュレーションにより確認している</t>
    <phoneticPr fontId="3"/>
  </si>
  <si>
    <t>防災空地や避難路のネットワークについて、周辺街区との連携を考慮して計画している</t>
    <phoneticPr fontId="3"/>
  </si>
  <si>
    <r>
      <t xml:space="preserve">2.4.2 </t>
    </r>
    <r>
      <rPr>
        <b/>
        <sz val="12"/>
        <rFont val="ＭＳ Ｐゴシック"/>
        <family val="3"/>
        <charset val="128"/>
      </rPr>
      <t>発災後の対応性能</t>
    </r>
    <phoneticPr fontId="3"/>
  </si>
  <si>
    <t>特に配慮なし</t>
    <phoneticPr fontId="3"/>
  </si>
  <si>
    <t>開発者側で（建物・街区の共用部分に関する）BCP・LCPを整備している</t>
    <phoneticPr fontId="3"/>
  </si>
  <si>
    <t>開発者側で（建物・街区の共用部分に関する）BCP・LCPを整備しており、72時間の継続性について計画に対応した設備や体制を備えている</t>
    <phoneticPr fontId="3"/>
  </si>
  <si>
    <t>開発者側で（建物・街区の共用部分に関する）BCP・LCPを整備しており、72時間を超える継続性について計画に対応した設備や体制を備えている</t>
    <phoneticPr fontId="3"/>
  </si>
  <si>
    <t>レベル3または、レベル4に加え、自治体等と防災協定を締結し、帰宅困難者の受け入れ等、地域の防災力強化に貢献している</t>
    <phoneticPr fontId="3"/>
  </si>
  <si>
    <t>歩車の交錯はあるが、誘導等で安全を確保している</t>
    <phoneticPr fontId="3"/>
  </si>
  <si>
    <t>原則として歩車の交錯がない配置計画である</t>
    <phoneticPr fontId="3"/>
  </si>
  <si>
    <t>取組んでいる項目が２つ</t>
    <phoneticPr fontId="3"/>
  </si>
  <si>
    <t>取組んでいる項目が３つ</t>
    <phoneticPr fontId="3"/>
  </si>
  <si>
    <t>取組んでいる項目が４つ</t>
    <phoneticPr fontId="3"/>
  </si>
  <si>
    <t>取組んでいる項目が４つ、かつ隣接街区と防犯上の連携体制を構築している</t>
    <phoneticPr fontId="3"/>
  </si>
  <si>
    <t>隣接街区と防犯上の連携体制を構築している</t>
    <phoneticPr fontId="3"/>
  </si>
  <si>
    <t>取組んでいる項目が１つ</t>
    <phoneticPr fontId="3"/>
  </si>
  <si>
    <t>単一マーケットに対応する住宅を供給している</t>
    <phoneticPr fontId="3"/>
  </si>
  <si>
    <t>複数のマーケットに対応する優良な住宅を供給している</t>
    <phoneticPr fontId="3"/>
  </si>
  <si>
    <t>複数のマーケットに対応する優良な住宅を供給し、かつ、地域優先販売等の取組みがある</t>
    <phoneticPr fontId="3"/>
  </si>
  <si>
    <t>法令や各自治体の条例等を順守している　</t>
    <phoneticPr fontId="3"/>
  </si>
  <si>
    <t>法令や条例等以外に自主的な取組みをしている</t>
    <phoneticPr fontId="3"/>
  </si>
  <si>
    <t>取組んでいる項目が４つ以上</t>
    <phoneticPr fontId="3"/>
  </si>
  <si>
    <t>特に整合を考慮していない</t>
    <phoneticPr fontId="3"/>
  </si>
  <si>
    <t>上位計画と整合している</t>
    <phoneticPr fontId="3"/>
  </si>
  <si>
    <t>レベル3を満たしたうえで、地域の懸案であった課題解決に貢献している</t>
    <phoneticPr fontId="3"/>
  </si>
  <si>
    <t>当該プロジェクトの立地選定において、既存の市街地・生活機能や公共交通の活用、または、それらとの連携を意識していない</t>
    <phoneticPr fontId="3"/>
  </si>
  <si>
    <t>当該プロジェクトの立地選定において、既存の市街地・生活機能や公共交通の活用、または、それらとの連携を志向している</t>
    <phoneticPr fontId="3"/>
  </si>
  <si>
    <t>レベル3に加えて、コンパクト＋ネットワークの実現を志向し、ステークホルダーとのコミュニケーションが取れている</t>
    <phoneticPr fontId="3"/>
  </si>
  <si>
    <t>レベル2に満たない</t>
    <phoneticPr fontId="3"/>
  </si>
  <si>
    <t>基準容積率の半ば以上を消化している</t>
    <phoneticPr fontId="3"/>
  </si>
  <si>
    <t>概ね基準容積率を消化（9割以上、ただし基準容積率300％以下の場合は７割以上）、もしくはレベル2に加えて建物利用率維持向上のための工夫がある</t>
    <phoneticPr fontId="3"/>
  </si>
  <si>
    <t>制度・手法により基準容積率を上回る容積を実現している又は自治体当局との協議のうえ地域のニーズ等に合わせた指定容積率を別途設定し、十分に消化している</t>
    <phoneticPr fontId="3"/>
  </si>
  <si>
    <t>需要との対応が明らかでない</t>
    <phoneticPr fontId="3"/>
  </si>
  <si>
    <t>需要との対応が明らかであり、計画標準に照らして、量的に充足している</t>
    <phoneticPr fontId="3"/>
  </si>
  <si>
    <t>量的に充足しており、配置や形状面でも快適性等の配慮がされている</t>
    <phoneticPr fontId="3"/>
  </si>
  <si>
    <t>取組んでいる項目が1つ</t>
    <phoneticPr fontId="3"/>
  </si>
  <si>
    <t>取組んでいる項目が3つ以上</t>
    <phoneticPr fontId="3"/>
  </si>
  <si>
    <t>モビリティサービスが存在しない</t>
    <phoneticPr fontId="3"/>
  </si>
  <si>
    <t>それぞれのモビリティサービスが独⽴した状態で提供されている（MaaSレベル0）</t>
    <phoneticPr fontId="3"/>
  </si>
  <si>
    <t>料⾦や時間、距離等の情報が統合された形でモビリティサービスが提供されている（MaaSレベル1）</t>
    <phoneticPr fontId="3"/>
  </si>
  <si>
    <t>特に方策を実施していない</t>
    <phoneticPr fontId="3"/>
  </si>
  <si>
    <t>荷捌き等に関するルールがある（搬出入経路、時間帯等）</t>
    <phoneticPr fontId="3"/>
  </si>
  <si>
    <t>レベル3を満たすとともに、荷捌きに十分なスペースを確保している</t>
    <phoneticPr fontId="3"/>
  </si>
  <si>
    <t>レベル4を満たすとともに、共同配送に対応する取組みがある</t>
    <phoneticPr fontId="3"/>
  </si>
  <si>
    <t>従前と比較して半減以下</t>
    <rPh sb="0" eb="2">
      <t>ジュウゼン</t>
    </rPh>
    <phoneticPr fontId="3"/>
  </si>
  <si>
    <t>レベル1とレベル3の中間</t>
    <phoneticPr fontId="3"/>
  </si>
  <si>
    <t>従前と比較して同等以上</t>
    <rPh sb="0" eb="2">
      <t>ジュウゼン</t>
    </rPh>
    <phoneticPr fontId="3"/>
  </si>
  <si>
    <t>従前と比較して倍増以上</t>
    <rPh sb="0" eb="2">
      <t>ジュウゼン</t>
    </rPh>
    <phoneticPr fontId="3"/>
  </si>
  <si>
    <t>従前と比較して4倍増以上</t>
    <rPh sb="0" eb="2">
      <t>ジュウゼン</t>
    </rPh>
    <phoneticPr fontId="3"/>
  </si>
  <si>
    <t>取組んでいる項目が4つ以上</t>
    <phoneticPr fontId="3"/>
  </si>
  <si>
    <t>オルタナティブなワークスペースが存在しない</t>
    <phoneticPr fontId="3"/>
  </si>
  <si>
    <t>オルタナティブなワークスペースが1カ所ある</t>
    <phoneticPr fontId="3"/>
  </si>
  <si>
    <t>形態の異なる2つ以上のオルタナティブなワークスペースがある</t>
    <phoneticPr fontId="3"/>
  </si>
  <si>
    <t>住宅系</t>
    <rPh sb="0" eb="3">
      <t>ジュウタクケイ</t>
    </rPh>
    <phoneticPr fontId="3"/>
  </si>
  <si>
    <t>非住宅系</t>
    <rPh sb="0" eb="4">
      <t>ヒジュウタクケイ</t>
    </rPh>
    <phoneticPr fontId="3"/>
  </si>
  <si>
    <t>取組みなし</t>
    <phoneticPr fontId="3"/>
  </si>
  <si>
    <t>計画段階において、多様な主体が連携し、地域の新たな価値の創造に資する取組みを行っている</t>
    <phoneticPr fontId="3"/>
  </si>
  <si>
    <t>運用段階において、多様な主体が連携し、地域の新たな価値の創造に資する取組みを行っている（行う予定がある）</t>
    <phoneticPr fontId="3"/>
  </si>
  <si>
    <t>計画段階・運用段階の双方において、多様な主体が連携し、地域の新たな価値の創造に資する取組みを行っている（行う予定がある）</t>
    <phoneticPr fontId="3"/>
  </si>
  <si>
    <t>取組んでいる項目が2つ以上</t>
    <phoneticPr fontId="3"/>
  </si>
  <si>
    <t>[BEI][BEIm] ≦ （A①×0.60 + A②×0.70 + A③×0.85） ÷ ΣA</t>
    <phoneticPr fontId="3"/>
  </si>
  <si>
    <r>
      <t>BEI</t>
    </r>
    <r>
      <rPr>
        <sz val="10"/>
        <rFont val="ＭＳ Ｐゴシック"/>
        <family val="2"/>
        <charset val="128"/>
      </rPr>
      <t>等数値を記述</t>
    </r>
    <rPh sb="3" eb="4">
      <t>トウ</t>
    </rPh>
    <rPh sb="4" eb="6">
      <t>スウチ</t>
    </rPh>
    <rPh sb="7" eb="9">
      <t>キジュツ</t>
    </rPh>
    <phoneticPr fontId="3"/>
  </si>
  <si>
    <r>
      <t xml:space="preserve">2.1 </t>
    </r>
    <r>
      <rPr>
        <b/>
        <sz val="12"/>
        <color indexed="8"/>
        <rFont val="ＭＳ Ｐゴシック"/>
        <family val="3"/>
        <charset val="128"/>
      </rPr>
      <t>土地資源</t>
    </r>
    <phoneticPr fontId="3"/>
  </si>
  <si>
    <r>
      <t xml:space="preserve">2.1.1 </t>
    </r>
    <r>
      <rPr>
        <b/>
        <sz val="12"/>
        <color indexed="8"/>
        <rFont val="ＭＳ Ｐゴシック"/>
        <family val="3"/>
        <charset val="128"/>
      </rPr>
      <t>土壌汚染への対応</t>
    </r>
    <rPh sb="6" eb="8">
      <t>ドジョウ</t>
    </rPh>
    <rPh sb="8" eb="10">
      <t>オセン</t>
    </rPh>
    <rPh sb="12" eb="14">
      <t>タイオウ</t>
    </rPh>
    <phoneticPr fontId="3"/>
  </si>
  <si>
    <t>土壌汚染への対応が不十分である</t>
    <phoneticPr fontId="3"/>
  </si>
  <si>
    <r>
      <t xml:space="preserve">2.1.2 </t>
    </r>
    <r>
      <rPr>
        <b/>
        <sz val="12"/>
        <rFont val="ＭＳ Ｐゴシック"/>
        <family val="3"/>
        <charset val="128"/>
      </rPr>
      <t>地盤沈下の抑制</t>
    </r>
    <phoneticPr fontId="3"/>
  </si>
  <si>
    <t>まとまった量を汲み上げている</t>
    <phoneticPr fontId="3"/>
  </si>
  <si>
    <t>若干量を汲み上げている</t>
    <phoneticPr fontId="3"/>
  </si>
  <si>
    <t>観測井により地下地位モニタリングをしている</t>
    <phoneticPr fontId="3"/>
  </si>
  <si>
    <t>モニタリングをして地下地位が下がっていないことを確認している</t>
    <phoneticPr fontId="3"/>
  </si>
  <si>
    <r>
      <t xml:space="preserve">2.2 </t>
    </r>
    <r>
      <rPr>
        <b/>
        <sz val="12"/>
        <color indexed="8"/>
        <rFont val="ＭＳ Ｐゴシック"/>
        <family val="3"/>
        <charset val="128"/>
      </rPr>
      <t>水資源</t>
    </r>
    <phoneticPr fontId="3"/>
  </si>
  <si>
    <r>
      <t xml:space="preserve">2.2.1 </t>
    </r>
    <r>
      <rPr>
        <b/>
        <sz val="12"/>
        <color indexed="8"/>
        <rFont val="ＭＳ Ｐゴシック"/>
        <family val="3"/>
        <charset val="128"/>
      </rPr>
      <t>上水使用量の削減</t>
    </r>
    <phoneticPr fontId="3"/>
  </si>
  <si>
    <t>非住宅系</t>
    <rPh sb="0" eb="3">
      <t>ヒジュウタク</t>
    </rPh>
    <rPh sb="3" eb="4">
      <t>ケイ</t>
    </rPh>
    <phoneticPr fontId="3"/>
  </si>
  <si>
    <t>上水使用量原単位が3,750L/㎡・年以上、5,000L/㎡・年未満の範囲</t>
  </si>
  <si>
    <t>上水使用量原単位が2,700L/㎡・年以上、3,750L/㎡・年未満の範囲</t>
  </si>
  <si>
    <t>上水使用量原単位が2,000L/㎡・年以上、2,700L/㎡・年未満の範囲</t>
  </si>
  <si>
    <t>上水使用量原単位が2,000L/㎡・年未満の範囲</t>
  </si>
  <si>
    <t>事務所</t>
    <rPh sb="0" eb="3">
      <t>ジムショ</t>
    </rPh>
    <phoneticPr fontId="3"/>
  </si>
  <si>
    <t>①物販店</t>
    <rPh sb="1" eb="4">
      <t>ブッパンテン</t>
    </rPh>
    <phoneticPr fontId="3"/>
  </si>
  <si>
    <t>②飲食店</t>
    <rPh sb="1" eb="4">
      <t>インショクテン</t>
    </rPh>
    <phoneticPr fontId="3"/>
  </si>
  <si>
    <t>③デパート</t>
    <phoneticPr fontId="3"/>
  </si>
  <si>
    <t>④家電量販店</t>
    <rPh sb="1" eb="3">
      <t>カデン</t>
    </rPh>
    <rPh sb="3" eb="6">
      <t>リョウハンテン</t>
    </rPh>
    <phoneticPr fontId="3"/>
  </si>
  <si>
    <t>⑤コンビニ</t>
    <phoneticPr fontId="3"/>
  </si>
  <si>
    <t>⑥店舗の事務室</t>
    <rPh sb="1" eb="3">
      <t>テンポ</t>
    </rPh>
    <rPh sb="4" eb="7">
      <t>ジムシツ</t>
    </rPh>
    <phoneticPr fontId="3"/>
  </si>
  <si>
    <t>⑦郊外型店舗</t>
    <rPh sb="1" eb="4">
      <t>コウガイガタ</t>
    </rPh>
    <rPh sb="4" eb="6">
      <t>テンポ</t>
    </rPh>
    <phoneticPr fontId="3"/>
  </si>
  <si>
    <t>延面積(m2)</t>
    <rPh sb="0" eb="3">
      <t>ノベメンセキ</t>
    </rPh>
    <phoneticPr fontId="3"/>
  </si>
  <si>
    <t>計算値(L/m2年)</t>
    <rPh sb="0" eb="3">
      <t>ケイサンチ</t>
    </rPh>
    <rPh sb="8" eb="9">
      <t>ネン</t>
    </rPh>
    <phoneticPr fontId="3"/>
  </si>
  <si>
    <t>実績値(L/m2年)</t>
    <rPh sb="0" eb="3">
      <t>ジッセキチ</t>
    </rPh>
    <rPh sb="8" eb="9">
      <t>ネン</t>
    </rPh>
    <phoneticPr fontId="3"/>
  </si>
  <si>
    <t>レベル</t>
    <phoneticPr fontId="3"/>
  </si>
  <si>
    <t>水の有効利用に関する対策を行っていない</t>
    <phoneticPr fontId="3"/>
  </si>
  <si>
    <t>導入されている水の有効利用に関する対策項目が1つ</t>
    <phoneticPr fontId="3"/>
  </si>
  <si>
    <t>導入されている水の有効利用に関する対策項目が2つ</t>
    <phoneticPr fontId="3"/>
  </si>
  <si>
    <t>導入されている水の有効利用に関する対策項目が3つ</t>
    <phoneticPr fontId="3"/>
  </si>
  <si>
    <t>導入されている水の有効利用に関する対策項目が4つ以上</t>
    <phoneticPr fontId="3"/>
  </si>
  <si>
    <r>
      <t xml:space="preserve">2.2.1.2 </t>
    </r>
    <r>
      <rPr>
        <b/>
        <sz val="10"/>
        <rFont val="ＭＳ Ｐゴシック"/>
        <family val="3"/>
        <charset val="128"/>
      </rPr>
      <t>雨水</t>
    </r>
    <r>
      <rPr>
        <b/>
        <sz val="10"/>
        <rFont val="Arial"/>
        <family val="2"/>
      </rPr>
      <t>/</t>
    </r>
    <r>
      <rPr>
        <b/>
        <sz val="10"/>
        <rFont val="ＭＳ Ｐゴシック"/>
        <family val="3"/>
        <charset val="128"/>
      </rPr>
      <t>井水利用</t>
    </r>
    <phoneticPr fontId="3"/>
  </si>
  <si>
    <t>取組数</t>
    <rPh sb="0" eb="3">
      <t>トリクミスウ</t>
    </rPh>
    <phoneticPr fontId="3"/>
  </si>
  <si>
    <t>雨水又は井水を、利用していない</t>
    <phoneticPr fontId="3"/>
  </si>
  <si>
    <t>雨水又は井水を、街区の一部で利用している</t>
    <phoneticPr fontId="3"/>
  </si>
  <si>
    <t>雨水又は井水を、街区雑用水の20％以上で利用している</t>
    <phoneticPr fontId="3"/>
  </si>
  <si>
    <t>雨水又は井水を、街区雑用水の過半で利用している</t>
    <phoneticPr fontId="3"/>
  </si>
  <si>
    <r>
      <t xml:space="preserve">2.2.1.3 </t>
    </r>
    <r>
      <rPr>
        <b/>
        <sz val="10"/>
        <rFont val="ＭＳ Ｐゴシック"/>
        <family val="3"/>
        <charset val="128"/>
      </rPr>
      <t>中水利用</t>
    </r>
    <phoneticPr fontId="3"/>
  </si>
  <si>
    <t>中水を、利用していない</t>
    <phoneticPr fontId="3"/>
  </si>
  <si>
    <t>中水を、街区の一部で利用している</t>
    <phoneticPr fontId="3"/>
  </si>
  <si>
    <t>中水を、街区雑用水の20％以上で利用している</t>
    <phoneticPr fontId="3"/>
  </si>
  <si>
    <t>中水を、街区雑用水の過半で利用している</t>
    <phoneticPr fontId="3"/>
  </si>
  <si>
    <t>2.2.2 下水道負荷の軽減</t>
    <phoneticPr fontId="3"/>
  </si>
  <si>
    <r>
      <t xml:space="preserve">2.2.2.1 </t>
    </r>
    <r>
      <rPr>
        <b/>
        <sz val="10"/>
        <rFont val="ＭＳ Ｐゴシック"/>
        <family val="3"/>
        <charset val="128"/>
      </rPr>
      <t>排水量削減</t>
    </r>
    <phoneticPr fontId="3"/>
  </si>
  <si>
    <t>配慮していない</t>
    <phoneticPr fontId="3"/>
  </si>
  <si>
    <t>過半が節水型トイレ(4Ｌ台/回)利用している</t>
    <phoneticPr fontId="3"/>
  </si>
  <si>
    <t>中水道システムを導入している</t>
    <phoneticPr fontId="3"/>
  </si>
  <si>
    <t>導入していない</t>
    <phoneticPr fontId="3"/>
  </si>
  <si>
    <t>法的要求容量、300㎥/ha未満の取組み（行政指導なしの場合）</t>
    <phoneticPr fontId="3"/>
  </si>
  <si>
    <t>導入している</t>
    <phoneticPr fontId="3"/>
  </si>
  <si>
    <t>空地面積の20％以上導入している</t>
    <phoneticPr fontId="3"/>
  </si>
  <si>
    <t>法的要求容量の1.2倍以上、300㎥/ha以上の取組み（行政指導なしの場合）</t>
    <phoneticPr fontId="3"/>
  </si>
  <si>
    <t>空地面積の過半導入している</t>
    <phoneticPr fontId="3"/>
  </si>
  <si>
    <r>
      <t xml:space="preserve">2.3 </t>
    </r>
    <r>
      <rPr>
        <b/>
        <sz val="12"/>
        <color theme="1"/>
        <rFont val="ＭＳ Ｐゴシック"/>
        <family val="3"/>
        <charset val="128"/>
      </rPr>
      <t>資源循環</t>
    </r>
    <phoneticPr fontId="3"/>
  </si>
  <si>
    <r>
      <t xml:space="preserve">2.3.1 </t>
    </r>
    <r>
      <rPr>
        <b/>
        <sz val="12"/>
        <rFont val="ＭＳ Ｐゴシック"/>
        <family val="3"/>
        <charset val="128"/>
      </rPr>
      <t>建材の選択</t>
    </r>
    <phoneticPr fontId="3"/>
  </si>
  <si>
    <r>
      <t xml:space="preserve">2.3.1.1 </t>
    </r>
    <r>
      <rPr>
        <b/>
        <sz val="10"/>
        <rFont val="ＭＳ Ｐゴシック"/>
        <family val="3"/>
        <charset val="128"/>
      </rPr>
      <t>持続可能な森林の木材使用</t>
    </r>
    <phoneticPr fontId="3"/>
  </si>
  <si>
    <t>使用していない</t>
    <phoneticPr fontId="3"/>
  </si>
  <si>
    <r>
      <t xml:space="preserve">2.3.1.2 </t>
    </r>
    <r>
      <rPr>
        <b/>
        <sz val="10"/>
        <rFont val="ＭＳ Ｐゴシック"/>
        <family val="3"/>
        <charset val="128"/>
      </rPr>
      <t>リサイクル資材の使用</t>
    </r>
    <r>
      <rPr>
        <b/>
        <sz val="10"/>
        <rFont val="Arial"/>
        <family val="2"/>
      </rPr>
      <t>(</t>
    </r>
    <r>
      <rPr>
        <b/>
        <sz val="10"/>
        <rFont val="ＭＳ Ｐゴシック"/>
        <family val="3"/>
        <charset val="128"/>
      </rPr>
      <t>躯体、非構造材料</t>
    </r>
    <r>
      <rPr>
        <b/>
        <sz val="10"/>
        <rFont val="Arial"/>
        <family val="2"/>
      </rPr>
      <t>)</t>
    </r>
    <phoneticPr fontId="3"/>
  </si>
  <si>
    <t>4品目使用している</t>
    <phoneticPr fontId="3"/>
  </si>
  <si>
    <t>6品目使用している</t>
    <phoneticPr fontId="3"/>
  </si>
  <si>
    <t>2.3.2 ゴミ等の処理負荷の軽減</t>
    <phoneticPr fontId="3"/>
  </si>
  <si>
    <r>
      <t xml:space="preserve">2.3.2.1 </t>
    </r>
    <r>
      <rPr>
        <b/>
        <sz val="10"/>
        <rFont val="ＭＳ Ｐゴシック"/>
        <family val="3"/>
        <charset val="128"/>
      </rPr>
      <t>ゴミの分別回収</t>
    </r>
    <phoneticPr fontId="3"/>
  </si>
  <si>
    <t>自治体ルール未満</t>
    <phoneticPr fontId="3"/>
  </si>
  <si>
    <t>自治体ルールに基づき分別回収している。</t>
    <phoneticPr fontId="3"/>
  </si>
  <si>
    <t>自治体ルールに基づく分別に加え、自治体ルール+1品目かつ品目の処理ルールが確立されている</t>
    <phoneticPr fontId="3"/>
  </si>
  <si>
    <t>2.3.2.2 ゴミの減容化、減量化、堆肥化</t>
    <phoneticPr fontId="3"/>
  </si>
  <si>
    <t>利用なし</t>
    <phoneticPr fontId="3"/>
  </si>
  <si>
    <t>有機物を堆肥化している</t>
    <phoneticPr fontId="3"/>
  </si>
  <si>
    <t>食品廃棄物の削減（賞味期限の延長、長期保存容器の採用など）</t>
    <phoneticPr fontId="3"/>
  </si>
  <si>
    <t>食器のリサイクルへの取組み（軽量化、エコトレイ化など）</t>
    <phoneticPr fontId="3"/>
  </si>
  <si>
    <t>食用油などの再利用への取組み</t>
    <phoneticPr fontId="3"/>
  </si>
  <si>
    <t>本項目のレベルは、ライフサイクルCO2の排出率を１～５に換算した値（小数点以下第１位まで）であらわされる。
なおレベル１、３，５は以下の排出率で定義される。
レベル１：ライフサイクルCO2排出率が参照値に対して１２５％以上
レベル３：ライフサイクルCO2排出率が参照値に対して１００％
レベル５：ライフサイクルCO2排出率が参照値に対して５０％以下</t>
    <phoneticPr fontId="3"/>
  </si>
  <si>
    <r>
      <t>ライフサイクルCO</t>
    </r>
    <r>
      <rPr>
        <b/>
        <vertAlign val="subscript"/>
        <sz val="9"/>
        <rFont val="ＭＳ Ｐゴシック"/>
        <family val="3"/>
        <charset val="128"/>
      </rPr>
      <t>2</t>
    </r>
    <r>
      <rPr>
        <b/>
        <sz val="9"/>
        <rFont val="ＭＳ Ｐゴシック"/>
        <family val="3"/>
        <charset val="128"/>
      </rPr>
      <t>概算値</t>
    </r>
    <rPh sb="10" eb="12">
      <t>ガイサン</t>
    </rPh>
    <rPh sb="12" eb="13">
      <t>チ</t>
    </rPh>
    <phoneticPr fontId="3"/>
  </si>
  <si>
    <r>
      <t>kg-CO</t>
    </r>
    <r>
      <rPr>
        <vertAlign val="subscript"/>
        <sz val="9"/>
        <rFont val="ＭＳ Ｐゴシック"/>
        <family val="3"/>
        <charset val="128"/>
      </rPr>
      <t>2</t>
    </r>
    <r>
      <rPr>
        <sz val="9"/>
        <rFont val="ＭＳ Ｐゴシック"/>
        <family val="3"/>
        <charset val="128"/>
      </rPr>
      <t>/年㎡</t>
    </r>
    <rPh sb="7" eb="8">
      <t>ネン</t>
    </rPh>
    <phoneticPr fontId="3"/>
  </si>
  <si>
    <t>修繕・更新・解体</t>
    <rPh sb="3" eb="5">
      <t>コウシン</t>
    </rPh>
    <phoneticPr fontId="3"/>
  </si>
  <si>
    <t>排出率</t>
    <rPh sb="0" eb="2">
      <t>ハイシュツ</t>
    </rPh>
    <rPh sb="2" eb="3">
      <t>リツ</t>
    </rPh>
    <phoneticPr fontId="3"/>
  </si>
  <si>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3"/>
  </si>
  <si>
    <t>参照値</t>
    <rPh sb="0" eb="2">
      <t>サンショウ</t>
    </rPh>
    <rPh sb="2" eb="3">
      <t>チ</t>
    </rPh>
    <phoneticPr fontId="3"/>
  </si>
  <si>
    <t>換算スコア＝</t>
    <rPh sb="0" eb="2">
      <t>カンサン</t>
    </rPh>
    <phoneticPr fontId="3"/>
  </si>
  <si>
    <t>評価対象</t>
    <rPh sb="0" eb="2">
      <t>ヒョウカ</t>
    </rPh>
    <rPh sb="2" eb="4">
      <t>タイショウ</t>
    </rPh>
    <phoneticPr fontId="3"/>
  </si>
  <si>
    <t>建築物１</t>
    <rPh sb="0" eb="3">
      <t>ケンチクブツ</t>
    </rPh>
    <phoneticPr fontId="3"/>
  </si>
  <si>
    <t>建築物２</t>
    <rPh sb="0" eb="3">
      <t>ケンチクブツ</t>
    </rPh>
    <phoneticPr fontId="3"/>
  </si>
  <si>
    <t>建築物３</t>
    <rPh sb="0" eb="3">
      <t>ケンチクブツ</t>
    </rPh>
    <phoneticPr fontId="3"/>
  </si>
  <si>
    <t>建築物４</t>
    <rPh sb="0" eb="3">
      <t>ケンチクブツ</t>
    </rPh>
    <phoneticPr fontId="3"/>
  </si>
  <si>
    <t>建築物５</t>
    <rPh sb="0" eb="3">
      <t>ケンチクブツ</t>
    </rPh>
    <phoneticPr fontId="3"/>
  </si>
  <si>
    <t>建築物６</t>
    <rPh sb="0" eb="3">
      <t>ケンチクブツ</t>
    </rPh>
    <phoneticPr fontId="3"/>
  </si>
  <si>
    <t>整合していない</t>
    <phoneticPr fontId="3"/>
  </si>
  <si>
    <t>整合している</t>
    <phoneticPr fontId="3"/>
  </si>
  <si>
    <t>整合し、かつ周辺道路整備など区域外に及ぶ整備を行っている</t>
    <phoneticPr fontId="3"/>
  </si>
  <si>
    <t>交通施設整備など積極的に寄与している（道路新設により周辺地域の交通渋滞を軽減する等）</t>
    <phoneticPr fontId="3"/>
  </si>
  <si>
    <t>自治体の取組みに参加していない</t>
    <phoneticPr fontId="3"/>
  </si>
  <si>
    <t>自治体に取組みが無い</t>
    <phoneticPr fontId="3"/>
  </si>
  <si>
    <t>自治体の取組みに参加している</t>
    <phoneticPr fontId="3"/>
  </si>
  <si>
    <r>
      <t xml:space="preserve">3.2.2.1 </t>
    </r>
    <r>
      <rPr>
        <b/>
        <sz val="10"/>
        <rFont val="ＭＳ Ｐゴシック"/>
        <family val="3"/>
        <charset val="128"/>
      </rPr>
      <t>他の交通手段への転換による自動車交通量の総量削減</t>
    </r>
    <phoneticPr fontId="3"/>
  </si>
  <si>
    <t>取組みがなされていない</t>
    <phoneticPr fontId="3"/>
  </si>
  <si>
    <t>取組みがなされている（削減計画がある）</t>
    <phoneticPr fontId="3"/>
  </si>
  <si>
    <t>取組みがなされている（削減計画に目標値が設定されている）</t>
    <phoneticPr fontId="3"/>
  </si>
  <si>
    <t>削減目標値の検証計画がある、かつ継続的に削減努力を実行する</t>
    <phoneticPr fontId="3"/>
  </si>
  <si>
    <t>3.2.2.2 周辺道路への負荷を抑制する動線計画</t>
    <phoneticPr fontId="3"/>
  </si>
  <si>
    <t>動線計画を作成していない</t>
    <phoneticPr fontId="3"/>
  </si>
  <si>
    <t>動線計画を作成し、渋滞発生させない対策を講じている</t>
    <phoneticPr fontId="3"/>
  </si>
  <si>
    <t>動線計画の検証計画がある、もしくは継続的に検証している</t>
    <phoneticPr fontId="3"/>
  </si>
  <si>
    <r>
      <t xml:space="preserve">3.3.1 </t>
    </r>
    <r>
      <rPr>
        <b/>
        <sz val="12"/>
        <color indexed="8"/>
        <rFont val="ＭＳ Ｐゴシック"/>
        <family val="3"/>
        <charset val="128"/>
      </rPr>
      <t>ヒートアイランドの緩和</t>
    </r>
    <phoneticPr fontId="3"/>
  </si>
  <si>
    <t>QUD</t>
    <phoneticPr fontId="3"/>
  </si>
  <si>
    <t>LRUD</t>
    <phoneticPr fontId="3"/>
  </si>
  <si>
    <t>工夫していない</t>
    <phoneticPr fontId="3"/>
  </si>
  <si>
    <t>標準的工夫</t>
    <phoneticPr fontId="3"/>
  </si>
  <si>
    <t>中間的な工夫をしている</t>
    <phoneticPr fontId="3"/>
  </si>
  <si>
    <t>最新の防止装置を全面的に採用</t>
    <phoneticPr fontId="3"/>
  </si>
  <si>
    <r>
      <t xml:space="preserve">3.3.3.1 </t>
    </r>
    <r>
      <rPr>
        <b/>
        <sz val="10"/>
        <rFont val="ＭＳ Ｐゴシック"/>
        <family val="3"/>
        <charset val="128"/>
      </rPr>
      <t>騒音が対象区域外に及ぼす影響の軽減</t>
    </r>
    <phoneticPr fontId="3"/>
  </si>
  <si>
    <t>多少の配慮をしている</t>
    <phoneticPr fontId="3"/>
  </si>
  <si>
    <t>標準的配慮をしている</t>
    <phoneticPr fontId="3"/>
  </si>
  <si>
    <t>積極的配慮をしている</t>
    <phoneticPr fontId="3"/>
  </si>
  <si>
    <t>全面的配慮をしている</t>
    <phoneticPr fontId="3"/>
  </si>
  <si>
    <r>
      <t xml:space="preserve">3.3.3.2 </t>
    </r>
    <r>
      <rPr>
        <b/>
        <sz val="10"/>
        <rFont val="ＭＳ Ｐゴシック"/>
        <family val="3"/>
        <charset val="128"/>
      </rPr>
      <t>振動が対象区域外に及ぼす影響の軽減</t>
    </r>
    <phoneticPr fontId="3"/>
  </si>
  <si>
    <t>配慮している</t>
    <phoneticPr fontId="3"/>
  </si>
  <si>
    <r>
      <t xml:space="preserve">3.3.3.3 </t>
    </r>
    <r>
      <rPr>
        <b/>
        <sz val="10"/>
        <rFont val="ＭＳ Ｐゴシック"/>
        <family val="2"/>
        <charset val="128"/>
      </rPr>
      <t>悪臭が対象区域外に及ぼす影響の軽減</t>
    </r>
    <phoneticPr fontId="3"/>
  </si>
  <si>
    <t>強風域などを把握していない</t>
    <phoneticPr fontId="3"/>
  </si>
  <si>
    <t>強風域などを把握しているが、レベル3を満たしていない</t>
    <phoneticPr fontId="3"/>
  </si>
  <si>
    <t>敷地周辺およびその公開空地などにおいて、土地利用に応じた風環境（ランク評価）を満足している</t>
    <phoneticPr fontId="3"/>
  </si>
  <si>
    <t>敷地周辺およびその公開空地などにおいて、土地利用に応じた風環境（ランク評価）を満足し、かつ求められるランクより良い計測点が複数存在する</t>
    <phoneticPr fontId="3"/>
  </si>
  <si>
    <t>レベル4を満たし、かつ敷地周辺およびその公開空地などにおいて、従前と比較して風環境（ランク評価）が悪化していない</t>
    <phoneticPr fontId="3"/>
  </si>
  <si>
    <t>建築基準法を遵守している</t>
    <phoneticPr fontId="3"/>
  </si>
  <si>
    <t>建築群として複合日影を調査し、基準を満たしている</t>
    <phoneticPr fontId="3"/>
  </si>
  <si>
    <t>建築群として複合日影を調査し、１ランク上の基準を満たしている</t>
    <phoneticPr fontId="3"/>
  </si>
  <si>
    <r>
      <t xml:space="preserve">3.3.6.1 </t>
    </r>
    <r>
      <rPr>
        <b/>
        <sz val="10"/>
        <rFont val="ＭＳ Ｐゴシック"/>
        <family val="2"/>
        <charset val="128"/>
      </rPr>
      <t>照明・広告物等の光害の抑制</t>
    </r>
    <phoneticPr fontId="3"/>
  </si>
  <si>
    <t>【検討体制】</t>
    <phoneticPr fontId="3"/>
  </si>
  <si>
    <t>光環境に関連する地域の取組との協力を検討したか。</t>
  </si>
  <si>
    <t>【目的の明確化】</t>
    <phoneticPr fontId="3"/>
  </si>
  <si>
    <t>全ての照明について目的が明確になっているか。</t>
  </si>
  <si>
    <t>【適切な配光制御】</t>
    <phoneticPr fontId="3"/>
  </si>
  <si>
    <t>照明領域を明確にし、適切な配光の光源・照明器具を選択したか。※上方光束については、できる限りゼロに近づけよう検討する。</t>
    <phoneticPr fontId="3"/>
  </si>
  <si>
    <t>周囲の明るさを考慮し、グレアの抑制に適切な光源・照明器具を選択したか。</t>
  </si>
  <si>
    <t>屋外広告物照明等の光軸が水平より下方を向いてるか。</t>
  </si>
  <si>
    <t>【点灯時間管理】</t>
    <phoneticPr fontId="3"/>
  </si>
  <si>
    <t>照明の目的や需要に応じた点灯時間管理を検討したか。</t>
  </si>
  <si>
    <t>より効率的な制御のため、タイマ、照度センサ、人感センサ等の導入を検討したか。</t>
  </si>
  <si>
    <t>生活に支障のない範囲での深夜消灯を検討したか。</t>
  </si>
  <si>
    <t>【適切な光量・光色の設定・選択】</t>
    <phoneticPr fontId="3"/>
  </si>
  <si>
    <t>環境・目的に合った光量に設定したか。</t>
  </si>
  <si>
    <t>電球色等の相関色温度の低い照明器具の選択を検討したか。（夜空を暗く保つには相関色温度を3000K以下にすることが望ましい。）</t>
    <phoneticPr fontId="3"/>
  </si>
  <si>
    <t>照明の目的・需要に応じた光量・光色のコントロールを検討したか。</t>
  </si>
  <si>
    <r>
      <t xml:space="preserve">3.3.6.2 </t>
    </r>
    <r>
      <rPr>
        <b/>
        <sz val="10"/>
        <rFont val="ＭＳ Ｐゴシック"/>
        <family val="2"/>
        <charset val="128"/>
      </rPr>
      <t>建物外壁や屋外構造物による昼光反射の抑制</t>
    </r>
    <phoneticPr fontId="3"/>
  </si>
  <si>
    <t>全面的な工夫</t>
    <phoneticPr fontId="3"/>
  </si>
  <si>
    <t>No.4</t>
    <phoneticPr fontId="3"/>
  </si>
  <si>
    <t>【対象外】悪臭の発生源が対象区域内に存在しない場合</t>
    <phoneticPr fontId="3"/>
  </si>
  <si>
    <t>対象外の場合は理由を記述</t>
    <rPh sb="0" eb="3">
      <t>タイショウガイ</t>
    </rPh>
    <rPh sb="4" eb="6">
      <t>バアイ</t>
    </rPh>
    <rPh sb="7" eb="9">
      <t>リユウ</t>
    </rPh>
    <rPh sb="10" eb="12">
      <t>キジュツ</t>
    </rPh>
    <phoneticPr fontId="3"/>
  </si>
  <si>
    <r>
      <t>ライフサイクルCO</t>
    </r>
    <r>
      <rPr>
        <b/>
        <vertAlign val="subscript"/>
        <sz val="9"/>
        <rFont val="ＭＳ Ｐゴシック"/>
        <family val="3"/>
        <charset val="128"/>
      </rPr>
      <t>2</t>
    </r>
    <phoneticPr fontId="3"/>
  </si>
  <si>
    <t>★☆☆☆☆</t>
    <phoneticPr fontId="3"/>
  </si>
  <si>
    <t>★★☆☆☆</t>
    <phoneticPr fontId="3"/>
  </si>
  <si>
    <t>★★★☆☆</t>
    <phoneticPr fontId="3"/>
  </si>
  <si>
    <t>★★★★☆</t>
    <phoneticPr fontId="3"/>
  </si>
  <si>
    <t>★★★★★</t>
    <phoneticPr fontId="3"/>
  </si>
  <si>
    <t>ステージA</t>
    <phoneticPr fontId="3"/>
  </si>
  <si>
    <t>A1</t>
    <phoneticPr fontId="3"/>
  </si>
  <si>
    <t>A2</t>
    <phoneticPr fontId="3"/>
  </si>
  <si>
    <t>A3</t>
  </si>
  <si>
    <t>A4</t>
  </si>
  <si>
    <t>A5</t>
  </si>
  <si>
    <t>目標値</t>
    <rPh sb="0" eb="3">
      <t>モクヒョウチ</t>
    </rPh>
    <phoneticPr fontId="3"/>
  </si>
  <si>
    <t>B6-B7</t>
    <phoneticPr fontId="3"/>
  </si>
  <si>
    <t>ステージB</t>
    <phoneticPr fontId="3"/>
  </si>
  <si>
    <t>C1</t>
    <phoneticPr fontId="3"/>
  </si>
  <si>
    <t>C2</t>
  </si>
  <si>
    <t>C3</t>
  </si>
  <si>
    <t>C4</t>
  </si>
  <si>
    <t>ステージC</t>
    <phoneticPr fontId="3"/>
  </si>
  <si>
    <t>LCCO2</t>
    <phoneticPr fontId="3"/>
  </si>
  <si>
    <t>B1-B5</t>
    <phoneticPr fontId="3"/>
  </si>
  <si>
    <t>－</t>
    <phoneticPr fontId="3"/>
  </si>
  <si>
    <r>
      <t>CO2</t>
    </r>
    <r>
      <rPr>
        <b/>
        <sz val="11"/>
        <color rgb="FFFF0000"/>
        <rFont val="Yu Gothic"/>
        <family val="2"/>
        <charset val="128"/>
      </rPr>
      <t>パーセント</t>
    </r>
    <phoneticPr fontId="3"/>
  </si>
  <si>
    <r>
      <t xml:space="preserve">1.2.1 </t>
    </r>
    <r>
      <rPr>
        <b/>
        <sz val="12"/>
        <color indexed="8"/>
        <rFont val="ＭＳ Ｐゴシック"/>
        <family val="3"/>
        <charset val="128"/>
      </rPr>
      <t>水と緑</t>
    </r>
    <rPh sb="6" eb="7">
      <t>ミズ</t>
    </rPh>
    <rPh sb="8" eb="9">
      <t>ミドリ</t>
    </rPh>
    <phoneticPr fontId="3"/>
  </si>
  <si>
    <r>
      <t xml:space="preserve">1.2.1.1 </t>
    </r>
    <r>
      <rPr>
        <b/>
        <sz val="10"/>
        <rFont val="ＭＳ Ｐゴシック"/>
        <family val="3"/>
        <charset val="128"/>
      </rPr>
      <t>地上部の水と緑</t>
    </r>
    <rPh sb="8" eb="10">
      <t>チジョウ</t>
    </rPh>
    <rPh sb="10" eb="11">
      <t>ブ</t>
    </rPh>
    <rPh sb="12" eb="13">
      <t>ミズ</t>
    </rPh>
    <rPh sb="14" eb="15">
      <t>ミドリ</t>
    </rPh>
    <phoneticPr fontId="3"/>
  </si>
  <si>
    <r>
      <t xml:space="preserve">1.2.1.2 </t>
    </r>
    <r>
      <rPr>
        <b/>
        <sz val="10"/>
        <rFont val="ＭＳ Ｐゴシック"/>
        <family val="3"/>
        <charset val="128"/>
      </rPr>
      <t>建物の緑</t>
    </r>
    <rPh sb="11" eb="12">
      <t>ミドリ</t>
    </rPh>
    <phoneticPr fontId="3"/>
  </si>
  <si>
    <r>
      <t xml:space="preserve">1.1.2 </t>
    </r>
    <r>
      <rPr>
        <b/>
        <sz val="12"/>
        <color indexed="8"/>
        <rFont val="ＭＳ Ｐゴシック"/>
        <family val="3"/>
        <charset val="128"/>
      </rPr>
      <t>生物の生息空間の確保</t>
    </r>
    <rPh sb="6" eb="8">
      <t>セイブツ</t>
    </rPh>
    <rPh sb="9" eb="11">
      <t>セイソク</t>
    </rPh>
    <rPh sb="11" eb="13">
      <t>クウカン</t>
    </rPh>
    <rPh sb="14" eb="16">
      <t>カクホ</t>
    </rPh>
    <phoneticPr fontId="3"/>
  </si>
  <si>
    <r>
      <t xml:space="preserve">1.2.2.2 </t>
    </r>
    <r>
      <rPr>
        <b/>
        <sz val="10"/>
        <rFont val="ＭＳ Ｐゴシック"/>
        <family val="3"/>
        <charset val="128"/>
      </rPr>
      <t>輻射熱・反射の抑制</t>
    </r>
    <phoneticPr fontId="3"/>
  </si>
  <si>
    <t>複数の移動主体を組み合わせたまま、予約、決算の統合がなされた形でモビリティサービスが提供されている（MaaSレベル2）
または、MaaS レベル3 以上のモビリティサービスが提供されている</t>
    <phoneticPr fontId="3"/>
  </si>
  <si>
    <t>評価する取組はエネルギー供給構造高度化法にて定義される再生可能エネルギーを活用した手法とする。</t>
    <phoneticPr fontId="3"/>
  </si>
  <si>
    <t>（例：太陽光、風力、水力、地熱、太陽熱、バイオマス）</t>
    <phoneticPr fontId="3"/>
  </si>
  <si>
    <t>評価する取組は、有効に利用できる可能性があるにも関わらず、これまで利用されてこなかった自然や</t>
    <phoneticPr fontId="3"/>
  </si>
  <si>
    <t>都市に賦存している熱を活用した手法とする。</t>
    <phoneticPr fontId="3"/>
  </si>
  <si>
    <t>（例： 河川水・下水熱・湧水利用・清掃工場排熱・地域冷暖房排熱・変電所排熱・その他都市排熱等）</t>
    <phoneticPr fontId="3"/>
  </si>
  <si>
    <r>
      <t xml:space="preserve">1.4.1 </t>
    </r>
    <r>
      <rPr>
        <b/>
        <sz val="12"/>
        <rFont val="ＭＳ Ｐゴシック"/>
        <family val="3"/>
        <charset val="128"/>
      </rPr>
      <t>需給システムのスマート化</t>
    </r>
    <rPh sb="6" eb="8">
      <t>ジュキュウ</t>
    </rPh>
    <rPh sb="17" eb="18">
      <t>カ</t>
    </rPh>
    <phoneticPr fontId="3"/>
  </si>
  <si>
    <r>
      <t xml:space="preserve">1.4.2 </t>
    </r>
    <r>
      <rPr>
        <b/>
        <sz val="12"/>
        <rFont val="ＭＳ Ｐゴシック"/>
        <family val="3"/>
        <charset val="128"/>
      </rPr>
      <t>更新性・拡張性</t>
    </r>
    <phoneticPr fontId="3"/>
  </si>
  <si>
    <t>地球温暖化
への配慮</t>
    <rPh sb="8" eb="10">
      <t>ハイリョ</t>
    </rPh>
    <phoneticPr fontId="3"/>
  </si>
  <si>
    <t>クリーンエネルギーを動力源とする交通手段を導入していない</t>
    <phoneticPr fontId="3"/>
  </si>
  <si>
    <t>クリーンエネルギーを動力源とする交通手段を導入している</t>
    <phoneticPr fontId="3"/>
  </si>
  <si>
    <t>【対象外】振動の発生源が対象区域内に存在しない場合</t>
    <rPh sb="5" eb="7">
      <t>シンドウ</t>
    </rPh>
    <phoneticPr fontId="3"/>
  </si>
  <si>
    <t>【対象外】戸建て住宅団地開発など高層の建物が存在しない場合</t>
    <phoneticPr fontId="3"/>
  </si>
  <si>
    <t>【対象外】当該区域に日影規制が無い場合</t>
    <phoneticPr fontId="3"/>
  </si>
  <si>
    <t>検討体制に照明の専門家（照明メーカ担当者等の専門知識や知見等を有する者）が参加しているか。参加が困難な場合、アドバイザーとして助言を得たか。</t>
    <phoneticPr fontId="3"/>
  </si>
  <si>
    <t>【対象外】計画地が埋立地等自然由来土壌でない場合</t>
    <rPh sb="9" eb="12">
      <t>ウメタテチ</t>
    </rPh>
    <rPh sb="12" eb="13">
      <t>トウ</t>
    </rPh>
    <rPh sb="13" eb="15">
      <t>シゼン</t>
    </rPh>
    <rPh sb="15" eb="17">
      <t>ユライ</t>
    </rPh>
    <rPh sb="17" eb="19">
      <t>ドジョウ</t>
    </rPh>
    <rPh sb="22" eb="24">
      <t>バアイ</t>
    </rPh>
    <phoneticPr fontId="3"/>
  </si>
  <si>
    <t>【対象外】非住宅系開発の場合</t>
    <phoneticPr fontId="3"/>
  </si>
  <si>
    <t>【対象外】非住宅系開発の場合は対象外としてよい。</t>
    <rPh sb="5" eb="6">
      <t>ヒ</t>
    </rPh>
    <phoneticPr fontId="3"/>
  </si>
  <si>
    <t>【対象外】飲食施設がない場合</t>
    <phoneticPr fontId="3"/>
  </si>
  <si>
    <t>【対象外】区域内の事業者が運用する自動車運航などがない場合</t>
    <phoneticPr fontId="3"/>
  </si>
  <si>
    <t>【対象外】エネルギーの面的な利用施設がない場合</t>
    <phoneticPr fontId="3"/>
  </si>
  <si>
    <r>
      <t xml:space="preserve">2.2.1.1 </t>
    </r>
    <r>
      <rPr>
        <b/>
        <sz val="10"/>
        <rFont val="ＭＳ Ｐゴシック"/>
        <family val="3"/>
        <charset val="128"/>
      </rPr>
      <t>節水</t>
    </r>
    <phoneticPr fontId="3"/>
  </si>
  <si>
    <t>【対象外】下水処理場の上部の施設などの場合</t>
    <rPh sb="5" eb="7">
      <t>ゲスイ</t>
    </rPh>
    <rPh sb="7" eb="10">
      <t>ショリジョウ</t>
    </rPh>
    <rPh sb="11" eb="13">
      <t>ジョウブ</t>
    </rPh>
    <rPh sb="14" eb="16">
      <t>シセツ</t>
    </rPh>
    <phoneticPr fontId="3"/>
  </si>
  <si>
    <r>
      <t xml:space="preserve">2.2.2.2 </t>
    </r>
    <r>
      <rPr>
        <b/>
        <sz val="10"/>
        <rFont val="ＭＳ Ｐゴシック"/>
        <family val="3"/>
        <charset val="128"/>
      </rPr>
      <t>雨水流出抑制</t>
    </r>
    <phoneticPr fontId="3"/>
  </si>
  <si>
    <t>有機物を機械的に処理、再利用している (生ごみ等のメタン化、バイオマス利用など)</t>
    <phoneticPr fontId="3"/>
  </si>
  <si>
    <t>2023/X/X</t>
    <phoneticPr fontId="3"/>
  </si>
  <si>
    <t>維持段階</t>
    <rPh sb="0" eb="4">
      <t>イジダンカイ</t>
    </rPh>
    <phoneticPr fontId="3"/>
  </si>
  <si>
    <t>運用段階</t>
    <rPh sb="0" eb="4">
      <t>ウンヨウダンカイ</t>
    </rPh>
    <phoneticPr fontId="3"/>
  </si>
  <si>
    <t>解体段階</t>
    <rPh sb="0" eb="4">
      <t>カイタイダンカイ</t>
    </rPh>
    <phoneticPr fontId="3"/>
  </si>
  <si>
    <t>ﾎｰﾙﾗｲﾌｶｰﾎﾞﾝ</t>
    <phoneticPr fontId="3"/>
  </si>
  <si>
    <r>
      <t>kg-CO2eq/</t>
    </r>
    <r>
      <rPr>
        <sz val="9"/>
        <rFont val="ＭＳ Ｐゴシック"/>
        <family val="2"/>
        <charset val="128"/>
      </rPr>
      <t>年</t>
    </r>
    <r>
      <rPr>
        <sz val="9"/>
        <rFont val="Microsoft YaHei"/>
        <family val="2"/>
        <charset val="134"/>
      </rPr>
      <t>㎡</t>
    </r>
    <rPh sb="9" eb="10">
      <t>ネン</t>
    </rPh>
    <phoneticPr fontId="3"/>
  </si>
  <si>
    <t>stage</t>
    <phoneticPr fontId="3"/>
  </si>
  <si>
    <t>rank</t>
    <phoneticPr fontId="3"/>
  </si>
  <si>
    <t>開発段階</t>
    <rPh sb="0" eb="2">
      <t>カイハツ</t>
    </rPh>
    <rPh sb="2" eb="4">
      <t>ダンカイ</t>
    </rPh>
    <phoneticPr fontId="3"/>
  </si>
  <si>
    <t>再生段階</t>
    <rPh sb="0" eb="2">
      <t>サイセイ</t>
    </rPh>
    <rPh sb="2" eb="4">
      <t>ダンカイ</t>
    </rPh>
    <phoneticPr fontId="3"/>
  </si>
  <si>
    <t>削減目標</t>
    <rPh sb="0" eb="4">
      <t>サクゲンモクヒョウ</t>
    </rPh>
    <phoneticPr fontId="3"/>
  </si>
  <si>
    <t>現況値</t>
    <rPh sb="0" eb="2">
      <t>ゲンキョウ</t>
    </rPh>
    <rPh sb="2" eb="3">
      <t>アタイ</t>
    </rPh>
    <phoneticPr fontId="3"/>
  </si>
  <si>
    <t>TOP5</t>
    <phoneticPr fontId="3"/>
  </si>
  <si>
    <t>A1　原材料調達</t>
    <rPh sb="3" eb="6">
      <t>ゲンザイリョウ</t>
    </rPh>
    <rPh sb="6" eb="8">
      <t>チョウタツ</t>
    </rPh>
    <phoneticPr fontId="3"/>
  </si>
  <si>
    <t>A2　工場輸送</t>
    <rPh sb="3" eb="7">
      <t>コウジョウユソウ</t>
    </rPh>
    <phoneticPr fontId="3"/>
  </si>
  <si>
    <t>A3　製造</t>
    <rPh sb="3" eb="5">
      <t>セイゾウ</t>
    </rPh>
    <phoneticPr fontId="3"/>
  </si>
  <si>
    <t>A4　現場輸送</t>
    <rPh sb="3" eb="7">
      <t>ゲンバユソウ</t>
    </rPh>
    <phoneticPr fontId="3"/>
  </si>
  <si>
    <t>A5　施工・設置</t>
    <rPh sb="3" eb="5">
      <t>セコウ</t>
    </rPh>
    <rPh sb="6" eb="8">
      <t>セッチ</t>
    </rPh>
    <phoneticPr fontId="3"/>
  </si>
  <si>
    <t>B5　改修</t>
    <rPh sb="3" eb="5">
      <t>カイシュウ</t>
    </rPh>
    <phoneticPr fontId="3"/>
  </si>
  <si>
    <t>B1　使用</t>
    <rPh sb="3" eb="5">
      <t>シヨウ</t>
    </rPh>
    <phoneticPr fontId="3"/>
  </si>
  <si>
    <t>B2　保全</t>
    <rPh sb="3" eb="5">
      <t>ホゼン</t>
    </rPh>
    <phoneticPr fontId="3"/>
  </si>
  <si>
    <t>B3　修繕</t>
    <rPh sb="3" eb="5">
      <t>シュウゼン</t>
    </rPh>
    <phoneticPr fontId="3"/>
  </si>
  <si>
    <t>B4　交換</t>
    <rPh sb="3" eb="5">
      <t>コウカン</t>
    </rPh>
    <phoneticPr fontId="3"/>
  </si>
  <si>
    <t>B7　水消費</t>
    <rPh sb="3" eb="6">
      <t>ミズショウヒ</t>
    </rPh>
    <phoneticPr fontId="3"/>
  </si>
  <si>
    <t>B6　ｴﾈﾙｷﾞｰ消費</t>
    <rPh sb="9" eb="11">
      <t>ショウヒ</t>
    </rPh>
    <phoneticPr fontId="3"/>
  </si>
  <si>
    <t>C1　解体・撤去</t>
    <rPh sb="3" eb="5">
      <t>カイタイ</t>
    </rPh>
    <rPh sb="6" eb="8">
      <t>テッキョ</t>
    </rPh>
    <phoneticPr fontId="3"/>
  </si>
  <si>
    <t>C2　廃棄物輸送</t>
    <rPh sb="3" eb="8">
      <t>ハイキブツユソウ</t>
    </rPh>
    <phoneticPr fontId="3"/>
  </si>
  <si>
    <t>C3　中間処理</t>
    <rPh sb="3" eb="7">
      <t>チュウカンショリ</t>
    </rPh>
    <phoneticPr fontId="3"/>
  </si>
  <si>
    <t>C4　廃棄物処理</t>
    <rPh sb="3" eb="8">
      <t>ハイキブツショリ</t>
    </rPh>
    <phoneticPr fontId="3"/>
  </si>
  <si>
    <t>D　再利用・改修・リサイクルに伴う便益と負荷</t>
    <rPh sb="2" eb="5">
      <t>サイリヨウ</t>
    </rPh>
    <rPh sb="6" eb="8">
      <t>カイシュウ</t>
    </rPh>
    <rPh sb="15" eb="16">
      <t>トモナ</t>
    </rPh>
    <rPh sb="17" eb="19">
      <t>ベンエキ</t>
    </rPh>
    <rPh sb="20" eb="22">
      <t>フカ</t>
    </rPh>
    <phoneticPr fontId="3"/>
  </si>
  <si>
    <t>A1 原材料調達</t>
    <rPh sb="3" eb="6">
      <t>ゲンザイリョウ</t>
    </rPh>
    <rPh sb="6" eb="8">
      <t>チョウタツ</t>
    </rPh>
    <phoneticPr fontId="3"/>
  </si>
  <si>
    <t>A2 工場輸送</t>
    <rPh sb="3" eb="7">
      <t>コウジョウユソウ</t>
    </rPh>
    <phoneticPr fontId="3"/>
  </si>
  <si>
    <t>A3 製造</t>
    <rPh sb="3" eb="5">
      <t>セイゾウ</t>
    </rPh>
    <phoneticPr fontId="3"/>
  </si>
  <si>
    <t>A4 現場輸送</t>
    <rPh sb="3" eb="7">
      <t>ゲンバユソウ</t>
    </rPh>
    <phoneticPr fontId="3"/>
  </si>
  <si>
    <t>A5 施工・設置</t>
    <rPh sb="3" eb="5">
      <t>セコウ</t>
    </rPh>
    <rPh sb="6" eb="8">
      <t>セッチ</t>
    </rPh>
    <phoneticPr fontId="3"/>
  </si>
  <si>
    <t>B1 使用</t>
    <rPh sb="3" eb="5">
      <t>シヨウ</t>
    </rPh>
    <phoneticPr fontId="3"/>
  </si>
  <si>
    <t>B2 保全</t>
    <rPh sb="3" eb="5">
      <t>ホゼン</t>
    </rPh>
    <phoneticPr fontId="3"/>
  </si>
  <si>
    <t>B3 修繕</t>
    <rPh sb="3" eb="5">
      <t>シュウゼン</t>
    </rPh>
    <phoneticPr fontId="3"/>
  </si>
  <si>
    <t>B4 交換</t>
    <rPh sb="3" eb="5">
      <t>コウカン</t>
    </rPh>
    <phoneticPr fontId="3"/>
  </si>
  <si>
    <t>B5 改修</t>
    <rPh sb="3" eb="5">
      <t>カイシュウ</t>
    </rPh>
    <phoneticPr fontId="3"/>
  </si>
  <si>
    <t>B6 ｴﾈﾙｷﾞｰ消費</t>
    <rPh sb="9" eb="11">
      <t>ショウヒ</t>
    </rPh>
    <phoneticPr fontId="3"/>
  </si>
  <si>
    <t>B7 水消費</t>
    <rPh sb="3" eb="6">
      <t>ミズショウヒ</t>
    </rPh>
    <phoneticPr fontId="3"/>
  </si>
  <si>
    <t>C1 解体・撤去</t>
    <rPh sb="3" eb="5">
      <t>カイタイ</t>
    </rPh>
    <rPh sb="6" eb="8">
      <t>テッキョ</t>
    </rPh>
    <phoneticPr fontId="3"/>
  </si>
  <si>
    <t>C2 廃棄物輸送</t>
    <rPh sb="3" eb="8">
      <t>ハイキブツユソウ</t>
    </rPh>
    <phoneticPr fontId="3"/>
  </si>
  <si>
    <t>C3 中間処理</t>
    <rPh sb="3" eb="7">
      <t>チュウカンショリ</t>
    </rPh>
    <phoneticPr fontId="3"/>
  </si>
  <si>
    <t>C4 廃棄物処理</t>
    <rPh sb="3" eb="8">
      <t>ハイキブツショリ</t>
    </rPh>
    <phoneticPr fontId="3"/>
  </si>
  <si>
    <t>排出量推計の対象</t>
    <rPh sb="0" eb="3">
      <t>ハイシュツリョウ</t>
    </rPh>
    <rPh sb="3" eb="5">
      <t>スイケイ</t>
    </rPh>
    <rPh sb="6" eb="8">
      <t>タイショウ</t>
    </rPh>
    <phoneticPr fontId="3"/>
  </si>
  <si>
    <t>ステージ</t>
    <phoneticPr fontId="3"/>
  </si>
  <si>
    <t>現状値</t>
    <rPh sb="0" eb="2">
      <t>ゲンジョウ</t>
    </rPh>
    <rPh sb="2" eb="3">
      <t>チ</t>
    </rPh>
    <phoneticPr fontId="3"/>
  </si>
  <si>
    <t>（単位：kg-CO2eq/年㎡）</t>
    <rPh sb="1" eb="3">
      <t>タンイ</t>
    </rPh>
    <phoneticPr fontId="3"/>
  </si>
  <si>
    <t>次に示す各号のうち、どれか一つ以上に該当する状態になっている
(1) 温室効果ガス排出量の削減に向けてコミットする旨を表明している
(2) 温室効果ガス排出量を何らかの形で部分的に把握している
(3) 温室効果ガス排出量を抑制する対策が既に講じられている</t>
    <phoneticPr fontId="3"/>
  </si>
  <si>
    <t>街区の開発または運用のいずれかの段階における温室効果ガス排出量を推計、把握した上でさらに将来の削減目標を設定している</t>
    <phoneticPr fontId="3"/>
  </si>
  <si>
    <t>街区の開発段階に加えて運用段階における温室効果ガス排出量を推計、把握し、さらに削減目標を設定している</t>
    <phoneticPr fontId="3"/>
  </si>
  <si>
    <t>街区の開発、運用、解体等の各段階における温室効果ガス排出量を推計、把握した上でさらにカーボンニュートラル達成に向けた具体的な道筋を計画、公開している</t>
    <phoneticPr fontId="3"/>
  </si>
  <si>
    <t>現状値</t>
    <rPh sb="2" eb="3">
      <t>チ</t>
    </rPh>
    <phoneticPr fontId="3"/>
  </si>
  <si>
    <r>
      <t xml:space="preserve">2-2 </t>
    </r>
    <r>
      <rPr>
        <b/>
        <sz val="12"/>
        <color rgb="FFFFFFFF"/>
        <rFont val="ＭＳ Ｐゴシック"/>
        <family val="3"/>
        <charset val="128"/>
      </rPr>
      <t>ホールライフカーボン</t>
    </r>
    <phoneticPr fontId="3"/>
  </si>
  <si>
    <t>保全するべき動植物を把握するための調査を実施していない</t>
    <phoneticPr fontId="3"/>
  </si>
  <si>
    <r>
      <t xml:space="preserve">1.1.1.1 </t>
    </r>
    <r>
      <rPr>
        <b/>
        <sz val="10"/>
        <rFont val="ＭＳ Ｐゴシック"/>
        <family val="3"/>
        <charset val="128"/>
      </rPr>
      <t>動植物の保全</t>
    </r>
    <phoneticPr fontId="3"/>
  </si>
  <si>
    <r>
      <t xml:space="preserve">1.1.1.2 </t>
    </r>
    <r>
      <rPr>
        <b/>
        <sz val="10"/>
        <rFont val="ＭＳ Ｐゴシック"/>
        <family val="3"/>
        <charset val="128"/>
      </rPr>
      <t>地形の保全</t>
    </r>
    <phoneticPr fontId="3"/>
  </si>
  <si>
    <r>
      <t xml:space="preserve">1.1.1.3 </t>
    </r>
    <r>
      <rPr>
        <b/>
        <sz val="10"/>
        <rFont val="ＭＳ ゴシック"/>
        <family val="3"/>
        <charset val="128"/>
      </rPr>
      <t>土壌の保全</t>
    </r>
    <phoneticPr fontId="3"/>
  </si>
  <si>
    <t>項目</t>
    <rPh sb="0" eb="2">
      <t>コウモク</t>
    </rPh>
    <phoneticPr fontId="3"/>
  </si>
  <si>
    <t>評価内容</t>
    <rPh sb="0" eb="2">
      <t>ヒョウカ</t>
    </rPh>
    <rPh sb="2" eb="4">
      <t>ナイヨウ</t>
    </rPh>
    <phoneticPr fontId="3"/>
  </si>
  <si>
    <t>①</t>
  </si>
  <si>
    <t>街区内のオープンスペースの連続性を確保している</t>
  </si>
  <si>
    <t>②</t>
  </si>
  <si>
    <t>街区内の建物の隣棟間隔を確保している</t>
  </si>
  <si>
    <t>③</t>
  </si>
  <si>
    <t>周辺環境と連携した風を呼び込む対策を行っている</t>
  </si>
  <si>
    <r>
      <t xml:space="preserve">1.2.3.2 </t>
    </r>
    <r>
      <rPr>
        <b/>
        <sz val="10"/>
        <rFont val="ＭＳ ゴシック"/>
        <family val="3"/>
        <charset val="128"/>
      </rPr>
      <t>周辺との調和性</t>
    </r>
    <phoneticPr fontId="3"/>
  </si>
  <si>
    <r>
      <rPr>
        <sz val="9"/>
        <rFont val="ＭＳ Ｐゴシック"/>
        <family val="3"/>
        <charset val="128"/>
      </rPr>
      <t>③低層部におけるヒューマンスケールへの配慮（街路及び広場景観への配慮）</t>
    </r>
  </si>
  <si>
    <t>①</t>
    <phoneticPr fontId="3"/>
  </si>
  <si>
    <t>自然環境に関する取組みがある（スマート化例：ドローン活用・管理、鳥獣被害管理　など）</t>
    <phoneticPr fontId="3"/>
  </si>
  <si>
    <t>②</t>
    <phoneticPr fontId="3"/>
  </si>
  <si>
    <t>生活環境に関する取組みがある（スマート化例：環境センサー、ロボット活用・管理　など）</t>
    <phoneticPr fontId="3"/>
  </si>
  <si>
    <t>③</t>
    <phoneticPr fontId="3"/>
  </si>
  <si>
    <r>
      <rPr>
        <sz val="10"/>
        <rFont val="ＭＳ ゴシック"/>
        <family val="3"/>
        <charset val="128"/>
      </rPr>
      <t>建築物（街区横断）に関する取組みがある（スマート化例：データプラットフォーム、</t>
    </r>
    <r>
      <rPr>
        <sz val="10"/>
        <rFont val="Arial"/>
        <family val="2"/>
      </rPr>
      <t>API</t>
    </r>
    <r>
      <rPr>
        <sz val="10"/>
        <rFont val="ＭＳ ゴシック"/>
        <family val="3"/>
        <charset val="128"/>
      </rPr>
      <t>・横展開、アプリ・</t>
    </r>
    <r>
      <rPr>
        <sz val="10"/>
        <rFont val="Arial"/>
        <family val="2"/>
      </rPr>
      <t>ICT</t>
    </r>
    <r>
      <rPr>
        <sz val="10"/>
        <rFont val="ＭＳ ゴシック"/>
        <family val="3"/>
        <charset val="128"/>
      </rPr>
      <t>個別技術　など）</t>
    </r>
    <phoneticPr fontId="3"/>
  </si>
  <si>
    <t>④</t>
    <phoneticPr fontId="3"/>
  </si>
  <si>
    <r>
      <rPr>
        <sz val="10"/>
        <rFont val="ＭＳ ゴシック"/>
        <family val="3"/>
        <charset val="128"/>
      </rPr>
      <t>その他の</t>
    </r>
    <r>
      <rPr>
        <sz val="10"/>
        <rFont val="Arial"/>
        <family val="2"/>
      </rPr>
      <t>ICT</t>
    </r>
    <r>
      <rPr>
        <sz val="10"/>
        <rFont val="ＭＳ ゴシック"/>
        <family val="3"/>
        <charset val="128"/>
      </rPr>
      <t>やデータを活用した先進的な取組みがある</t>
    </r>
    <phoneticPr fontId="3"/>
  </si>
  <si>
    <t>① 夜間照明灯の設置水準</t>
    <phoneticPr fontId="3"/>
  </si>
  <si>
    <t>十分に設置されている</t>
    <phoneticPr fontId="3"/>
  </si>
  <si>
    <t>② 周辺からの監視性</t>
    <phoneticPr fontId="3"/>
  </si>
  <si>
    <t>周辺からほぼ見渡せ死角がない（区域内や周辺の建物から監視しやすい）</t>
    <phoneticPr fontId="3"/>
  </si>
  <si>
    <t>③ 監視カメラの配備</t>
    <phoneticPr fontId="3"/>
  </si>
  <si>
    <t>監視カメラが配備されている</t>
    <phoneticPr fontId="3"/>
  </si>
  <si>
    <t>④ 警備員</t>
    <phoneticPr fontId="3"/>
  </si>
  <si>
    <t>警備員による巡回体制がある</t>
    <phoneticPr fontId="3"/>
  </si>
  <si>
    <t>① 歴史的遺構、建造物の保全、復元　　</t>
    <phoneticPr fontId="3"/>
  </si>
  <si>
    <t>保全、復元している</t>
    <phoneticPr fontId="3"/>
  </si>
  <si>
    <t>② 歴史、文化資産等の保存、継承　　</t>
    <phoneticPr fontId="3"/>
  </si>
  <si>
    <t>保存、継承の為のソフト的取組みがある</t>
    <phoneticPr fontId="3"/>
  </si>
  <si>
    <t>③ その他の取組み　　</t>
    <phoneticPr fontId="3"/>
  </si>
  <si>
    <t>新たな文化創造の取組みがある</t>
    <phoneticPr fontId="3"/>
  </si>
  <si>
    <t>ガバナンスに関する取組みがある（スマート化例：データプラットフォーム、データ利活用型まちづくり、グリーンインフラ機能管理、インフラ点検、道路管理、橋梁点検、除雪・消雪、河川水位モニタリング　など）</t>
    <phoneticPr fontId="3"/>
  </si>
  <si>
    <t>生活利便に関する取組みがある（スマート化例：パーソナルデータ利活用、ロボット導入　など）</t>
    <phoneticPr fontId="3"/>
  </si>
  <si>
    <t>健康福祉に関する取組みがある（スマート化例：外出促進、遠隔医療、健幸ポイント　など）</t>
    <phoneticPr fontId="3"/>
  </si>
  <si>
    <t>安全安心に関する取組みがある（スマート化例：防災情報システム、防災情報提供サービス、防災通信・センサー　など）</t>
    <phoneticPr fontId="3"/>
  </si>
  <si>
    <t>⑤</t>
    <phoneticPr fontId="3"/>
  </si>
  <si>
    <t>包摂性に関する取組みがある（スマート化例：見守り、高齢者支援、サービスロボット、支援・介護ロボット　など）</t>
    <phoneticPr fontId="3"/>
  </si>
  <si>
    <t>⑥</t>
    <phoneticPr fontId="3"/>
  </si>
  <si>
    <t>その他のICTやデータを活用した先進的な取組みがある</t>
    <phoneticPr fontId="3"/>
  </si>
  <si>
    <t>①公共交通の利用促進</t>
    <phoneticPr fontId="3"/>
  </si>
  <si>
    <t>TFPの実施やパークアンドライドシステムの構築等を通じたモビリティ・マネジメントの推進がなされている</t>
    <phoneticPr fontId="3"/>
  </si>
  <si>
    <t>②運行形態・ルートの工夫</t>
    <phoneticPr fontId="3"/>
  </si>
  <si>
    <t>交通事業者との協議・連携により、地域のニーズに適した運行上の工夫がなされている</t>
    <phoneticPr fontId="3"/>
  </si>
  <si>
    <t>③交通結節点の工夫</t>
    <phoneticPr fontId="3"/>
  </si>
  <si>
    <t>交通モード間の移動の際に、人々が混雑することなく移動できる工夫がなされている</t>
    <phoneticPr fontId="3"/>
  </si>
  <si>
    <t>④公共交通の機能補完</t>
    <phoneticPr fontId="3"/>
  </si>
  <si>
    <t>レンタサイクル・シェアサイクリング等を活用し、公共交通の機能補完がなされている</t>
    <phoneticPr fontId="3"/>
  </si>
  <si>
    <t>⑤その他の取組み</t>
    <phoneticPr fontId="3"/>
  </si>
  <si>
    <t>その他公共交通機関との連携に関する取組みがなされている</t>
    <phoneticPr fontId="3"/>
  </si>
  <si>
    <t>①就学前教育プログラム</t>
    <phoneticPr fontId="3"/>
  </si>
  <si>
    <t>次世代を担う就学前の子どもを対象とした教育プログラムがあり、複数の参加者を対象とし、定期的に開催されているか</t>
    <phoneticPr fontId="3"/>
  </si>
  <si>
    <t>職業実践力育成プログラムがあり、複数の参加者を対象とし、定期的に開催されているか</t>
    <phoneticPr fontId="3"/>
  </si>
  <si>
    <t>③リカレント教育プログラム</t>
    <phoneticPr fontId="3"/>
  </si>
  <si>
    <t>生涯学習を支援するために、リカレント教育プログラムがあり、複数の参加者を対象とし、定期的に開催されているか</t>
    <phoneticPr fontId="3"/>
  </si>
  <si>
    <t>④その他の教育プログラム</t>
    <phoneticPr fontId="3"/>
  </si>
  <si>
    <t>その他教育プログラムが開催されているか</t>
    <phoneticPr fontId="3"/>
  </si>
  <si>
    <r>
      <t>②職業実践</t>
    </r>
    <r>
      <rPr>
        <sz val="10"/>
        <rFont val="Microsoft JhengHei"/>
        <family val="2"/>
        <charset val="136"/>
      </rPr>
      <t>⼒</t>
    </r>
    <r>
      <rPr>
        <sz val="10"/>
        <rFont val="ＭＳ Ｐゴシック"/>
        <family val="3"/>
        <charset val="128"/>
      </rPr>
      <t>育成プログラム</t>
    </r>
    <phoneticPr fontId="3"/>
  </si>
  <si>
    <t>既存の地域産業や地域文化を生かし、新たなビジネスチャンスの創出に向けた取組みがなされている</t>
    <phoneticPr fontId="3"/>
  </si>
  <si>
    <t>地場の素材・資材等を利用した商品・サービスの展開がなされている</t>
    <phoneticPr fontId="3"/>
  </si>
  <si>
    <t>③インキュベーション施設の整備</t>
    <phoneticPr fontId="3"/>
  </si>
  <si>
    <t>ハード面・ソフト面の両面から起業家等を支援する施設が整備されている</t>
    <phoneticPr fontId="3"/>
  </si>
  <si>
    <t>UIJターン支援策を整備し、UIJターン参加者獲得に向けた取組みがなされている</t>
    <phoneticPr fontId="3"/>
  </si>
  <si>
    <t>⑤キャリア教育の推進</t>
    <phoneticPr fontId="3"/>
  </si>
  <si>
    <t>キャリア教育を推進し、次世代を担う人材の確保・育成に向けた取組みがなされている</t>
    <phoneticPr fontId="3"/>
  </si>
  <si>
    <t>⑥その他の取組み</t>
    <phoneticPr fontId="3"/>
  </si>
  <si>
    <t>その他の先進的な取組みがある</t>
    <phoneticPr fontId="3"/>
  </si>
  <si>
    <r>
      <t>①地域産業や地域</t>
    </r>
    <r>
      <rPr>
        <sz val="10"/>
        <rFont val="Microsoft JhengHei"/>
        <family val="2"/>
        <charset val="136"/>
      </rPr>
      <t>⽂</t>
    </r>
    <r>
      <rPr>
        <sz val="10"/>
        <rFont val="ＭＳ Ｐゴシック"/>
        <family val="3"/>
        <charset val="128"/>
      </rPr>
      <t>化を生かした新たなビジネスチャンスの創出</t>
    </r>
    <phoneticPr fontId="3"/>
  </si>
  <si>
    <r>
      <t>②地場産材等の活</t>
    </r>
    <r>
      <rPr>
        <sz val="10"/>
        <rFont val="Microsoft JhengHei"/>
        <family val="2"/>
        <charset val="136"/>
      </rPr>
      <t>⽤</t>
    </r>
    <phoneticPr fontId="3"/>
  </si>
  <si>
    <r>
      <t>④UIJターン</t>
    </r>
    <r>
      <rPr>
        <sz val="10"/>
        <rFont val="Microsoft JhengHei"/>
        <family val="2"/>
        <charset val="136"/>
      </rPr>
      <t>⽀</t>
    </r>
    <r>
      <rPr>
        <sz val="10"/>
        <rFont val="ＭＳ Ｐゴシック"/>
        <family val="3"/>
        <charset val="128"/>
      </rPr>
      <t>援策の整備</t>
    </r>
    <phoneticPr fontId="3"/>
  </si>
  <si>
    <t>取組んでいる項目がない</t>
  </si>
  <si>
    <t>取組んでいる項目が１つ</t>
  </si>
  <si>
    <t>取組んでいる項目が２つ以上</t>
  </si>
  <si>
    <t>①企業進出・投資</t>
    <phoneticPr fontId="3"/>
  </si>
  <si>
    <t>地域への企業進出や投資を誘引する組織がある</t>
  </si>
  <si>
    <t>②共同販売・イベント等</t>
    <phoneticPr fontId="3"/>
  </si>
  <si>
    <t>共同販売促進・イベント等を組織的・計画的に実施している</t>
    <phoneticPr fontId="3"/>
  </si>
  <si>
    <t>③地場企業支援</t>
    <phoneticPr fontId="3"/>
  </si>
  <si>
    <t>地場企業等から計画的に購買している</t>
    <phoneticPr fontId="3"/>
  </si>
  <si>
    <t>④地域との共同事業</t>
    <phoneticPr fontId="3"/>
  </si>
  <si>
    <t>地域との共同事業を実施している</t>
    <phoneticPr fontId="3"/>
  </si>
  <si>
    <t>⑤地域運営</t>
    <phoneticPr fontId="3"/>
  </si>
  <si>
    <t>地域運営の財政基盤確立を意図してファイナンス等の事業スキームを設定している</t>
    <phoneticPr fontId="3"/>
  </si>
  <si>
    <t>取組んでいる項目が６つ以上</t>
  </si>
  <si>
    <t>まちなかへ多様な人を集める取組みをしている</t>
    <phoneticPr fontId="3"/>
  </si>
  <si>
    <t>官民のパブリックな空間をウォーカブルな人中心の空間にする取組みをしている</t>
    <phoneticPr fontId="3"/>
  </si>
  <si>
    <t>量に加え、交流・滞在などの活動の質も重視する取組みをしている</t>
    <phoneticPr fontId="3"/>
  </si>
  <si>
    <t>官か民かでなく、中間領域（空間、組織）を活用する取組みをしている</t>
    <phoneticPr fontId="3"/>
  </si>
  <si>
    <t>仮設・暫定利用、実験などLQCアプローチに力を込める取組みをしている</t>
    <phoneticPr fontId="3"/>
  </si>
  <si>
    <t>完成・成熟を求めず、育成・更新を続ける取組みをしている</t>
    <phoneticPr fontId="3"/>
  </si>
  <si>
    <t>⑦</t>
    <phoneticPr fontId="3"/>
  </si>
  <si>
    <t>多様性を共存させる取組みをしている</t>
    <phoneticPr fontId="3"/>
  </si>
  <si>
    <t>⑧</t>
    <phoneticPr fontId="3"/>
  </si>
  <si>
    <t>場所性や界隈に根差し、本物のオンリーワンが生まれる取組みをしている</t>
    <phoneticPr fontId="3"/>
  </si>
  <si>
    <t xml:space="preserve"> 経済基盤に関する取組みがある（スマート化例：3D都市モデル、ダイナミックマップ、データ利活用型まちづくり、オンデマンド交通、自動運転車、MaaSアプリ、交通データ収集、交通情報提供、カーシェアリング、パーソナルモビリティ等新交通、貨客混載、ドローン利活用、配送ロボット　など）</t>
    <phoneticPr fontId="3"/>
  </si>
  <si>
    <t xml:space="preserve">② </t>
    <phoneticPr fontId="3"/>
  </si>
  <si>
    <t>ヒューマンキャピタルに関する取組みがある（スマート化例：人材育成教育　など）</t>
    <phoneticPr fontId="3"/>
  </si>
  <si>
    <t xml:space="preserve"> 活性化方策に関する取組みがある（スマート化例：観光移動最適化、キャッシュレス、観光レコメンド、デジタルクーポン、エリアマーケティング、地域アプリ、地域通貨　など）</t>
    <phoneticPr fontId="3"/>
  </si>
  <si>
    <t xml:space="preserve"> その他のICTやデータを活用した先進的な取組みがある</t>
    <phoneticPr fontId="3"/>
  </si>
  <si>
    <t>①エネルギー使用量監視システムの導入</t>
    <phoneticPr fontId="3"/>
  </si>
  <si>
    <t>街区全体のエネルギー使用量の状態監視を行うことができるシステムを導入している。</t>
    <phoneticPr fontId="3"/>
  </si>
  <si>
    <t>②エネルギー需要予測</t>
    <phoneticPr fontId="3"/>
  </si>
  <si>
    <t>街区のエネルギー需要予測を実施している。</t>
    <phoneticPr fontId="3"/>
  </si>
  <si>
    <t>③エネルギー最適制御</t>
    <phoneticPr fontId="3"/>
  </si>
  <si>
    <t>②で予測した需要を活用した熱源機や空調機等の最適制御を行っている。</t>
    <phoneticPr fontId="3"/>
  </si>
  <si>
    <t>④エネルギーのピークシフト機能の導入</t>
    <phoneticPr fontId="3"/>
  </si>
  <si>
    <t>蓄熱槽や蓄電池等のエネルギー貯蔵設備や、燃料の異なる熱源機等を導入し、電気や熱のピーク負荷をシフトさせることでエネルギー会社からの要請に柔軟に対応する仕組みを構築している（デマンドレスポンス等）。</t>
    <phoneticPr fontId="3"/>
  </si>
  <si>
    <t>その他の先進的な取組みや事業スキームがある。</t>
    <phoneticPr fontId="3"/>
  </si>
  <si>
    <t>①エネルギー供給設備の更新・増設スペース確保</t>
    <phoneticPr fontId="3"/>
  </si>
  <si>
    <t>エネルギー供給設備更新時の更新・増設用スペースを設けている。</t>
    <phoneticPr fontId="3"/>
  </si>
  <si>
    <t>②エネルギー供給設備更新時の搬入ルートの確保</t>
    <phoneticPr fontId="3"/>
  </si>
  <si>
    <t>エネルギー供給設備更新時の余裕のある搬入ルートの確保を行っている。</t>
    <phoneticPr fontId="3"/>
  </si>
  <si>
    <t>③エネルギー供給設備更新時のバックアップ体制</t>
    <phoneticPr fontId="3"/>
  </si>
  <si>
    <t>エネルギー供給設備更新時に、バックアップでエネルギー供給が継続できるようになっている。</t>
    <phoneticPr fontId="3"/>
  </si>
  <si>
    <t>④熱導管・自営線</t>
    <phoneticPr fontId="3"/>
  </si>
  <si>
    <t>更新期間が長い配管・配線材料が選択され、更新・拡張延長可能なスペースを設けている。</t>
    <phoneticPr fontId="3"/>
  </si>
  <si>
    <t>⑤共同溝</t>
    <phoneticPr fontId="3"/>
  </si>
  <si>
    <t>更新もしくは拡張のために必要なスペースを有する共同溝がある。</t>
    <phoneticPr fontId="3"/>
  </si>
  <si>
    <t>水栓類の節水を行っている（節水コマ、定流量弁、節水バルブ、泡末水栓等）</t>
    <phoneticPr fontId="3"/>
  </si>
  <si>
    <t>節水型便器を採用している（大便器は6L/回程度、自動洗浄）</t>
    <phoneticPr fontId="3"/>
  </si>
  <si>
    <t>節湯器具を採用している（節水シャワーヘッド、クリックシャワー、など）</t>
    <phoneticPr fontId="3"/>
  </si>
  <si>
    <t>食器洗浄機を設置し節水を図っている</t>
    <phoneticPr fontId="3"/>
  </si>
  <si>
    <t>棟全体で雨水利用を採用している</t>
    <phoneticPr fontId="3"/>
  </si>
  <si>
    <t>2）街区内の浸透面積に
　　よって評価</t>
  </si>
  <si>
    <t>1) 調整池/遊水池/雨水貯留槽等の容量を評価</t>
    <phoneticPr fontId="3"/>
  </si>
  <si>
    <t>2) 浸透面積による評価</t>
    <phoneticPr fontId="3"/>
  </si>
  <si>
    <t>利用なし</t>
    <rPh sb="0" eb="2">
      <t>リヨウ</t>
    </rPh>
    <phoneticPr fontId="3"/>
  </si>
  <si>
    <r>
      <t xml:space="preserve">3.3.2 </t>
    </r>
    <r>
      <rPr>
        <b/>
        <sz val="12"/>
        <color rgb="FF000000"/>
        <rFont val="Yu Gothic"/>
        <family val="2"/>
        <charset val="128"/>
      </rPr>
      <t>対象区域</t>
    </r>
    <r>
      <rPr>
        <b/>
        <sz val="12"/>
        <color theme="1"/>
        <rFont val="ＭＳ Ｐゴシック"/>
        <family val="3"/>
        <charset val="128"/>
      </rPr>
      <t>外に対する大気汚染の防止</t>
    </r>
    <rPh sb="6" eb="8">
      <t>タイショウ</t>
    </rPh>
    <rPh sb="8" eb="10">
      <t>クイキ</t>
    </rPh>
    <phoneticPr fontId="3"/>
  </si>
  <si>
    <t>①植物による大気浄化</t>
    <phoneticPr fontId="3"/>
  </si>
  <si>
    <t>対象区域に対する緑化率20％以上</t>
    <phoneticPr fontId="3"/>
  </si>
  <si>
    <t>②大気浄化に適した樹木の採用　</t>
    <phoneticPr fontId="3"/>
  </si>
  <si>
    <t>一部（10％以上）で使用している</t>
    <phoneticPr fontId="3"/>
  </si>
  <si>
    <t>①発生源対策</t>
    <phoneticPr fontId="3"/>
  </si>
  <si>
    <t>悪臭発生源における対策を行っている</t>
    <phoneticPr fontId="3"/>
  </si>
  <si>
    <t xml:space="preserve">②悪臭発生源となる場所の配慮	</t>
    <phoneticPr fontId="3"/>
  </si>
  <si>
    <t>悪臭発生源の設置場所について配慮をしている</t>
    <phoneticPr fontId="3"/>
  </si>
  <si>
    <t>⑨</t>
    <phoneticPr fontId="3"/>
  </si>
  <si>
    <t>⑩</t>
    <phoneticPr fontId="3"/>
  </si>
  <si>
    <t>⑪</t>
    <phoneticPr fontId="3"/>
  </si>
  <si>
    <t>⑫</t>
    <phoneticPr fontId="3"/>
  </si>
  <si>
    <t>その他の節水を行っている（環境配慮概要欄に明記要）</t>
    <rPh sb="13" eb="15">
      <t>カンキョウ</t>
    </rPh>
    <rPh sb="15" eb="17">
      <t>ハイリョ</t>
    </rPh>
    <rPh sb="17" eb="19">
      <t>ガイヨウ</t>
    </rPh>
    <rPh sb="19" eb="20">
      <t>ラン</t>
    </rPh>
    <phoneticPr fontId="3"/>
  </si>
  <si>
    <t>対象外</t>
    <rPh sb="0" eb="3">
      <t>タイショウガイ</t>
    </rPh>
    <phoneticPr fontId="3"/>
  </si>
  <si>
    <t>緑陰を形成する緑など、日射を遮る取組みを適切に配置している</t>
    <phoneticPr fontId="3"/>
  </si>
  <si>
    <t>対象外の選択→</t>
    <rPh sb="0" eb="3">
      <t>タイショウガイ</t>
    </rPh>
    <rPh sb="4" eb="6">
      <t>センタク</t>
    </rPh>
    <phoneticPr fontId="3"/>
  </si>
  <si>
    <t>Q1.2.3.　都市景観</t>
    <rPh sb="8" eb="10">
      <t>トシ</t>
    </rPh>
    <phoneticPr fontId="3"/>
  </si>
  <si>
    <r>
      <t xml:space="preserve">2.3.2.3 </t>
    </r>
    <r>
      <rPr>
        <b/>
        <sz val="10"/>
        <rFont val="ＭＳ ゴシック"/>
        <family val="3"/>
        <charset val="128"/>
      </rPr>
      <t>食品系のリサイクル・廃棄物削減</t>
    </r>
    <phoneticPr fontId="3"/>
  </si>
  <si>
    <r>
      <t xml:space="preserve">3.3.2.3 </t>
    </r>
    <r>
      <rPr>
        <b/>
        <sz val="10"/>
        <rFont val="ＭＳ Ｐゴシック"/>
        <family val="3"/>
        <charset val="128"/>
      </rPr>
      <t>大気浄化に対する取組み</t>
    </r>
    <phoneticPr fontId="3"/>
  </si>
  <si>
    <r>
      <t xml:space="preserve">3.3.3 </t>
    </r>
    <r>
      <rPr>
        <b/>
        <sz val="10"/>
        <rFont val="ＭＳ Ｐゴシック"/>
        <family val="3"/>
        <charset val="128"/>
      </rPr>
      <t>対象区域外に対する騒音・振動・悪臭の防止</t>
    </r>
    <rPh sb="6" eb="8">
      <t>タイショウ</t>
    </rPh>
    <rPh sb="8" eb="10">
      <t>クイキ</t>
    </rPh>
    <phoneticPr fontId="3"/>
  </si>
  <si>
    <r>
      <t xml:space="preserve">1.2.3 </t>
    </r>
    <r>
      <rPr>
        <b/>
        <sz val="12"/>
        <color indexed="8"/>
        <rFont val="ＭＳ Ｐゴシック"/>
        <family val="3"/>
        <charset val="128"/>
      </rPr>
      <t>都市景観</t>
    </r>
    <rPh sb="6" eb="8">
      <t>トシ</t>
    </rPh>
    <rPh sb="8" eb="10">
      <t>ケイカン</t>
    </rPh>
    <phoneticPr fontId="3"/>
  </si>
  <si>
    <r>
      <t xml:space="preserve">2.1 </t>
    </r>
    <r>
      <rPr>
        <b/>
        <sz val="12"/>
        <color indexed="8"/>
        <rFont val="ＭＳ Ｐゴシック"/>
        <family val="3"/>
        <charset val="128"/>
      </rPr>
      <t>ガバナンス</t>
    </r>
    <phoneticPr fontId="3"/>
  </si>
  <si>
    <r>
      <t xml:space="preserve">2.1.2.1 </t>
    </r>
    <r>
      <rPr>
        <b/>
        <sz val="10"/>
        <rFont val="ＭＳ Ｐゴシック"/>
        <family val="3"/>
        <charset val="128"/>
      </rPr>
      <t>運営・組織体制</t>
    </r>
    <phoneticPr fontId="3"/>
  </si>
  <si>
    <r>
      <t xml:space="preserve">2.1.2.2 </t>
    </r>
    <r>
      <rPr>
        <b/>
        <sz val="10"/>
        <rFont val="ＭＳ Ｐゴシック"/>
        <family val="3"/>
        <charset val="128"/>
      </rPr>
      <t>資金力</t>
    </r>
    <phoneticPr fontId="3"/>
  </si>
  <si>
    <r>
      <t xml:space="preserve">2.1.2.3 </t>
    </r>
    <r>
      <rPr>
        <b/>
        <sz val="10"/>
        <rFont val="ＭＳ Ｐゴシック"/>
        <family val="3"/>
        <charset val="128"/>
      </rPr>
      <t>維持管理</t>
    </r>
    <phoneticPr fontId="3"/>
  </si>
  <si>
    <r>
      <rPr>
        <b/>
        <sz val="10"/>
        <rFont val="ＭＳ Ｐゴシック"/>
        <family val="3"/>
        <charset val="128"/>
      </rPr>
      <t>１</t>
    </r>
    <r>
      <rPr>
        <b/>
        <sz val="10"/>
        <rFont val="Arial"/>
        <family val="2"/>
      </rPr>
      <t xml:space="preserve">) </t>
    </r>
    <r>
      <rPr>
        <b/>
        <sz val="10"/>
        <rFont val="ＭＳ Ｐゴシック"/>
        <family val="3"/>
        <charset val="128"/>
      </rPr>
      <t>街区施設等の維持管理</t>
    </r>
    <phoneticPr fontId="3"/>
  </si>
  <si>
    <r>
      <t xml:space="preserve">2) </t>
    </r>
    <r>
      <rPr>
        <b/>
        <sz val="10"/>
        <rFont val="ＭＳ ゴシック"/>
        <family val="3"/>
        <charset val="128"/>
      </rPr>
      <t>グリーンインフラの維持管理</t>
    </r>
    <phoneticPr fontId="3"/>
  </si>
  <si>
    <r>
      <t xml:space="preserve">2.2 </t>
    </r>
    <r>
      <rPr>
        <b/>
        <sz val="12"/>
        <color indexed="8"/>
        <rFont val="ＭＳ Ｐゴシック"/>
        <family val="3"/>
        <charset val="128"/>
      </rPr>
      <t>生活利便</t>
    </r>
    <phoneticPr fontId="3"/>
  </si>
  <si>
    <r>
      <t xml:space="preserve">2.2.1 </t>
    </r>
    <r>
      <rPr>
        <b/>
        <sz val="12"/>
        <color indexed="8"/>
        <rFont val="ＭＳ Ｐゴシック"/>
        <family val="3"/>
        <charset val="128"/>
      </rPr>
      <t>商業施設</t>
    </r>
    <phoneticPr fontId="3"/>
  </si>
  <si>
    <r>
      <t xml:space="preserve">2.2.2 </t>
    </r>
    <r>
      <rPr>
        <b/>
        <sz val="12"/>
        <rFont val="ＭＳ Ｐゴシック"/>
        <family val="3"/>
        <charset val="128"/>
      </rPr>
      <t>公共交通施設</t>
    </r>
    <phoneticPr fontId="3"/>
  </si>
  <si>
    <r>
      <t xml:space="preserve">2.2.3 </t>
    </r>
    <r>
      <rPr>
        <b/>
        <sz val="12"/>
        <rFont val="ＭＳ Ｐゴシック"/>
        <family val="3"/>
        <charset val="128"/>
      </rPr>
      <t>教育施設</t>
    </r>
    <phoneticPr fontId="3"/>
  </si>
  <si>
    <r>
      <t xml:space="preserve">2.2.4 </t>
    </r>
    <r>
      <rPr>
        <b/>
        <sz val="12"/>
        <rFont val="ＭＳ Ｐゴシック"/>
        <family val="3"/>
        <charset val="128"/>
      </rPr>
      <t>行政施設</t>
    </r>
    <phoneticPr fontId="3"/>
  </si>
  <si>
    <r>
      <t xml:space="preserve">2.3 </t>
    </r>
    <r>
      <rPr>
        <b/>
        <sz val="12"/>
        <color indexed="8"/>
        <rFont val="ＭＳ Ｐゴシック"/>
        <family val="3"/>
        <charset val="128"/>
      </rPr>
      <t>健康福祉</t>
    </r>
    <phoneticPr fontId="3"/>
  </si>
  <si>
    <r>
      <t xml:space="preserve">2.3.1 </t>
    </r>
    <r>
      <rPr>
        <b/>
        <sz val="12"/>
        <color indexed="8"/>
        <rFont val="ＭＳ Ｐゴシック"/>
        <family val="3"/>
        <charset val="128"/>
      </rPr>
      <t>健康増進施設</t>
    </r>
    <phoneticPr fontId="3"/>
  </si>
  <si>
    <r>
      <t xml:space="preserve">2.3.2 </t>
    </r>
    <r>
      <rPr>
        <b/>
        <sz val="12"/>
        <rFont val="ＭＳ Ｐゴシック"/>
        <family val="3"/>
        <charset val="128"/>
      </rPr>
      <t>福祉施設</t>
    </r>
    <phoneticPr fontId="3"/>
  </si>
  <si>
    <r>
      <t xml:space="preserve">2.3.3 </t>
    </r>
    <r>
      <rPr>
        <b/>
        <sz val="12"/>
        <rFont val="ＭＳ Ｐゴシック"/>
        <family val="3"/>
        <charset val="128"/>
      </rPr>
      <t>医療施設</t>
    </r>
    <phoneticPr fontId="3"/>
  </si>
  <si>
    <r>
      <t xml:space="preserve">2.3.4 </t>
    </r>
    <r>
      <rPr>
        <b/>
        <sz val="12"/>
        <rFont val="ＭＳ Ｐゴシック"/>
        <family val="3"/>
        <charset val="128"/>
      </rPr>
      <t>コミュニティ施設</t>
    </r>
    <phoneticPr fontId="3"/>
  </si>
  <si>
    <r>
      <t xml:space="preserve">2.4 </t>
    </r>
    <r>
      <rPr>
        <b/>
        <sz val="12"/>
        <color indexed="8"/>
        <rFont val="ＭＳ Ｐゴシック"/>
        <family val="3"/>
        <charset val="128"/>
      </rPr>
      <t>安全安心</t>
    </r>
    <phoneticPr fontId="3"/>
  </si>
  <si>
    <r>
      <t xml:space="preserve">2.4.3 </t>
    </r>
    <r>
      <rPr>
        <b/>
        <sz val="12"/>
        <rFont val="ＭＳ Ｐゴシック"/>
        <family val="3"/>
        <charset val="128"/>
      </rPr>
      <t>交通安全</t>
    </r>
    <phoneticPr fontId="3"/>
  </si>
  <si>
    <r>
      <t xml:space="preserve">2.4.4 </t>
    </r>
    <r>
      <rPr>
        <b/>
        <sz val="12"/>
        <rFont val="ＭＳ Ｐゴシック"/>
        <family val="3"/>
        <charset val="128"/>
      </rPr>
      <t>防犯</t>
    </r>
    <phoneticPr fontId="3"/>
  </si>
  <si>
    <r>
      <t xml:space="preserve">2.5 </t>
    </r>
    <r>
      <rPr>
        <b/>
        <sz val="12"/>
        <color indexed="8"/>
        <rFont val="ＭＳ Ｐゴシック"/>
        <family val="3"/>
        <charset val="128"/>
      </rPr>
      <t>包摂性</t>
    </r>
    <rPh sb="4" eb="6">
      <t>ホウセツ</t>
    </rPh>
    <rPh sb="6" eb="7">
      <t>セイ</t>
    </rPh>
    <phoneticPr fontId="3"/>
  </si>
  <si>
    <r>
      <t xml:space="preserve">2.5.1 </t>
    </r>
    <r>
      <rPr>
        <b/>
        <sz val="12"/>
        <rFont val="ＭＳ Ｐゴシック"/>
        <family val="3"/>
        <charset val="128"/>
      </rPr>
      <t>地域の歴史・文化との融和</t>
    </r>
    <rPh sb="6" eb="8">
      <t>チイキ</t>
    </rPh>
    <rPh sb="9" eb="11">
      <t>レキシ</t>
    </rPh>
    <rPh sb="12" eb="14">
      <t>ブンカ</t>
    </rPh>
    <rPh sb="16" eb="18">
      <t>ユウワ</t>
    </rPh>
    <phoneticPr fontId="3"/>
  </si>
  <si>
    <r>
      <t xml:space="preserve">2.5.2 </t>
    </r>
    <r>
      <rPr>
        <b/>
        <sz val="12"/>
        <rFont val="ＭＳ Ｐゴシック"/>
        <family val="3"/>
        <charset val="128"/>
      </rPr>
      <t>多様な住宅の供給</t>
    </r>
    <rPh sb="6" eb="8">
      <t>タヨウ</t>
    </rPh>
    <rPh sb="9" eb="11">
      <t>ジュウタク</t>
    </rPh>
    <rPh sb="12" eb="14">
      <t>キョウキュウ</t>
    </rPh>
    <phoneticPr fontId="3"/>
  </si>
  <si>
    <r>
      <t xml:space="preserve">2.5.3 </t>
    </r>
    <r>
      <rPr>
        <b/>
        <sz val="12"/>
        <rFont val="ＭＳ Ｐゴシック"/>
        <family val="3"/>
        <charset val="128"/>
      </rPr>
      <t>ユニバーサルデザイン</t>
    </r>
    <phoneticPr fontId="3"/>
  </si>
  <si>
    <r>
      <t xml:space="preserve">2.6 </t>
    </r>
    <r>
      <rPr>
        <b/>
        <sz val="12"/>
        <rFont val="ＭＳ Ｐゴシック"/>
        <family val="3"/>
        <charset val="128"/>
      </rPr>
      <t>社会性能に関するスマート化</t>
    </r>
    <phoneticPr fontId="3"/>
  </si>
  <si>
    <r>
      <t xml:space="preserve">3.1 </t>
    </r>
    <r>
      <rPr>
        <b/>
        <sz val="12"/>
        <color indexed="8"/>
        <rFont val="ＭＳ Ｐゴシック"/>
        <family val="3"/>
        <charset val="128"/>
      </rPr>
      <t>経済基盤</t>
    </r>
    <rPh sb="4" eb="6">
      <t>ケイザイ</t>
    </rPh>
    <rPh sb="6" eb="8">
      <t>キバン</t>
    </rPh>
    <phoneticPr fontId="3"/>
  </si>
  <si>
    <r>
      <t xml:space="preserve">3.1.1 </t>
    </r>
    <r>
      <rPr>
        <b/>
        <sz val="12"/>
        <color indexed="8"/>
        <rFont val="ＭＳ Ｐゴシック"/>
        <family val="3"/>
        <charset val="128"/>
      </rPr>
      <t>都市構造</t>
    </r>
    <rPh sb="6" eb="8">
      <t>トシ</t>
    </rPh>
    <rPh sb="8" eb="10">
      <t>コウゾウ</t>
    </rPh>
    <phoneticPr fontId="3"/>
  </si>
  <si>
    <r>
      <t xml:space="preserve">3.1.1.1 </t>
    </r>
    <r>
      <rPr>
        <b/>
        <sz val="10"/>
        <rFont val="ＭＳ Ｐゴシック"/>
        <family val="3"/>
        <charset val="128"/>
      </rPr>
      <t>周辺地域への貢献</t>
    </r>
    <rPh sb="8" eb="10">
      <t>シュウヘン</t>
    </rPh>
    <rPh sb="10" eb="12">
      <t>チイキ</t>
    </rPh>
    <rPh sb="14" eb="16">
      <t>コウケン</t>
    </rPh>
    <phoneticPr fontId="3"/>
  </si>
  <si>
    <r>
      <t xml:space="preserve">3.1.1.2 </t>
    </r>
    <r>
      <rPr>
        <b/>
        <sz val="10"/>
        <rFont val="ＭＳ Ｐゴシック"/>
        <family val="3"/>
        <charset val="128"/>
      </rPr>
      <t>スマートロケーション</t>
    </r>
    <phoneticPr fontId="3"/>
  </si>
  <si>
    <r>
      <t xml:space="preserve">3.1.1.3 </t>
    </r>
    <r>
      <rPr>
        <b/>
        <sz val="10"/>
        <rFont val="ＭＳ Ｐゴシック"/>
        <family val="3"/>
        <charset val="128"/>
      </rPr>
      <t>適正な開発規模</t>
    </r>
    <phoneticPr fontId="3"/>
  </si>
  <si>
    <r>
      <t xml:space="preserve">3.1.2 </t>
    </r>
    <r>
      <rPr>
        <b/>
        <sz val="12"/>
        <color indexed="8"/>
        <rFont val="ＭＳ Ｐゴシック"/>
        <family val="3"/>
        <charset val="128"/>
      </rPr>
      <t>交通インフラ</t>
    </r>
    <rPh sb="6" eb="8">
      <t>コウツウ</t>
    </rPh>
    <phoneticPr fontId="3"/>
  </si>
  <si>
    <r>
      <t xml:space="preserve">3.1.2.1 </t>
    </r>
    <r>
      <rPr>
        <b/>
        <sz val="10"/>
        <rFont val="ＭＳ Ｐゴシック"/>
        <family val="3"/>
        <charset val="128"/>
      </rPr>
      <t>交通施設整備</t>
    </r>
    <phoneticPr fontId="3"/>
  </si>
  <si>
    <r>
      <t xml:space="preserve">3.1.2.2 </t>
    </r>
    <r>
      <rPr>
        <b/>
        <sz val="10"/>
        <color theme="1"/>
        <rFont val="ＭＳ Ｐゴシック"/>
        <family val="3"/>
        <charset val="128"/>
      </rPr>
      <t>公共交通指向型開発</t>
    </r>
    <phoneticPr fontId="3"/>
  </si>
  <si>
    <r>
      <t xml:space="preserve">3.1.2.3 </t>
    </r>
    <r>
      <rPr>
        <b/>
        <sz val="10"/>
        <rFont val="ＭＳ Ｐゴシック"/>
        <family val="3"/>
        <charset val="128"/>
      </rPr>
      <t>モビリティサービス</t>
    </r>
    <phoneticPr fontId="3"/>
  </si>
  <si>
    <r>
      <t xml:space="preserve">3.1.2.4 </t>
    </r>
    <r>
      <rPr>
        <b/>
        <sz val="10"/>
        <rFont val="ＭＳ Ｐゴシック"/>
        <family val="3"/>
        <charset val="128"/>
      </rPr>
      <t>物流システム</t>
    </r>
    <rPh sb="8" eb="10">
      <t>ブツリュウ</t>
    </rPh>
    <phoneticPr fontId="3"/>
  </si>
  <si>
    <r>
      <t xml:space="preserve">3.2 </t>
    </r>
    <r>
      <rPr>
        <b/>
        <sz val="12"/>
        <color indexed="8"/>
        <rFont val="ＭＳ Ｐゴシック"/>
        <family val="3"/>
        <charset val="128"/>
      </rPr>
      <t>ヒューマンキャピタル</t>
    </r>
    <phoneticPr fontId="3"/>
  </si>
  <si>
    <r>
      <t xml:space="preserve">3.2.1 </t>
    </r>
    <r>
      <rPr>
        <b/>
        <sz val="12"/>
        <color indexed="8"/>
        <rFont val="ＭＳ Ｐゴシック"/>
        <family val="3"/>
        <charset val="128"/>
      </rPr>
      <t>人口</t>
    </r>
    <phoneticPr fontId="3"/>
  </si>
  <si>
    <r>
      <t xml:space="preserve">3.2.1.1 </t>
    </r>
    <r>
      <rPr>
        <b/>
        <sz val="10"/>
        <rFont val="ＭＳ Ｐゴシック"/>
        <family val="3"/>
        <charset val="128"/>
      </rPr>
      <t>常住人口（夜間人口）</t>
    </r>
    <phoneticPr fontId="3"/>
  </si>
  <si>
    <r>
      <t xml:space="preserve">3.2.1.2 </t>
    </r>
    <r>
      <rPr>
        <b/>
        <sz val="10"/>
        <rFont val="ＭＳ Ｐゴシック"/>
        <family val="3"/>
        <charset val="128"/>
      </rPr>
      <t>滞在人口（昼間人口）</t>
    </r>
    <phoneticPr fontId="3"/>
  </si>
  <si>
    <r>
      <t xml:space="preserve">3.2.2 </t>
    </r>
    <r>
      <rPr>
        <b/>
        <sz val="12"/>
        <color indexed="8"/>
        <rFont val="ＭＳ Ｐゴシック"/>
        <family val="3"/>
        <charset val="128"/>
      </rPr>
      <t>学習機会</t>
    </r>
    <rPh sb="6" eb="8">
      <t>ガクシュウ</t>
    </rPh>
    <rPh sb="8" eb="10">
      <t>キカイ</t>
    </rPh>
    <phoneticPr fontId="3"/>
  </si>
  <si>
    <r>
      <t xml:space="preserve">3.3 </t>
    </r>
    <r>
      <rPr>
        <b/>
        <sz val="12"/>
        <color indexed="8"/>
        <rFont val="ＭＳ Ｐゴシック"/>
        <family val="3"/>
        <charset val="128"/>
      </rPr>
      <t>活性化方策</t>
    </r>
    <rPh sb="4" eb="7">
      <t>カッセイカ</t>
    </rPh>
    <rPh sb="7" eb="9">
      <t>ホウサク</t>
    </rPh>
    <phoneticPr fontId="3"/>
  </si>
  <si>
    <r>
      <t xml:space="preserve">3.3.1 </t>
    </r>
    <r>
      <rPr>
        <b/>
        <sz val="12"/>
        <rFont val="ＭＳ Ｐゴシック"/>
        <family val="3"/>
        <charset val="128"/>
      </rPr>
      <t>雇用・働く場の創出</t>
    </r>
    <phoneticPr fontId="3"/>
  </si>
  <si>
    <r>
      <t xml:space="preserve">3.3.1.1 </t>
    </r>
    <r>
      <rPr>
        <b/>
        <sz val="10"/>
        <rFont val="ＭＳ Ｐゴシック"/>
        <family val="3"/>
        <charset val="128"/>
      </rPr>
      <t>雇用創出</t>
    </r>
    <phoneticPr fontId="3"/>
  </si>
  <si>
    <r>
      <t xml:space="preserve">3.3.1.2 </t>
    </r>
    <r>
      <rPr>
        <b/>
        <sz val="10"/>
        <rFont val="ＭＳ Ｐゴシック"/>
        <family val="3"/>
        <charset val="128"/>
      </rPr>
      <t>働き方の多様性</t>
    </r>
    <phoneticPr fontId="3"/>
  </si>
  <si>
    <r>
      <t xml:space="preserve">3.3.2 </t>
    </r>
    <r>
      <rPr>
        <b/>
        <sz val="12"/>
        <color indexed="8"/>
        <rFont val="ＭＳ Ｐゴシック"/>
        <family val="3"/>
        <charset val="128"/>
      </rPr>
      <t>地域産業力の強化</t>
    </r>
    <phoneticPr fontId="3"/>
  </si>
  <si>
    <r>
      <t xml:space="preserve">3.3.2.1 </t>
    </r>
    <r>
      <rPr>
        <b/>
        <sz val="10"/>
        <rFont val="ＭＳ ゴシック"/>
        <family val="3"/>
        <charset val="128"/>
      </rPr>
      <t>地域産業の振興</t>
    </r>
    <phoneticPr fontId="3"/>
  </si>
  <si>
    <r>
      <t xml:space="preserve">3.3.2.2 </t>
    </r>
    <r>
      <rPr>
        <b/>
        <sz val="10"/>
        <rFont val="ＭＳ Ｐゴシック"/>
        <family val="3"/>
        <charset val="128"/>
      </rPr>
      <t>魅力的なまちなかの形成</t>
    </r>
    <phoneticPr fontId="3"/>
  </si>
  <si>
    <r>
      <t xml:space="preserve">3.3.3 </t>
    </r>
    <r>
      <rPr>
        <b/>
        <sz val="12"/>
        <color rgb="FF000000"/>
        <rFont val="ＭＳ ゴシック"/>
        <family val="3"/>
        <charset val="128"/>
      </rPr>
      <t>多様な主体の連携</t>
    </r>
    <phoneticPr fontId="3"/>
  </si>
  <si>
    <r>
      <t xml:space="preserve">3.4 </t>
    </r>
    <r>
      <rPr>
        <b/>
        <sz val="12"/>
        <color rgb="FF000000"/>
        <rFont val="ＭＳ ゴシック"/>
        <family val="3"/>
        <charset val="128"/>
      </rPr>
      <t>経済性能に関するスマート化</t>
    </r>
    <phoneticPr fontId="3"/>
  </si>
  <si>
    <r>
      <t xml:space="preserve">1.1 </t>
    </r>
    <r>
      <rPr>
        <b/>
        <sz val="12"/>
        <color indexed="8"/>
        <rFont val="ＭＳ Ｐゴシック"/>
        <family val="3"/>
        <charset val="128"/>
      </rPr>
      <t>都市・街区エネルギーの効率化</t>
    </r>
    <rPh sb="4" eb="6">
      <t>トシ</t>
    </rPh>
    <rPh sb="7" eb="9">
      <t>ガイク</t>
    </rPh>
    <rPh sb="15" eb="17">
      <t>コウリツ</t>
    </rPh>
    <rPh sb="17" eb="18">
      <t>カ</t>
    </rPh>
    <phoneticPr fontId="3"/>
  </si>
  <si>
    <r>
      <t xml:space="preserve">1.2 </t>
    </r>
    <r>
      <rPr>
        <b/>
        <sz val="12"/>
        <rFont val="ＭＳ ゴシック"/>
        <family val="3"/>
        <charset val="128"/>
      </rPr>
      <t>再生可能エネルギーの利用</t>
    </r>
    <phoneticPr fontId="3"/>
  </si>
  <si>
    <r>
      <t xml:space="preserve">1.3 </t>
    </r>
    <r>
      <rPr>
        <b/>
        <sz val="12"/>
        <rFont val="ＭＳ ゴシック"/>
        <family val="3"/>
        <charset val="128"/>
      </rPr>
      <t>未利用エネルギーの利用</t>
    </r>
    <phoneticPr fontId="3"/>
  </si>
  <si>
    <r>
      <t xml:space="preserve">1.4 </t>
    </r>
    <r>
      <rPr>
        <b/>
        <sz val="12"/>
        <color indexed="8"/>
        <rFont val="ＭＳ Ｐゴシック"/>
        <family val="3"/>
        <charset val="128"/>
      </rPr>
      <t>エネルギーマネジメント</t>
    </r>
    <phoneticPr fontId="3"/>
  </si>
  <si>
    <r>
      <t xml:space="preserve">3.2 </t>
    </r>
    <r>
      <rPr>
        <b/>
        <sz val="12"/>
        <color theme="1"/>
        <rFont val="ＭＳ Ｐゴシック"/>
        <family val="3"/>
        <charset val="128"/>
      </rPr>
      <t>交通負荷の削減</t>
    </r>
    <phoneticPr fontId="3"/>
  </si>
  <si>
    <r>
      <t xml:space="preserve">3.2.1 </t>
    </r>
    <r>
      <rPr>
        <b/>
        <sz val="10"/>
        <rFont val="ＭＳ Ｐゴシック"/>
        <family val="3"/>
        <charset val="128"/>
      </rPr>
      <t>交通に関する広域的取組み</t>
    </r>
    <phoneticPr fontId="3"/>
  </si>
  <si>
    <r>
      <t xml:space="preserve">3.2.1.1 </t>
    </r>
    <r>
      <rPr>
        <b/>
        <sz val="10"/>
        <rFont val="ＭＳ Ｐゴシック"/>
        <family val="3"/>
        <charset val="128"/>
      </rPr>
      <t>交通施設整備に関する上位計画との整合</t>
    </r>
    <phoneticPr fontId="3"/>
  </si>
  <si>
    <r>
      <t xml:space="preserve">3.2.1.2 </t>
    </r>
    <r>
      <rPr>
        <b/>
        <sz val="10"/>
        <rFont val="ＭＳ Ｐゴシック"/>
        <family val="3"/>
        <charset val="128"/>
      </rPr>
      <t>交通需要マネジメント等の取組み</t>
    </r>
    <phoneticPr fontId="3"/>
  </si>
  <si>
    <r>
      <t xml:space="preserve">3.2.2 </t>
    </r>
    <r>
      <rPr>
        <b/>
        <sz val="12"/>
        <color rgb="FF000000"/>
        <rFont val="ＭＳ ゴシック"/>
        <family val="3"/>
        <charset val="128"/>
      </rPr>
      <t>自動車交通量に関する配慮</t>
    </r>
    <phoneticPr fontId="3"/>
  </si>
  <si>
    <r>
      <t xml:space="preserve">3.3 </t>
    </r>
    <r>
      <rPr>
        <b/>
        <sz val="12"/>
        <color indexed="8"/>
        <rFont val="ＭＳ Ｐゴシック"/>
        <family val="3"/>
        <charset val="128"/>
      </rPr>
      <t>環境阻害の削減</t>
    </r>
    <phoneticPr fontId="3"/>
  </si>
  <si>
    <r>
      <t xml:space="preserve">3.3.2.1 </t>
    </r>
    <r>
      <rPr>
        <b/>
        <sz val="10"/>
        <rFont val="ＭＳ Ｐゴシック"/>
        <family val="3"/>
        <charset val="128"/>
      </rPr>
      <t>発生源における対策</t>
    </r>
    <phoneticPr fontId="3"/>
  </si>
  <si>
    <r>
      <t xml:space="preserve">3.3.2.2 </t>
    </r>
    <r>
      <rPr>
        <b/>
        <sz val="10"/>
        <rFont val="ＭＳ Ｐゴシック"/>
        <family val="3"/>
        <charset val="128"/>
      </rPr>
      <t>交通手段における対策</t>
    </r>
    <phoneticPr fontId="3"/>
  </si>
  <si>
    <r>
      <t xml:space="preserve">3.3.4 </t>
    </r>
    <r>
      <rPr>
        <b/>
        <sz val="10"/>
        <rFont val="ＭＳ Ｐゴシック"/>
        <family val="2"/>
        <charset val="128"/>
      </rPr>
      <t>対象区域外に対する風害の抑制</t>
    </r>
    <phoneticPr fontId="3"/>
  </si>
  <si>
    <r>
      <t xml:space="preserve">3.3.5 </t>
    </r>
    <r>
      <rPr>
        <b/>
        <sz val="10"/>
        <rFont val="ＭＳ Ｐゴシック"/>
        <family val="2"/>
        <charset val="128"/>
      </rPr>
      <t>対象区域外に対する日照阻害の抑制</t>
    </r>
    <phoneticPr fontId="3"/>
  </si>
  <si>
    <r>
      <t xml:space="preserve">3.3.6 </t>
    </r>
    <r>
      <rPr>
        <b/>
        <sz val="12"/>
        <color rgb="FF000000"/>
        <rFont val="ＭＳ ゴシック"/>
        <family val="3"/>
        <charset val="128"/>
      </rPr>
      <t>対象区域外に対する光害の抑制</t>
    </r>
    <rPh sb="6" eb="8">
      <t>タイショウ</t>
    </rPh>
    <rPh sb="8" eb="10">
      <t>クイキ</t>
    </rPh>
    <phoneticPr fontId="3"/>
  </si>
  <si>
    <r>
      <t xml:space="preserve">2.4.1.2 </t>
    </r>
    <r>
      <rPr>
        <b/>
        <sz val="10"/>
        <rFont val="ＭＳ Ｐゴシック"/>
        <family val="3"/>
        <charset val="128"/>
      </rPr>
      <t>各種インフラの防災性能</t>
    </r>
    <phoneticPr fontId="3"/>
  </si>
  <si>
    <t>■使用マニュアル：</t>
    <rPh sb="1" eb="3">
      <t>ｼﾖｳ</t>
    </rPh>
    <phoneticPr fontId="18" type="noConversion"/>
  </si>
  <si>
    <r>
      <t>1-1</t>
    </r>
    <r>
      <rPr>
        <b/>
        <sz val="12"/>
        <color indexed="9"/>
        <rFont val="ＭＳ Ｐゴシック"/>
        <family val="3"/>
        <charset val="128"/>
      </rPr>
      <t>　街区の概要</t>
    </r>
    <rPh sb="4" eb="6">
      <t>ｶﾞｲｸ</t>
    </rPh>
    <rPh sb="7" eb="9">
      <t>ｶﾞｲﾖｳ</t>
    </rPh>
    <phoneticPr fontId="18" type="noConversion"/>
  </si>
  <si>
    <t>開発名称</t>
    <rPh sb="0" eb="2">
      <t>ｶｲﾊﾂ</t>
    </rPh>
    <rPh sb="2" eb="4">
      <t>ﾒｲｼｮｳ</t>
    </rPh>
    <phoneticPr fontId="18" type="noConversion"/>
  </si>
  <si>
    <t>区域面積</t>
    <rPh sb="0" eb="2">
      <t>ｸｲｷ</t>
    </rPh>
    <rPh sb="2" eb="4">
      <t>ﾒﾝｾｷ</t>
    </rPh>
    <phoneticPr fontId="18" type="noConversion"/>
  </si>
  <si>
    <r>
      <t>2-1</t>
    </r>
    <r>
      <rPr>
        <b/>
        <sz val="12"/>
        <color indexed="9"/>
        <rFont val="ＭＳ Ｐゴシック"/>
        <family val="3"/>
        <charset val="128"/>
      </rPr>
      <t>　街区の環境効率（</t>
    </r>
    <r>
      <rPr>
        <b/>
        <sz val="12"/>
        <color indexed="9"/>
        <rFont val="Arial"/>
        <family val="2"/>
      </rPr>
      <t>BEE</t>
    </r>
    <r>
      <rPr>
        <b/>
        <sz val="12"/>
        <color indexed="9"/>
        <rFont val="ＭＳ Ｐゴシック"/>
        <family val="3"/>
        <charset val="128"/>
      </rPr>
      <t>ﾗﾝｸ</t>
    </r>
    <r>
      <rPr>
        <b/>
        <sz val="12"/>
        <color indexed="9"/>
        <rFont val="Arial"/>
        <family val="2"/>
      </rPr>
      <t>&amp;</t>
    </r>
    <r>
      <rPr>
        <b/>
        <sz val="12"/>
        <color indexed="9"/>
        <rFont val="ＭＳ Ｐゴシック"/>
        <family val="3"/>
        <charset val="128"/>
      </rPr>
      <t>ﾁｬｰﾄ）</t>
    </r>
    <rPh sb="4" eb="6">
      <t>ｶﾞｲｸ</t>
    </rPh>
    <phoneticPr fontId="18" type="noConversion"/>
  </si>
  <si>
    <t>★★</t>
    <phoneticPr fontId="3"/>
  </si>
  <si>
    <t>★★★</t>
    <phoneticPr fontId="3"/>
  </si>
  <si>
    <t>★★★★</t>
    <phoneticPr fontId="3"/>
  </si>
  <si>
    <t>コミット表明</t>
    <rPh sb="4" eb="6">
      <t>ヒョウメイ</t>
    </rPh>
    <phoneticPr fontId="3"/>
  </si>
  <si>
    <t>開発段階</t>
    <rPh sb="0" eb="4">
      <t>カイハツダンカイ</t>
    </rPh>
    <phoneticPr fontId="3"/>
  </si>
  <si>
    <t>開発段階
and
運用段階</t>
    <rPh sb="0" eb="4">
      <t>カイハツダンカイ</t>
    </rPh>
    <rPh sb="9" eb="11">
      <t>ウンヨウ</t>
    </rPh>
    <rPh sb="11" eb="13">
      <t>ダンカイ</t>
    </rPh>
    <phoneticPr fontId="3"/>
  </si>
  <si>
    <t>全段階
具体的ｼﾅﾘｵ
公開</t>
    <rPh sb="0" eb="3">
      <t>ゼンダンカイ</t>
    </rPh>
    <rPh sb="4" eb="7">
      <t>グタイテキ</t>
    </rPh>
    <rPh sb="12" eb="14">
      <t>コウカイ</t>
    </rPh>
    <phoneticPr fontId="3"/>
  </si>
  <si>
    <t>部分的把握</t>
    <rPh sb="0" eb="5">
      <t>ブブンテキハアク</t>
    </rPh>
    <phoneticPr fontId="3"/>
  </si>
  <si>
    <t>or</t>
    <phoneticPr fontId="3"/>
  </si>
  <si>
    <t>抑制策実施</t>
    <rPh sb="0" eb="5">
      <t>ヨクセイサクジッシ</t>
    </rPh>
    <phoneticPr fontId="3"/>
  </si>
  <si>
    <t>運用段階</t>
    <rPh sb="0" eb="2">
      <t>ウンヨウ</t>
    </rPh>
    <rPh sb="2" eb="4">
      <t>ダンカイ</t>
    </rPh>
    <phoneticPr fontId="3"/>
  </si>
  <si>
    <r>
      <t>温室効果ガス排出量（単位：kg-CO</t>
    </r>
    <r>
      <rPr>
        <b/>
        <vertAlign val="subscript"/>
        <sz val="10"/>
        <color theme="0"/>
        <rFont val="ＭＳ Ｐゴシック"/>
        <family val="3"/>
        <charset val="128"/>
        <scheme val="minor"/>
      </rPr>
      <t>2</t>
    </r>
    <r>
      <rPr>
        <b/>
        <sz val="10"/>
        <color theme="0"/>
        <rFont val="ＭＳ Ｐゴシック"/>
        <family val="3"/>
        <charset val="128"/>
        <scheme val="minor"/>
      </rPr>
      <t>eq/年㎡）</t>
    </r>
    <rPh sb="0" eb="4">
      <t>オンシツコウカ</t>
    </rPh>
    <rPh sb="6" eb="9">
      <t>ハイシュツリョウ</t>
    </rPh>
    <phoneticPr fontId="3"/>
  </si>
  <si>
    <t>ステージ（TOP5）</t>
    <phoneticPr fontId="3"/>
  </si>
  <si>
    <t>CO2</t>
    <phoneticPr fontId="3"/>
  </si>
  <si>
    <t>CH4</t>
    <phoneticPr fontId="3"/>
  </si>
  <si>
    <t>温室効果ガス排出量の推計範囲</t>
    <rPh sb="0" eb="4">
      <t>オンシツコウカ</t>
    </rPh>
    <rPh sb="6" eb="9">
      <t>ハイシュツリョウ</t>
    </rPh>
    <rPh sb="10" eb="12">
      <t>スイケイ</t>
    </rPh>
    <rPh sb="12" eb="14">
      <t>ハンイ</t>
    </rPh>
    <phoneticPr fontId="3"/>
  </si>
  <si>
    <t>N2O</t>
    <phoneticPr fontId="3"/>
  </si>
  <si>
    <t>その他の温室効果ガス</t>
    <rPh sb="2" eb="3">
      <t>ホカ</t>
    </rPh>
    <rPh sb="4" eb="8">
      <t>オンシツコウカ</t>
    </rPh>
    <phoneticPr fontId="3"/>
  </si>
  <si>
    <t>国内消費支出</t>
    <rPh sb="0" eb="6">
      <t>コクナイショウヒシシュツ</t>
    </rPh>
    <phoneticPr fontId="3"/>
  </si>
  <si>
    <t>国内資本形成</t>
    <rPh sb="0" eb="6">
      <t>コクナイシホンケイセイ</t>
    </rPh>
    <phoneticPr fontId="3"/>
  </si>
  <si>
    <t>海外消費支出</t>
    <rPh sb="0" eb="2">
      <t>カイガイ</t>
    </rPh>
    <rPh sb="2" eb="6">
      <t>ショウヒシシュツ</t>
    </rPh>
    <phoneticPr fontId="3"/>
  </si>
  <si>
    <t>海外資本形成</t>
    <rPh sb="0" eb="2">
      <t>カイガイ</t>
    </rPh>
    <rPh sb="2" eb="6">
      <t>シホンケイセイ</t>
    </rPh>
    <phoneticPr fontId="3"/>
  </si>
  <si>
    <t>建築敷地</t>
    <rPh sb="0" eb="4">
      <t>ケンチクシキチ</t>
    </rPh>
    <phoneticPr fontId="3"/>
  </si>
  <si>
    <t>非建築敷地</t>
    <rPh sb="0" eb="1">
      <t>ヒ</t>
    </rPh>
    <rPh sb="1" eb="3">
      <t>ケンチク</t>
    </rPh>
    <rPh sb="3" eb="5">
      <t>シキチ</t>
    </rPh>
    <phoneticPr fontId="3"/>
  </si>
  <si>
    <t>取組</t>
    <rPh sb="0" eb="2">
      <t>トリクミ</t>
    </rPh>
    <phoneticPr fontId="3"/>
  </si>
  <si>
    <t>温室効果ガス排出量の削減に向けてコミットする旨を表明している</t>
    <phoneticPr fontId="3"/>
  </si>
  <si>
    <t>温室効果ガス排出量を何らかの形で部分的に把握している</t>
  </si>
  <si>
    <t>温室効果ガス排出量を抑制する対策が既に講じられている</t>
  </si>
  <si>
    <t>開発段階における温室効果ガス排出量を推計、把握した上でさらに将来の削減目標を設定している</t>
    <phoneticPr fontId="3"/>
  </si>
  <si>
    <t>運用段階における温室効果ガス排出量を推計、把握した上でさらに将来の削減目標を設定している</t>
    <phoneticPr fontId="3"/>
  </si>
  <si>
    <r>
      <t>3.1</t>
    </r>
    <r>
      <rPr>
        <b/>
        <sz val="12"/>
        <color indexed="8"/>
        <rFont val="ＭＳ Ｐゴシック"/>
        <family val="3"/>
        <charset val="128"/>
      </rPr>
      <t>　地球温暖化への配慮</t>
    </r>
    <rPh sb="4" eb="6">
      <t>チキュウ</t>
    </rPh>
    <rPh sb="6" eb="9">
      <t>オンダンカ</t>
    </rPh>
    <rPh sb="11" eb="13">
      <t>ハイリョ</t>
    </rPh>
    <phoneticPr fontId="3"/>
  </si>
  <si>
    <t>-</t>
  </si>
  <si>
    <t>街区の開発、運用、解体等の各段階における温室効果ガス排出量を推計、
把握した上でさらにカーボンニュートラル達成に向けた具体的な道筋を計画、公開している</t>
    <phoneticPr fontId="3"/>
  </si>
  <si>
    <t>排出量推計の範囲</t>
    <rPh sb="0" eb="3">
      <t>ハイシュツリョウ</t>
    </rPh>
    <rPh sb="3" eb="5">
      <t>スイケイ</t>
    </rPh>
    <rPh sb="6" eb="8">
      <t>ハンイ</t>
    </rPh>
    <phoneticPr fontId="3"/>
  </si>
  <si>
    <r>
      <t xml:space="preserve">Q-1 </t>
    </r>
    <r>
      <rPr>
        <b/>
        <sz val="14"/>
        <color indexed="8"/>
        <rFont val="ＭＳ Ｐゴシック"/>
        <family val="3"/>
        <charset val="128"/>
      </rPr>
      <t>環境</t>
    </r>
    <phoneticPr fontId="3"/>
  </si>
  <si>
    <r>
      <t xml:space="preserve">Q-2 </t>
    </r>
    <r>
      <rPr>
        <b/>
        <sz val="14"/>
        <color indexed="8"/>
        <rFont val="ＭＳ Ｐゴシック"/>
        <family val="3"/>
        <charset val="128"/>
      </rPr>
      <t>社会</t>
    </r>
    <rPh sb="4" eb="6">
      <t>シャカイ</t>
    </rPh>
    <phoneticPr fontId="3"/>
  </si>
  <si>
    <r>
      <t xml:space="preserve">Q-3 </t>
    </r>
    <r>
      <rPr>
        <b/>
        <sz val="14"/>
        <color indexed="8"/>
        <rFont val="ＭＳ Ｐゴシック"/>
        <family val="3"/>
        <charset val="128"/>
      </rPr>
      <t>経済</t>
    </r>
    <rPh sb="4" eb="6">
      <t>ケイザイ</t>
    </rPh>
    <phoneticPr fontId="3"/>
  </si>
  <si>
    <r>
      <t xml:space="preserve">LR-1 </t>
    </r>
    <r>
      <rPr>
        <b/>
        <sz val="14"/>
        <color indexed="8"/>
        <rFont val="ＭＳ Ｐゴシック"/>
        <family val="3"/>
        <charset val="128"/>
      </rPr>
      <t>エネルギー</t>
    </r>
    <phoneticPr fontId="3"/>
  </si>
  <si>
    <t>M マネジメント性能</t>
    <rPh sb="8" eb="10">
      <t>セイノウ</t>
    </rPh>
    <phoneticPr fontId="3"/>
  </si>
  <si>
    <t>S スマート性能</t>
    <rPh sb="6" eb="8">
      <t>セイノウ</t>
    </rPh>
    <phoneticPr fontId="3"/>
  </si>
  <si>
    <r>
      <t>LR</t>
    </r>
    <r>
      <rPr>
        <b/>
        <vertAlign val="subscript"/>
        <sz val="12"/>
        <color rgb="FFFFFFFF"/>
        <rFont val="ＭＳ Ｐゴシック"/>
        <family val="3"/>
        <charset val="128"/>
      </rPr>
      <t>UD</t>
    </r>
    <r>
      <rPr>
        <b/>
        <sz val="12"/>
        <color indexed="9"/>
        <rFont val="ＭＳ Ｐゴシック"/>
        <family val="3"/>
        <charset val="128"/>
      </rPr>
      <t xml:space="preserve"> 街区における環境負荷低減性</t>
    </r>
    <rPh sb="5" eb="7">
      <t>ガイク</t>
    </rPh>
    <rPh sb="11" eb="13">
      <t>カンキョウ</t>
    </rPh>
    <rPh sb="13" eb="15">
      <t>フカ</t>
    </rPh>
    <rPh sb="15" eb="18">
      <t>テイゲンセイ</t>
    </rPh>
    <phoneticPr fontId="3"/>
  </si>
  <si>
    <r>
      <t>Q</t>
    </r>
    <r>
      <rPr>
        <b/>
        <vertAlign val="subscript"/>
        <sz val="12"/>
        <color rgb="FFFFFFFF"/>
        <rFont val="ＭＳ Ｐゴシック"/>
        <family val="3"/>
        <charset val="128"/>
      </rPr>
      <t>UD</t>
    </r>
    <r>
      <rPr>
        <b/>
        <sz val="12"/>
        <color indexed="9"/>
        <rFont val="ＭＳ Ｐゴシック"/>
        <family val="3"/>
        <charset val="128"/>
      </rPr>
      <t xml:space="preserve"> 街区に関わる環境品質</t>
    </r>
    <rPh sb="4" eb="6">
      <t>ガイク</t>
    </rPh>
    <rPh sb="7" eb="8">
      <t>カカ</t>
    </rPh>
    <phoneticPr fontId="3"/>
  </si>
  <si>
    <t>汲み上げをしていない</t>
    <phoneticPr fontId="3"/>
  </si>
  <si>
    <r>
      <t>Q</t>
    </r>
    <r>
      <rPr>
        <b/>
        <i/>
        <sz val="14"/>
        <color indexed="9"/>
        <rFont val="ＭＳ Ｐゴシック"/>
        <family val="3"/>
        <charset val="128"/>
      </rPr>
      <t>のスコア</t>
    </r>
    <r>
      <rPr>
        <b/>
        <i/>
        <sz val="14"/>
        <color indexed="9"/>
        <rFont val="Arial"/>
        <family val="2"/>
      </rPr>
      <t>=</t>
    </r>
    <phoneticPr fontId="3"/>
  </si>
  <si>
    <r>
      <t>LR</t>
    </r>
    <r>
      <rPr>
        <b/>
        <i/>
        <sz val="14"/>
        <color indexed="9"/>
        <rFont val="ＭＳ Ｐゴシック"/>
        <family val="3"/>
        <charset val="128"/>
      </rPr>
      <t>のスコア</t>
    </r>
    <r>
      <rPr>
        <b/>
        <i/>
        <sz val="14"/>
        <color indexed="9"/>
        <rFont val="Arial"/>
        <family val="2"/>
      </rPr>
      <t>=</t>
    </r>
    <phoneticPr fontId="3"/>
  </si>
  <si>
    <r>
      <t xml:space="preserve">Q </t>
    </r>
    <r>
      <rPr>
        <b/>
        <sz val="11"/>
        <color indexed="26"/>
        <rFont val="ＭＳ Ｐゴシック"/>
        <family val="3"/>
        <charset val="128"/>
      </rPr>
      <t>環境品質</t>
    </r>
    <rPh sb="2" eb="4">
      <t>カンキョウ</t>
    </rPh>
    <rPh sb="4" eb="6">
      <t>ヒンシツ</t>
    </rPh>
    <phoneticPr fontId="3"/>
  </si>
  <si>
    <r>
      <t xml:space="preserve">LR </t>
    </r>
    <r>
      <rPr>
        <b/>
        <sz val="11"/>
        <color indexed="42"/>
        <rFont val="ＭＳ Ｐゴシック"/>
        <family val="3"/>
        <charset val="128"/>
      </rPr>
      <t>環境負荷低減性</t>
    </r>
    <rPh sb="3" eb="5">
      <t>カンキョウ</t>
    </rPh>
    <phoneticPr fontId="3"/>
  </si>
  <si>
    <t>5)平19.都土木技術センター年報 C.E.C., TMG 2007, 3．野川流域の長期流出特性の解析, ISSN 1882-2657, 技術調査課 高崎忠勝</t>
    <phoneticPr fontId="3"/>
  </si>
  <si>
    <t>4)給排水衛生設備学　中級編水まわりの実務／紀谷文樹　TOTO出版　P60表-3備考欄「湯沸し」より</t>
    <rPh sb="2" eb="3">
      <t>キュウ</t>
    </rPh>
    <rPh sb="5" eb="7">
      <t>エイセイ</t>
    </rPh>
    <rPh sb="7" eb="9">
      <t>セツビ</t>
    </rPh>
    <rPh sb="9" eb="10">
      <t>ガク</t>
    </rPh>
    <rPh sb="11" eb="13">
      <t>チュウキュウ</t>
    </rPh>
    <rPh sb="13" eb="14">
      <t>ヘン</t>
    </rPh>
    <rPh sb="14" eb="15">
      <t>ミズ</t>
    </rPh>
    <rPh sb="19" eb="21">
      <t>ジツム</t>
    </rPh>
    <rPh sb="22" eb="24">
      <t>キヤ</t>
    </rPh>
    <rPh sb="24" eb="26">
      <t>フミキ</t>
    </rPh>
    <rPh sb="31" eb="33">
      <t>シュッパン</t>
    </rPh>
    <rPh sb="37" eb="38">
      <t>ヒョウ</t>
    </rPh>
    <rPh sb="40" eb="42">
      <t>ビコウ</t>
    </rPh>
    <rPh sb="42" eb="43">
      <t>ラン</t>
    </rPh>
    <rPh sb="44" eb="46">
      <t>ユワカシ</t>
    </rPh>
    <phoneticPr fontId="3"/>
  </si>
  <si>
    <t>3)同上　P35 表2.3.1　社員食堂の下限値を採用　</t>
    <rPh sb="2" eb="4">
      <t>ドウジョウ</t>
    </rPh>
    <rPh sb="16" eb="18">
      <t>シャイン</t>
    </rPh>
    <rPh sb="18" eb="20">
      <t>ショクドウ</t>
    </rPh>
    <rPh sb="21" eb="23">
      <t>カゲン</t>
    </rPh>
    <rPh sb="23" eb="24">
      <t>チ</t>
    </rPh>
    <rPh sb="25" eb="27">
      <t>サイヨウ</t>
    </rPh>
    <phoneticPr fontId="3"/>
  </si>
  <si>
    <t>2)同上　P60 表3.4.26</t>
    <rPh sb="2" eb="4">
      <t>ドウジョウ</t>
    </rPh>
    <rPh sb="9" eb="10">
      <t>ヒョウ</t>
    </rPh>
    <phoneticPr fontId="3"/>
  </si>
  <si>
    <t>「水使用行為を基にした使用水量計算法（新しい設計給水量原単位の提案）」シンポジウム資料　P48、表3.3.2</t>
    <rPh sb="41" eb="43">
      <t>シリョウ</t>
    </rPh>
    <rPh sb="48" eb="49">
      <t>ヒョウ</t>
    </rPh>
    <phoneticPr fontId="3"/>
  </si>
  <si>
    <t>1)（社）空気調和・衛生工学会　給排水衛生設備委員会／設計データ見直し小委員会</t>
    <rPh sb="3" eb="4">
      <t>シャ</t>
    </rPh>
    <rPh sb="5" eb="7">
      <t>クウキ</t>
    </rPh>
    <rPh sb="7" eb="9">
      <t>チョウワ</t>
    </rPh>
    <rPh sb="10" eb="12">
      <t>エイセイ</t>
    </rPh>
    <rPh sb="12" eb="14">
      <t>コウガク</t>
    </rPh>
    <rPh sb="14" eb="15">
      <t>カイ</t>
    </rPh>
    <rPh sb="16" eb="19">
      <t>キュウハイスイ</t>
    </rPh>
    <rPh sb="19" eb="21">
      <t>エイセイ</t>
    </rPh>
    <rPh sb="21" eb="23">
      <t>セツビ</t>
    </rPh>
    <rPh sb="23" eb="26">
      <t>イインカイ</t>
    </rPh>
    <rPh sb="27" eb="29">
      <t>セッケイ</t>
    </rPh>
    <rPh sb="32" eb="34">
      <t>ミナオ</t>
    </rPh>
    <rPh sb="35" eb="36">
      <t>ショウ</t>
    </rPh>
    <rPh sb="36" eb="39">
      <t>イインカイ</t>
    </rPh>
    <phoneticPr fontId="3"/>
  </si>
  <si>
    <t>出典）</t>
    <rPh sb="0" eb="2">
      <t>シュッテン</t>
    </rPh>
    <phoneticPr fontId="3"/>
  </si>
  <si>
    <t>L/㎡・年）</t>
    <rPh sb="4" eb="5">
      <t>ネン</t>
    </rPh>
    <phoneticPr fontId="3"/>
  </si>
  <si>
    <t>(</t>
    <phoneticPr fontId="3"/>
  </si>
  <si>
    <t>L/年</t>
    <rPh sb="2" eb="3">
      <t>ネン</t>
    </rPh>
    <phoneticPr fontId="3"/>
  </si>
  <si>
    <t>⑥：②-⑤</t>
    <phoneticPr fontId="3"/>
  </si>
  <si>
    <t>雑用水（上水補給分）</t>
    <rPh sb="0" eb="3">
      <t>ザツヨウスイ</t>
    </rPh>
    <rPh sb="4" eb="6">
      <t>ジョウスイ</t>
    </rPh>
    <rPh sb="6" eb="8">
      <t>ホキュウ</t>
    </rPh>
    <rPh sb="8" eb="9">
      <t>ブン</t>
    </rPh>
    <phoneticPr fontId="3"/>
  </si>
  <si>
    <t>上水</t>
    <rPh sb="0" eb="2">
      <t>ジョウスイ</t>
    </rPh>
    <phoneticPr fontId="3"/>
  </si>
  <si>
    <t>⑤：④&lt;②が条件</t>
    <rPh sb="6" eb="8">
      <t>ジョウケン</t>
    </rPh>
    <phoneticPr fontId="3"/>
  </si>
  <si>
    <t>上限チェック</t>
    <rPh sb="0" eb="2">
      <t>ジョウゲン</t>
    </rPh>
    <phoneticPr fontId="3"/>
  </si>
  <si>
    <t>(水使用量の合計値に対する割合）</t>
    <rPh sb="1" eb="2">
      <t>ミズ</t>
    </rPh>
    <rPh sb="2" eb="5">
      <t>シヨウリョウ</t>
    </rPh>
    <rPh sb="6" eb="8">
      <t>ゴウケイ</t>
    </rPh>
    <rPh sb="8" eb="9">
      <t>チ</t>
    </rPh>
    <rPh sb="10" eb="11">
      <t>タイ</t>
    </rPh>
    <rPh sb="13" eb="15">
      <t>ワリアイ</t>
    </rPh>
    <phoneticPr fontId="3"/>
  </si>
  <si>
    <t>④=③×%</t>
    <phoneticPr fontId="3"/>
  </si>
  <si>
    <t>再利用量</t>
    <rPh sb="0" eb="3">
      <t>サイリヨウ</t>
    </rPh>
    <rPh sb="3" eb="4">
      <t>リョウ</t>
    </rPh>
    <phoneticPr fontId="3"/>
  </si>
  <si>
    <t>雨水・排水再利用による上水代替率もしくは再利用率</t>
    <rPh sb="13" eb="15">
      <t>ダイタイ</t>
    </rPh>
    <rPh sb="15" eb="16">
      <t>リツ</t>
    </rPh>
    <rPh sb="20" eb="23">
      <t>サイリヨウ</t>
    </rPh>
    <rPh sb="23" eb="24">
      <t>リツ</t>
    </rPh>
    <phoneticPr fontId="3"/>
  </si>
  <si>
    <t>雨水・排水再利用による上水使用量削減</t>
    <rPh sb="13" eb="15">
      <t>シヨウ</t>
    </rPh>
    <phoneticPr fontId="3"/>
  </si>
  <si>
    <t>6)</t>
    <phoneticPr fontId="3"/>
  </si>
  <si>
    <t>L/人・日</t>
    <rPh sb="2" eb="3">
      <t>ヒト</t>
    </rPh>
    <rPh sb="4" eb="5">
      <t>ヒ</t>
    </rPh>
    <phoneticPr fontId="3"/>
  </si>
  <si>
    <t>③=①+②</t>
    <phoneticPr fontId="3"/>
  </si>
  <si>
    <t>5)水使用量集計</t>
    <rPh sb="2" eb="3">
      <t>ミズ</t>
    </rPh>
    <rPh sb="3" eb="5">
      <t>シヨウ</t>
    </rPh>
    <rPh sb="5" eb="6">
      <t>リョウ</t>
    </rPh>
    <rPh sb="6" eb="8">
      <t>シュウケイ</t>
    </rPh>
    <phoneticPr fontId="3"/>
  </si>
  <si>
    <t>日/年＝</t>
    <rPh sb="0" eb="1">
      <t>ヒ</t>
    </rPh>
    <rPh sb="2" eb="3">
      <t>ネン</t>
    </rPh>
    <phoneticPr fontId="3"/>
  </si>
  <si>
    <t>L/日</t>
    <rPh sb="2" eb="3">
      <t>ヒ</t>
    </rPh>
    <phoneticPr fontId="3"/>
  </si>
  <si>
    <t>食＝</t>
    <rPh sb="0" eb="1">
      <t>ショク</t>
    </rPh>
    <phoneticPr fontId="3"/>
  </si>
  <si>
    <t>L/食・日×</t>
    <rPh sb="2" eb="3">
      <t>ショク</t>
    </rPh>
    <rPh sb="4" eb="5">
      <t>ヒ</t>
    </rPh>
    <phoneticPr fontId="3"/>
  </si>
  <si>
    <t>稼動日数</t>
    <rPh sb="0" eb="2">
      <t>カドウ</t>
    </rPh>
    <rPh sb="2" eb="4">
      <t>ニッスウ</t>
    </rPh>
    <phoneticPr fontId="3"/>
  </si>
  <si>
    <t>食数</t>
    <rPh sb="0" eb="1">
      <t>ショク</t>
    </rPh>
    <rPh sb="1" eb="2">
      <t>スウ</t>
    </rPh>
    <phoneticPr fontId="3"/>
  </si>
  <si>
    <t>1食あたりの水量*3)</t>
    <rPh sb="1" eb="2">
      <t>ショク</t>
    </rPh>
    <rPh sb="6" eb="8">
      <t>スイリョウ</t>
    </rPh>
    <phoneticPr fontId="3"/>
  </si>
  <si>
    <t>③食堂</t>
    <rPh sb="1" eb="3">
      <t>ショクドウ</t>
    </rPh>
    <phoneticPr fontId="3"/>
  </si>
  <si>
    <t>小計</t>
    <rPh sb="0" eb="1">
      <t>ショウ</t>
    </rPh>
    <rPh sb="1" eb="2">
      <t>ケイ</t>
    </rPh>
    <phoneticPr fontId="3"/>
  </si>
  <si>
    <t>L/日×</t>
    <rPh sb="2" eb="3">
      <t>ヒ</t>
    </rPh>
    <phoneticPr fontId="3"/>
  </si>
  <si>
    <t>小計</t>
    <rPh sb="0" eb="2">
      <t>ショウケイ</t>
    </rPh>
    <phoneticPr fontId="3"/>
  </si>
  <si>
    <t>回/日＝</t>
    <rPh sb="0" eb="1">
      <t>カイ</t>
    </rPh>
    <rPh sb="2" eb="3">
      <t>ヒ</t>
    </rPh>
    <phoneticPr fontId="3"/>
  </si>
  <si>
    <t>L/回×</t>
    <rPh sb="2" eb="3">
      <t>カイ</t>
    </rPh>
    <phoneticPr fontId="3"/>
  </si>
  <si>
    <t>個×</t>
    <rPh sb="0" eb="1">
      <t>コ</t>
    </rPh>
    <phoneticPr fontId="3"/>
  </si>
  <si>
    <t>洗面器</t>
    <rPh sb="0" eb="3">
      <t>センメンキ</t>
    </rPh>
    <phoneticPr fontId="3"/>
  </si>
  <si>
    <t>雑用水</t>
    <rPh sb="0" eb="3">
      <t>ザツヨウスイ</t>
    </rPh>
    <phoneticPr fontId="3"/>
  </si>
  <si>
    <t>小便器</t>
    <rPh sb="0" eb="3">
      <t>ショウベンキ</t>
    </rPh>
    <phoneticPr fontId="3"/>
  </si>
  <si>
    <t>大便器</t>
    <rPh sb="0" eb="3">
      <t>ダイベンキ</t>
    </rPh>
    <phoneticPr fontId="3"/>
  </si>
  <si>
    <t>洗浄時の回数</t>
    <rPh sb="0" eb="2">
      <t>センジョウ</t>
    </rPh>
    <rPh sb="2" eb="3">
      <t>ジ</t>
    </rPh>
    <rPh sb="4" eb="6">
      <t>カイスウ</t>
    </rPh>
    <phoneticPr fontId="3"/>
  </si>
  <si>
    <t>衛生器具吐水量</t>
    <rPh sb="0" eb="2">
      <t>エイセイ</t>
    </rPh>
    <rPh sb="2" eb="4">
      <t>キグ</t>
    </rPh>
    <rPh sb="4" eb="5">
      <t>ハ</t>
    </rPh>
    <rPh sb="5" eb="7">
      <t>スイリョウ</t>
    </rPh>
    <phoneticPr fontId="3"/>
  </si>
  <si>
    <t>器具数</t>
    <rPh sb="0" eb="2">
      <t>キグ</t>
    </rPh>
    <rPh sb="2" eb="3">
      <t>スウ</t>
    </rPh>
    <phoneticPr fontId="3"/>
  </si>
  <si>
    <t>個</t>
    <rPh sb="0" eb="1">
      <t>コ</t>
    </rPh>
    <phoneticPr fontId="3"/>
  </si>
  <si>
    <t>個/㎡＝</t>
    <rPh sb="0" eb="1">
      <t>コ</t>
    </rPh>
    <phoneticPr fontId="3"/>
  </si>
  <si>
    <t>㎡×</t>
    <phoneticPr fontId="3"/>
  </si>
  <si>
    <t>衛生器具数原単位*2)</t>
    <rPh sb="0" eb="2">
      <t>エイセイ</t>
    </rPh>
    <rPh sb="2" eb="4">
      <t>キグ</t>
    </rPh>
    <rPh sb="4" eb="5">
      <t>スウ</t>
    </rPh>
    <rPh sb="5" eb="8">
      <t>ゲンタンイ</t>
    </rPh>
    <phoneticPr fontId="3"/>
  </si>
  <si>
    <t>延床面積</t>
    <rPh sb="0" eb="2">
      <t>ノベユカ</t>
    </rPh>
    <rPh sb="2" eb="4">
      <t>メンセキ</t>
    </rPh>
    <phoneticPr fontId="3"/>
  </si>
  <si>
    <t>②器具清掃用</t>
    <rPh sb="1" eb="3">
      <t>キグ</t>
    </rPh>
    <rPh sb="3" eb="5">
      <t>セイソウ</t>
    </rPh>
    <rPh sb="5" eb="6">
      <t>ヨウ</t>
    </rPh>
    <phoneticPr fontId="3"/>
  </si>
  <si>
    <t>L/人・日）</t>
    <rPh sb="2" eb="3">
      <t>ニン</t>
    </rPh>
    <rPh sb="4" eb="5">
      <t>ヒ</t>
    </rPh>
    <phoneticPr fontId="3"/>
  </si>
  <si>
    <t>※洗面の使用回数は男子は大+小、女子は大と同じ</t>
    <rPh sb="1" eb="3">
      <t>センメン</t>
    </rPh>
    <rPh sb="4" eb="6">
      <t>シヨウ</t>
    </rPh>
    <rPh sb="6" eb="8">
      <t>カイスウ</t>
    </rPh>
    <rPh sb="9" eb="11">
      <t>ダンシ</t>
    </rPh>
    <rPh sb="12" eb="13">
      <t>ダイ</t>
    </rPh>
    <rPh sb="14" eb="15">
      <t>ショウ</t>
    </rPh>
    <rPh sb="16" eb="18">
      <t>ジョシ</t>
    </rPh>
    <rPh sb="19" eb="20">
      <t>ダイ</t>
    </rPh>
    <rPh sb="21" eb="22">
      <t>オナ</t>
    </rPh>
    <phoneticPr fontId="3"/>
  </si>
  <si>
    <t>L/日（飲用・茶器洗いなど）</t>
    <rPh sb="2" eb="3">
      <t>ヒ</t>
    </rPh>
    <rPh sb="4" eb="6">
      <t>インヨウ</t>
    </rPh>
    <rPh sb="7" eb="9">
      <t>チャキ</t>
    </rPh>
    <rPh sb="9" eb="10">
      <t>アラ</t>
    </rPh>
    <phoneticPr fontId="3"/>
  </si>
  <si>
    <t>人＝</t>
    <rPh sb="0" eb="1">
      <t>ヒト</t>
    </rPh>
    <phoneticPr fontId="3"/>
  </si>
  <si>
    <t>回/日×</t>
    <rPh sb="0" eb="1">
      <t>カイ</t>
    </rPh>
    <rPh sb="2" eb="3">
      <t>ヒ</t>
    </rPh>
    <phoneticPr fontId="3"/>
  </si>
  <si>
    <t>湯沸し*4)</t>
    <rPh sb="0" eb="2">
      <t>ユワカシ</t>
    </rPh>
    <phoneticPr fontId="3"/>
  </si>
  <si>
    <t>女子洗面器</t>
    <rPh sb="0" eb="2">
      <t>ジョシ</t>
    </rPh>
    <rPh sb="2" eb="5">
      <t>センメンキ</t>
    </rPh>
    <phoneticPr fontId="3"/>
  </si>
  <si>
    <t>女子大便器</t>
    <rPh sb="0" eb="2">
      <t>ジョシ</t>
    </rPh>
    <rPh sb="2" eb="5">
      <t>ダイベンキ</t>
    </rPh>
    <phoneticPr fontId="3"/>
  </si>
  <si>
    <t>男子洗面器</t>
    <rPh sb="0" eb="2">
      <t>ダンシ</t>
    </rPh>
    <rPh sb="2" eb="5">
      <t>センメンキ</t>
    </rPh>
    <phoneticPr fontId="3"/>
  </si>
  <si>
    <t>男子小便器</t>
    <rPh sb="0" eb="2">
      <t>ダンシ</t>
    </rPh>
    <rPh sb="2" eb="5">
      <t>ショウベンキ</t>
    </rPh>
    <phoneticPr fontId="3"/>
  </si>
  <si>
    <t>男子大便器</t>
    <rPh sb="0" eb="2">
      <t>ダンシ</t>
    </rPh>
    <rPh sb="2" eb="5">
      <t>ダイベンキ</t>
    </rPh>
    <phoneticPr fontId="3"/>
  </si>
  <si>
    <t>使用人員</t>
    <rPh sb="0" eb="2">
      <t>シヨウ</t>
    </rPh>
    <rPh sb="2" eb="4">
      <t>ジンイン</t>
    </rPh>
    <phoneticPr fontId="3"/>
  </si>
  <si>
    <t>器具使用回数*1)</t>
    <rPh sb="0" eb="2">
      <t>キグ</t>
    </rPh>
    <rPh sb="2" eb="4">
      <t>シヨウ</t>
    </rPh>
    <rPh sb="4" eb="6">
      <t>カイスウ</t>
    </rPh>
    <phoneticPr fontId="3"/>
  </si>
  <si>
    <t>①便所・洗面・湯沸かし</t>
    <rPh sb="1" eb="3">
      <t>ベンジョ</t>
    </rPh>
    <rPh sb="4" eb="6">
      <t>センメン</t>
    </rPh>
    <rPh sb="7" eb="9">
      <t>ユワ</t>
    </rPh>
    <phoneticPr fontId="3"/>
  </si>
  <si>
    <t>水使用量の算定</t>
    <rPh sb="0" eb="1">
      <t>ミズ</t>
    </rPh>
    <rPh sb="1" eb="3">
      <t>シヨウ</t>
    </rPh>
    <rPh sb="3" eb="4">
      <t>リョウ</t>
    </rPh>
    <rPh sb="5" eb="7">
      <t>サンテイ</t>
    </rPh>
    <phoneticPr fontId="3"/>
  </si>
  <si>
    <t>4)</t>
    <phoneticPr fontId="3"/>
  </si>
  <si>
    <t>女子</t>
    <rPh sb="0" eb="2">
      <t>ジョシ</t>
    </rPh>
    <phoneticPr fontId="3"/>
  </si>
  <si>
    <t>男子</t>
    <rPh sb="0" eb="2">
      <t>ダンシ</t>
    </rPh>
    <phoneticPr fontId="3"/>
  </si>
  <si>
    <t>男女比</t>
    <rPh sb="0" eb="2">
      <t>ダンジョ</t>
    </rPh>
    <rPh sb="2" eb="3">
      <t>ヒ</t>
    </rPh>
    <phoneticPr fontId="3"/>
  </si>
  <si>
    <t>3)</t>
    <phoneticPr fontId="3"/>
  </si>
  <si>
    <t>2)</t>
    <phoneticPr fontId="3"/>
  </si>
  <si>
    <t>収容人員</t>
    <rPh sb="0" eb="2">
      <t>シュウヨウ</t>
    </rPh>
    <rPh sb="2" eb="4">
      <t>ジンイン</t>
    </rPh>
    <phoneticPr fontId="3"/>
  </si>
  <si>
    <t>1)</t>
    <phoneticPr fontId="3"/>
  </si>
  <si>
    <t>：計算値</t>
    <rPh sb="1" eb="4">
      <t>ケイサンチ</t>
    </rPh>
    <phoneticPr fontId="3"/>
  </si>
  <si>
    <t>デフォルトで入力されている数値はサンプルです。入力の際には一度全て消去してから使用してください。</t>
    <rPh sb="6" eb="8">
      <t>ニュウリョク</t>
    </rPh>
    <rPh sb="13" eb="15">
      <t>スウチ</t>
    </rPh>
    <rPh sb="23" eb="25">
      <t>ニュウリョク</t>
    </rPh>
    <rPh sb="26" eb="27">
      <t>サイ</t>
    </rPh>
    <rPh sb="29" eb="31">
      <t>イチド</t>
    </rPh>
    <rPh sb="31" eb="32">
      <t>スベ</t>
    </rPh>
    <rPh sb="33" eb="35">
      <t>ショウキョ</t>
    </rPh>
    <rPh sb="39" eb="41">
      <t>シヨウ</t>
    </rPh>
    <phoneticPr fontId="3"/>
  </si>
  <si>
    <t>：文献等による規定値</t>
    <rPh sb="1" eb="3">
      <t>ブンケン</t>
    </rPh>
    <rPh sb="3" eb="4">
      <t>トウ</t>
    </rPh>
    <rPh sb="7" eb="10">
      <t>キテイチ</t>
    </rPh>
    <phoneticPr fontId="3"/>
  </si>
  <si>
    <t>使用する場合は、赤枠の欄に数値を入力してください。</t>
    <rPh sb="0" eb="2">
      <t>シヨウ</t>
    </rPh>
    <rPh sb="4" eb="6">
      <t>バアイ</t>
    </rPh>
    <rPh sb="8" eb="9">
      <t>アカ</t>
    </rPh>
    <rPh sb="9" eb="10">
      <t>ワク</t>
    </rPh>
    <rPh sb="11" eb="12">
      <t>ラン</t>
    </rPh>
    <rPh sb="13" eb="15">
      <t>スウチ</t>
    </rPh>
    <rPh sb="16" eb="18">
      <t>ニュウリョク</t>
    </rPh>
    <phoneticPr fontId="3"/>
  </si>
  <si>
    <t>：入力項目</t>
    <rPh sb="1" eb="3">
      <t>ニュウリョク</t>
    </rPh>
    <rPh sb="3" eb="5">
      <t>コウモク</t>
    </rPh>
    <phoneticPr fontId="3"/>
  </si>
  <si>
    <t>（ご注意）</t>
    <rPh sb="2" eb="4">
      <t>チュウイ</t>
    </rPh>
    <phoneticPr fontId="3"/>
  </si>
  <si>
    <t>※空調用冷却塔補給水、植栽散水は計算から除外する</t>
    <rPh sb="1" eb="4">
      <t>クウチョウヨウ</t>
    </rPh>
    <rPh sb="4" eb="7">
      <t>レイキャクトウ</t>
    </rPh>
    <rPh sb="7" eb="9">
      <t>ホキュウ</t>
    </rPh>
    <rPh sb="9" eb="10">
      <t>スイ</t>
    </rPh>
    <rPh sb="11" eb="13">
      <t>ショクサイ</t>
    </rPh>
    <rPh sb="13" eb="15">
      <t>サンスイ</t>
    </rPh>
    <rPh sb="16" eb="18">
      <t>ケイサン</t>
    </rPh>
    <rPh sb="20" eb="22">
      <t>ジョガイ</t>
    </rPh>
    <phoneticPr fontId="3"/>
  </si>
  <si>
    <t>事務所ビルの水使用量算定</t>
    <rPh sb="0" eb="2">
      <t>ジム</t>
    </rPh>
    <rPh sb="2" eb="3">
      <t>ショ</t>
    </rPh>
    <rPh sb="6" eb="7">
      <t>ミズ</t>
    </rPh>
    <rPh sb="7" eb="9">
      <t>シヨウ</t>
    </rPh>
    <rPh sb="9" eb="10">
      <t>リョウ</t>
    </rPh>
    <rPh sb="10" eb="12">
      <t>サンテイ</t>
    </rPh>
    <phoneticPr fontId="3"/>
  </si>
  <si>
    <t>3)同上　P25 表2.2.9-9～14　各飲食用途の平均値を採用　</t>
    <rPh sb="2" eb="4">
      <t>ドウジョウ</t>
    </rPh>
    <rPh sb="21" eb="22">
      <t>カク</t>
    </rPh>
    <rPh sb="22" eb="24">
      <t>インショク</t>
    </rPh>
    <rPh sb="24" eb="26">
      <t>ヨウト</t>
    </rPh>
    <rPh sb="27" eb="29">
      <t>ヘイキン</t>
    </rPh>
    <rPh sb="29" eb="30">
      <t>チ</t>
    </rPh>
    <rPh sb="31" eb="33">
      <t>サイヨウ</t>
    </rPh>
    <phoneticPr fontId="3"/>
  </si>
  <si>
    <t>2)同上　P60 表3.4.26　「百貨店」の値を参照</t>
    <rPh sb="2" eb="4">
      <t>ドウジョウ</t>
    </rPh>
    <rPh sb="9" eb="10">
      <t>ヒョウ</t>
    </rPh>
    <rPh sb="18" eb="21">
      <t>ヒャッカテン</t>
    </rPh>
    <rPh sb="23" eb="24">
      <t>アタイ</t>
    </rPh>
    <rPh sb="25" eb="27">
      <t>サンショウ</t>
    </rPh>
    <phoneticPr fontId="3"/>
  </si>
  <si>
    <t>「水使用行為を基にした使用水量計算法（新しい設計給水量原単位の提案）」シンポジウム資料　P48、表3.3.2　「職場」（回/h）</t>
    <rPh sb="41" eb="43">
      <t>シリョウ</t>
    </rPh>
    <rPh sb="48" eb="49">
      <t>ヒョウ</t>
    </rPh>
    <rPh sb="56" eb="58">
      <t>ショクバ</t>
    </rPh>
    <rPh sb="60" eb="61">
      <t>カイ</t>
    </rPh>
    <phoneticPr fontId="3"/>
  </si>
  <si>
    <t>合計(上水)￥</t>
    <rPh sb="0" eb="2">
      <t>ゴウケイ</t>
    </rPh>
    <rPh sb="3" eb="5">
      <t>ジョウスイ</t>
    </rPh>
    <phoneticPr fontId="3"/>
  </si>
  <si>
    <t>7)</t>
    <phoneticPr fontId="3"/>
  </si>
  <si>
    <t>①+②+③+④</t>
    <phoneticPr fontId="3"/>
  </si>
  <si>
    <t>合計(全体)</t>
    <rPh sb="0" eb="2">
      <t>ゴウケイ</t>
    </rPh>
    <rPh sb="3" eb="5">
      <t>ゼンタイ</t>
    </rPh>
    <phoneticPr fontId="3"/>
  </si>
  <si>
    <t>検算</t>
    <rPh sb="0" eb="2">
      <t>ケンザン</t>
    </rPh>
    <phoneticPr fontId="3"/>
  </si>
  <si>
    <t>6)水使用量集計</t>
    <rPh sb="2" eb="3">
      <t>ミズ</t>
    </rPh>
    <rPh sb="3" eb="5">
      <t>シヨウ</t>
    </rPh>
    <rPh sb="5" eb="6">
      <t>リョウ</t>
    </rPh>
    <rPh sb="6" eb="8">
      <t>シュウケイ</t>
    </rPh>
    <phoneticPr fontId="3"/>
  </si>
  <si>
    <t>※客数が不明な場合には、客席数×回転数の計画値を入力しても良い。</t>
    <rPh sb="1" eb="3">
      <t>キャクスウ</t>
    </rPh>
    <rPh sb="4" eb="6">
      <t>フメイ</t>
    </rPh>
    <rPh sb="7" eb="9">
      <t>バアイ</t>
    </rPh>
    <rPh sb="12" eb="15">
      <t>キャクセキスウ</t>
    </rPh>
    <rPh sb="16" eb="18">
      <t>カイテン</t>
    </rPh>
    <rPh sb="18" eb="19">
      <t>スウ</t>
    </rPh>
    <rPh sb="20" eb="22">
      <t>ケイカク</t>
    </rPh>
    <rPh sb="22" eb="23">
      <t>アタイ</t>
    </rPh>
    <rPh sb="24" eb="26">
      <t>ニュウリョク</t>
    </rPh>
    <rPh sb="29" eb="30">
      <t>ヨ</t>
    </rPh>
    <phoneticPr fontId="3"/>
  </si>
  <si>
    <t>L/客数・日</t>
    <rPh sb="2" eb="4">
      <t>キャクスウ</t>
    </rPh>
    <rPh sb="5" eb="6">
      <t>ヒ</t>
    </rPh>
    <phoneticPr fontId="3"/>
  </si>
  <si>
    <t>L/人・日×</t>
    <rPh sb="2" eb="3">
      <t>ヒト</t>
    </rPh>
    <rPh sb="4" eb="5">
      <t>ヒ</t>
    </rPh>
    <phoneticPr fontId="3"/>
  </si>
  <si>
    <t>洋食</t>
    <rPh sb="0" eb="2">
      <t>ヨウショク</t>
    </rPh>
    <phoneticPr fontId="3"/>
  </si>
  <si>
    <t>和食</t>
    <rPh sb="0" eb="2">
      <t>ワショク</t>
    </rPh>
    <phoneticPr fontId="3"/>
  </si>
  <si>
    <t>中華・麺類・焼肉</t>
    <rPh sb="0" eb="2">
      <t>チュウカ</t>
    </rPh>
    <rPh sb="3" eb="5">
      <t>メンルイ</t>
    </rPh>
    <rPh sb="6" eb="8">
      <t>ヤキニク</t>
    </rPh>
    <phoneticPr fontId="3"/>
  </si>
  <si>
    <t>喫茶・軽食</t>
    <rPh sb="0" eb="2">
      <t>キッサ</t>
    </rPh>
    <rPh sb="3" eb="5">
      <t>ケイショク</t>
    </rPh>
    <phoneticPr fontId="3"/>
  </si>
  <si>
    <t>客数※</t>
    <rPh sb="0" eb="2">
      <t>キャクスウ</t>
    </rPh>
    <phoneticPr fontId="3"/>
  </si>
  <si>
    <t>客1人あたりの水量*3)</t>
    <rPh sb="0" eb="1">
      <t>キャク</t>
    </rPh>
    <rPh sb="2" eb="3">
      <t>ヒト</t>
    </rPh>
    <rPh sb="7" eb="9">
      <t>スイリョウ</t>
    </rPh>
    <phoneticPr fontId="3"/>
  </si>
  <si>
    <t>④飲食店舗</t>
    <rPh sb="1" eb="3">
      <t>インショク</t>
    </rPh>
    <rPh sb="3" eb="5">
      <t>テンポ</t>
    </rPh>
    <phoneticPr fontId="3"/>
  </si>
  <si>
    <t>①+②+③</t>
    <phoneticPr fontId="3"/>
  </si>
  <si>
    <t>③器具清掃用</t>
    <rPh sb="1" eb="3">
      <t>キグ</t>
    </rPh>
    <rPh sb="3" eb="5">
      <t>セイソウ</t>
    </rPh>
    <rPh sb="5" eb="6">
      <t>ヨウ</t>
    </rPh>
    <phoneticPr fontId="3"/>
  </si>
  <si>
    <t>h×</t>
    <phoneticPr fontId="3"/>
  </si>
  <si>
    <t>回/h×</t>
    <rPh sb="0" eb="1">
      <t>カイ</t>
    </rPh>
    <phoneticPr fontId="3"/>
  </si>
  <si>
    <t>滞在時間</t>
    <rPh sb="0" eb="2">
      <t>タイザイ</t>
    </rPh>
    <rPh sb="2" eb="4">
      <t>ジカン</t>
    </rPh>
    <phoneticPr fontId="3"/>
  </si>
  <si>
    <t>②来場者による便所・洗面</t>
    <rPh sb="1" eb="4">
      <t>ライジョウシャ</t>
    </rPh>
    <rPh sb="7" eb="9">
      <t>ベンジョ</t>
    </rPh>
    <rPh sb="10" eb="12">
      <t>センメン</t>
    </rPh>
    <phoneticPr fontId="3"/>
  </si>
  <si>
    <t>①常勤者による便所・洗面・湯沸かし</t>
    <rPh sb="1" eb="4">
      <t>ジョウキンシャ</t>
    </rPh>
    <rPh sb="7" eb="9">
      <t>ベンジョ</t>
    </rPh>
    <rPh sb="10" eb="12">
      <t>センメン</t>
    </rPh>
    <rPh sb="13" eb="15">
      <t>ユワ</t>
    </rPh>
    <phoneticPr fontId="3"/>
  </si>
  <si>
    <t>5)</t>
    <phoneticPr fontId="3"/>
  </si>
  <si>
    <t>(来場者）</t>
    <rPh sb="1" eb="4">
      <t>ライジョウシャ</t>
    </rPh>
    <phoneticPr fontId="3"/>
  </si>
  <si>
    <t>(常勤者）</t>
    <rPh sb="1" eb="4">
      <t>ジョウキンシャ</t>
    </rPh>
    <phoneticPr fontId="3"/>
  </si>
  <si>
    <t>日</t>
    <rPh sb="0" eb="1">
      <t>ヒ</t>
    </rPh>
    <phoneticPr fontId="3"/>
  </si>
  <si>
    <t>営業日数</t>
    <rPh sb="0" eb="2">
      <t>エイギョウ</t>
    </rPh>
    <rPh sb="2" eb="4">
      <t>ニッスウ</t>
    </rPh>
    <phoneticPr fontId="3"/>
  </si>
  <si>
    <t>延床面積(駐車場除く)</t>
    <rPh sb="0" eb="2">
      <t>ノベユカ</t>
    </rPh>
    <rPh sb="2" eb="4">
      <t>メンセキ</t>
    </rPh>
    <rPh sb="5" eb="8">
      <t>チュウシャジョウ</t>
    </rPh>
    <rPh sb="8" eb="9">
      <t>ノゾ</t>
    </rPh>
    <phoneticPr fontId="3"/>
  </si>
  <si>
    <t>来場者</t>
    <rPh sb="0" eb="3">
      <t>ライジョウシャ</t>
    </rPh>
    <phoneticPr fontId="3"/>
  </si>
  <si>
    <t>常勤者</t>
    <rPh sb="0" eb="3">
      <t>ジョウキンシャ</t>
    </rPh>
    <phoneticPr fontId="3"/>
  </si>
  <si>
    <t>店舗の水使用量算定</t>
    <rPh sb="0" eb="2">
      <t>テンポ</t>
    </rPh>
    <rPh sb="3" eb="4">
      <t>ミズ</t>
    </rPh>
    <rPh sb="4" eb="6">
      <t>シヨウ</t>
    </rPh>
    <rPh sb="6" eb="7">
      <t>リョウ</t>
    </rPh>
    <rPh sb="7" eb="9">
      <t>サンテイ</t>
    </rPh>
    <phoneticPr fontId="3"/>
  </si>
  <si>
    <r>
      <t xml:space="preserve">LR-2 </t>
    </r>
    <r>
      <rPr>
        <b/>
        <sz val="14"/>
        <color indexed="8"/>
        <rFont val="ＭＳ Ｐゴシック"/>
        <family val="3"/>
        <charset val="128"/>
      </rPr>
      <t>資源</t>
    </r>
    <rPh sb="5" eb="7">
      <t>シゲン</t>
    </rPh>
    <phoneticPr fontId="3"/>
  </si>
  <si>
    <r>
      <t xml:space="preserve">LR-3 </t>
    </r>
    <r>
      <rPr>
        <b/>
        <sz val="14"/>
        <color indexed="8"/>
        <rFont val="ＭＳ Ｐゴシック"/>
        <family val="3"/>
        <charset val="128"/>
      </rPr>
      <t>周辺環境</t>
    </r>
    <rPh sb="5" eb="7">
      <t>シュウヘン</t>
    </rPh>
    <rPh sb="7" eb="9">
      <t>カンキョウ</t>
    </rPh>
    <phoneticPr fontId="3"/>
  </si>
  <si>
    <r>
      <t>2-5</t>
    </r>
    <r>
      <rPr>
        <b/>
        <sz val="12"/>
        <color rgb="FFFFFFFF"/>
        <rFont val="Yu Gothic"/>
        <family val="3"/>
        <charset val="128"/>
      </rPr>
      <t>　ﾏﾈｼﾞﾒﾝﾄ</t>
    </r>
    <r>
      <rPr>
        <b/>
        <sz val="12"/>
        <color rgb="FFFFFFFF"/>
        <rFont val="ＭＳ ゴシック"/>
        <family val="3"/>
        <charset val="128"/>
      </rPr>
      <t>・ｽﾏｰﾄ性能</t>
    </r>
    <rPh sb="16" eb="18">
      <t>セイノウ</t>
    </rPh>
    <phoneticPr fontId="3"/>
  </si>
  <si>
    <r>
      <t xml:space="preserve">M </t>
    </r>
    <r>
      <rPr>
        <b/>
        <sz val="11"/>
        <color theme="8" tint="0.59999389629810485"/>
        <rFont val="ＭＳ Ｐゴシック"/>
        <family val="3"/>
        <charset val="128"/>
      </rPr>
      <t>マネジメント性能</t>
    </r>
  </si>
  <si>
    <r>
      <t xml:space="preserve">S </t>
    </r>
    <r>
      <rPr>
        <b/>
        <sz val="11"/>
        <color theme="8" tint="0.59999389629810485"/>
        <rFont val="ＭＳ Ｐゴシック"/>
        <family val="3"/>
        <charset val="128"/>
      </rPr>
      <t>スマート性能</t>
    </r>
  </si>
  <si>
    <t>建物全体</t>
    <rPh sb="0" eb="2">
      <t>タテモノ</t>
    </rPh>
    <rPh sb="2" eb="4">
      <t>ゼンタイ</t>
    </rPh>
    <phoneticPr fontId="3"/>
  </si>
  <si>
    <t>街区全体</t>
    <rPh sb="0" eb="2">
      <t>ガイク</t>
    </rPh>
    <rPh sb="2" eb="4">
      <t>ゼンタイ</t>
    </rPh>
    <phoneticPr fontId="3"/>
  </si>
  <si>
    <r>
      <t>1</t>
    </r>
    <r>
      <rPr>
        <sz val="10"/>
        <rFont val="ＭＳ ゴシック"/>
        <family val="3"/>
        <charset val="128"/>
      </rPr>
      <t>）街区内の調整池</t>
    </r>
    <r>
      <rPr>
        <sz val="10"/>
        <rFont val="Arial"/>
        <family val="3"/>
      </rPr>
      <t>/</t>
    </r>
    <r>
      <rPr>
        <sz val="10"/>
        <rFont val="ＭＳ ゴシック"/>
        <family val="3"/>
        <charset val="128"/>
      </rPr>
      <t>遊水池</t>
    </r>
    <r>
      <rPr>
        <sz val="10"/>
        <rFont val="Arial"/>
        <family val="3"/>
      </rPr>
      <t>/</t>
    </r>
    <r>
      <rPr>
        <sz val="10"/>
        <rFont val="ＭＳ ゴシック"/>
        <family val="3"/>
        <charset val="128"/>
      </rPr>
      <t>雨水貯留槽等の容量を評価</t>
    </r>
    <phoneticPr fontId="3"/>
  </si>
  <si>
    <t>　上水使用量原単位</t>
    <rPh sb="1" eb="3">
      <t>ジョウスイ</t>
    </rPh>
    <rPh sb="3" eb="6">
      <t>シヨウリョウ</t>
    </rPh>
    <rPh sb="6" eb="9">
      <t>ゲンタンイ</t>
    </rPh>
    <phoneticPr fontId="3"/>
  </si>
  <si>
    <t>教育施設（幼稚園、公立小学校等）までの道のりが、1500m以上</t>
    <phoneticPr fontId="3"/>
  </si>
  <si>
    <t>教育施設（幼稚園、公立小学校等）までの道のりが、800m以上　　1500m未満</t>
    <phoneticPr fontId="3"/>
  </si>
  <si>
    <t>教育施設（幼稚園、公立小学校等）までの道のりが、600m以上　　 800m未満</t>
    <phoneticPr fontId="3"/>
  </si>
  <si>
    <t>教育施設（幼稚園、公立小学校等）までの道のりが、300m以上　　 600m未満</t>
    <phoneticPr fontId="3"/>
  </si>
  <si>
    <t>教育施設（幼稚園、公立小学校等）までの道のりが、300m未満</t>
    <phoneticPr fontId="3"/>
  </si>
  <si>
    <t>LR1.4. エネルギーマネジメント</t>
    <phoneticPr fontId="3"/>
  </si>
  <si>
    <t>■Q: Quality （街区の環境品質）、L: Load （街区の環境負荷）、LR:Load Reduction （環境負荷低減性）、 BEE: Built Environment Efficiency  （街区の環境効率）</t>
    <rPh sb="59" eb="61">
      <t>カンキョウ</t>
    </rPh>
    <rPh sb="61" eb="63">
      <t>フカ</t>
    </rPh>
    <rPh sb="63" eb="66">
      <t>テイゲンセイ</t>
    </rPh>
    <phoneticPr fontId="3"/>
  </si>
  <si>
    <t>【対象外】保全すべき自然地形が把握されない場合、計画地が人工地盤等人工改変地の場合</t>
    <rPh sb="5" eb="7">
      <t>ホゼン</t>
    </rPh>
    <rPh sb="10" eb="12">
      <t>シゼン</t>
    </rPh>
    <rPh sb="12" eb="14">
      <t>チケイ</t>
    </rPh>
    <rPh sb="15" eb="17">
      <t>ハアク</t>
    </rPh>
    <rPh sb="21" eb="23">
      <t>バアイ</t>
    </rPh>
    <rPh sb="28" eb="30">
      <t>ジンコウ</t>
    </rPh>
    <rPh sb="30" eb="32">
      <t>ジバン</t>
    </rPh>
    <rPh sb="32" eb="33">
      <t>トウ</t>
    </rPh>
    <rPh sb="39" eb="41">
      <t>バアイ</t>
    </rPh>
    <phoneticPr fontId="3"/>
  </si>
  <si>
    <t>採点基準</t>
    <phoneticPr fontId="3"/>
  </si>
  <si>
    <r>
      <t xml:space="preserve">1.2.3.1 </t>
    </r>
    <r>
      <rPr>
        <b/>
        <sz val="10"/>
        <rFont val="ＭＳ ゴシック"/>
        <family val="3"/>
        <charset val="128"/>
      </rPr>
      <t>街並み・景観形成への配慮</t>
    </r>
    <phoneticPr fontId="3"/>
  </si>
  <si>
    <t>【対象外】調査をした上で保全するすべき動植物が認められなかった場合</t>
    <phoneticPr fontId="3"/>
  </si>
  <si>
    <r>
      <t>まとまって確保されている多様な生物の生息空間が対象区域面積の</t>
    </r>
    <r>
      <rPr>
        <sz val="10"/>
        <rFont val="Arial"/>
        <family val="2"/>
      </rPr>
      <t>10%</t>
    </r>
    <r>
      <rPr>
        <sz val="10"/>
        <rFont val="ＭＳ Ｐゴシック"/>
        <family val="3"/>
        <charset val="128"/>
      </rPr>
      <t>未満</t>
    </r>
    <phoneticPr fontId="3"/>
  </si>
  <si>
    <r>
      <t>まとまって確保されている多様な生物の生息空間が対象区域面積の</t>
    </r>
    <r>
      <rPr>
        <sz val="10"/>
        <rFont val="Arial"/>
        <family val="2"/>
      </rPr>
      <t>10%</t>
    </r>
    <r>
      <rPr>
        <sz val="10"/>
        <rFont val="ＭＳ Ｐゴシック"/>
        <family val="3"/>
        <charset val="128"/>
      </rPr>
      <t>以上１５</t>
    </r>
    <r>
      <rPr>
        <sz val="10"/>
        <rFont val="Arial"/>
        <family val="2"/>
      </rPr>
      <t>%</t>
    </r>
    <r>
      <rPr>
        <sz val="10"/>
        <rFont val="ＭＳ Ｐゴシック"/>
        <family val="3"/>
        <charset val="128"/>
      </rPr>
      <t>未満</t>
    </r>
    <phoneticPr fontId="3"/>
  </si>
  <si>
    <r>
      <t>まとまって確保されている多様な生物の生息空間が対象区域面積の</t>
    </r>
    <r>
      <rPr>
        <sz val="10"/>
        <rFont val="Arial"/>
        <family val="2"/>
      </rPr>
      <t>15%</t>
    </r>
    <r>
      <rPr>
        <sz val="10"/>
        <rFont val="ＭＳ Ｐゴシック"/>
        <family val="3"/>
        <charset val="128"/>
      </rPr>
      <t>以上</t>
    </r>
    <r>
      <rPr>
        <sz val="10"/>
        <rFont val="Arial"/>
        <family val="2"/>
      </rPr>
      <t>20%</t>
    </r>
    <r>
      <rPr>
        <sz val="10"/>
        <rFont val="ＭＳ Ｐゴシック"/>
        <family val="3"/>
        <charset val="128"/>
      </rPr>
      <t>未満</t>
    </r>
    <phoneticPr fontId="3"/>
  </si>
  <si>
    <r>
      <t>まとまって確保されている多様な生物の生息空間が対象区域面積の</t>
    </r>
    <r>
      <rPr>
        <sz val="10"/>
        <rFont val="Arial"/>
        <family val="2"/>
      </rPr>
      <t>20%</t>
    </r>
    <r>
      <rPr>
        <sz val="10"/>
        <rFont val="ＭＳ Ｐゴシック"/>
        <family val="3"/>
        <charset val="128"/>
      </rPr>
      <t>以上</t>
    </r>
    <r>
      <rPr>
        <sz val="10"/>
        <rFont val="Arial"/>
        <family val="2"/>
      </rPr>
      <t>30%</t>
    </r>
    <r>
      <rPr>
        <sz val="10"/>
        <rFont val="ＭＳ Ｐゴシック"/>
        <family val="3"/>
        <charset val="128"/>
      </rPr>
      <t>未満</t>
    </r>
    <phoneticPr fontId="3"/>
  </si>
  <si>
    <t>[BEI][BEIm] ＞ （A①×1.10 + A②×1.10 + A③×1.20） ÷ ΣA</t>
    <phoneticPr fontId="3"/>
  </si>
  <si>
    <t>[BEI][BEIm] ≦ （A①×1.00 + A②×1.00 + A③×1.10） ÷ ΣA</t>
    <phoneticPr fontId="3"/>
  </si>
  <si>
    <t>[BEI][BEIm] ≦ （A①×0.80 + A②×0.80 + A③×1.00） ÷ ΣA</t>
    <phoneticPr fontId="3"/>
  </si>
  <si>
    <t>[BEI][BEIm] ≦ （A①×0.70 + A②×0.75 + A③×0.90） ÷ ΣA</t>
    <phoneticPr fontId="3"/>
  </si>
  <si>
    <t>土壌汚染対策法における土壌汚染状況調査において、汚染状態に関する基準に適合している。または抵触する敷地がない</t>
    <rPh sb="4" eb="6">
      <t>タイサク</t>
    </rPh>
    <phoneticPr fontId="3"/>
  </si>
  <si>
    <t>土壌汚染対策法に抵触している街区において、拡散防止を図っている(計画届出を行い、措置を行っている)</t>
    <rPh sb="4" eb="6">
      <t>タイサク</t>
    </rPh>
    <phoneticPr fontId="3"/>
  </si>
  <si>
    <t>土壌汚染対策法に抵触している街区において、無害化を図っている(区域指定解除)</t>
    <rPh sb="4" eb="6">
      <t>タイサク</t>
    </rPh>
    <phoneticPr fontId="3"/>
  </si>
  <si>
    <t>上水使用量原単位が5,000L/㎡・年以上の範囲</t>
    <phoneticPr fontId="3"/>
  </si>
  <si>
    <t>上水使用量原単位大きい（下位10%未満）</t>
    <rPh sb="12" eb="14">
      <t>カイ</t>
    </rPh>
    <phoneticPr fontId="3"/>
  </si>
  <si>
    <t>上水使用量原単位大きい（下位10%以上－25%未満）</t>
    <phoneticPr fontId="3"/>
  </si>
  <si>
    <t>上水使用量原単位平均（下位25%以上－上位50%以下）</t>
    <phoneticPr fontId="3"/>
  </si>
  <si>
    <t>上水使用量原単位小さい（上位25%以上－50％未満）</t>
    <rPh sb="12" eb="14">
      <t>ジョウイ</t>
    </rPh>
    <phoneticPr fontId="3"/>
  </si>
  <si>
    <t>上水使用量原単位小さい（上位0%－25％未満）</t>
    <rPh sb="12" eb="14">
      <t>ジョウイ</t>
    </rPh>
    <phoneticPr fontId="3"/>
  </si>
  <si>
    <t>計画の場合</t>
    <rPh sb="0" eb="2">
      <t>ケイカク</t>
    </rPh>
    <rPh sb="3" eb="5">
      <t>バアイ</t>
    </rPh>
    <phoneticPr fontId="3"/>
  </si>
  <si>
    <t>計画で評価</t>
    <rPh sb="0" eb="2">
      <t>ケイカク</t>
    </rPh>
    <rPh sb="3" eb="5">
      <t>ヒョウカ</t>
    </rPh>
    <phoneticPr fontId="3"/>
  </si>
  <si>
    <t>実績で評価</t>
    <rPh sb="0" eb="2">
      <t>ジッセキ</t>
    </rPh>
    <rPh sb="3" eb="5">
      <t>ヒョウカ</t>
    </rPh>
    <phoneticPr fontId="3"/>
  </si>
  <si>
    <t>集合住宅の評価方法</t>
    <rPh sb="0" eb="2">
      <t>シュウゴウ</t>
    </rPh>
    <rPh sb="2" eb="4">
      <t>ジュウタク</t>
    </rPh>
    <rPh sb="5" eb="7">
      <t>ヒョウカ</t>
    </rPh>
    <rPh sb="7" eb="9">
      <t>ホウホウ</t>
    </rPh>
    <phoneticPr fontId="3"/>
  </si>
  <si>
    <t>＜計画の場合＞評価する取組</t>
    <rPh sb="1" eb="3">
      <t>ケイカク</t>
    </rPh>
    <rPh sb="4" eb="6">
      <t>バアイ</t>
    </rPh>
    <rPh sb="7" eb="9">
      <t>ヒョウカ</t>
    </rPh>
    <rPh sb="11" eb="13">
      <t>トリクミ</t>
    </rPh>
    <phoneticPr fontId="3"/>
  </si>
  <si>
    <t>＜実績の場合＞上水使用量原単位（共用部）</t>
    <rPh sb="1" eb="3">
      <t>ジッセキ</t>
    </rPh>
    <rPh sb="4" eb="6">
      <t>バアイ</t>
    </rPh>
    <rPh sb="7" eb="9">
      <t>ジョウスイ</t>
    </rPh>
    <rPh sb="9" eb="12">
      <t>シヨウリョウ</t>
    </rPh>
    <rPh sb="12" eb="15">
      <t>ゲンタンイ</t>
    </rPh>
    <rPh sb="16" eb="19">
      <t>キョウヨウブ</t>
    </rPh>
    <phoneticPr fontId="3"/>
  </si>
  <si>
    <t>実績の場合（共用部で評価）</t>
    <rPh sb="0" eb="2">
      <t>ジッセキ</t>
    </rPh>
    <rPh sb="3" eb="5">
      <t>バアイ</t>
    </rPh>
    <rPh sb="6" eb="9">
      <t>キョウヨウブ</t>
    </rPh>
    <rPh sb="10" eb="12">
      <t>ヒョウカ</t>
    </rPh>
    <phoneticPr fontId="3"/>
  </si>
  <si>
    <t>使用している建物（外構を含む、以下本項において同様）がある</t>
    <phoneticPr fontId="3"/>
  </si>
  <si>
    <t>床面積1㎡あたり0.005㎥の国産、地域の木材を使用している建物がある</t>
    <rPh sb="15" eb="17">
      <t>コクサン</t>
    </rPh>
    <rPh sb="18" eb="20">
      <t>チイキ</t>
    </rPh>
    <rPh sb="21" eb="23">
      <t>モクザイ</t>
    </rPh>
    <phoneticPr fontId="3"/>
  </si>
  <si>
    <t>容器包装、リターナブルコンテナ等の取組み</t>
    <phoneticPr fontId="3"/>
  </si>
  <si>
    <t>15%未満</t>
    <phoneticPr fontId="3"/>
  </si>
  <si>
    <t>10％未満</t>
    <phoneticPr fontId="3"/>
  </si>
  <si>
    <t>10%以上20%未満</t>
    <phoneticPr fontId="3"/>
  </si>
  <si>
    <t>20%以上30%未満</t>
  </si>
  <si>
    <t>30%以上40%未満</t>
  </si>
  <si>
    <t>40%以上</t>
  </si>
  <si>
    <t>15%以上20%未満</t>
    <phoneticPr fontId="3"/>
  </si>
  <si>
    <t>取組んでいる項⽬がない</t>
    <phoneticPr fontId="3"/>
  </si>
  <si>
    <t>コミュニティ施設（公民館、集会場、生涯学習施設等）までの道のりが、1500m以上</t>
    <phoneticPr fontId="3"/>
  </si>
  <si>
    <t>コミュニティ施設（公民館、集会場、生涯学習施設等）までの道のりが、800m以上　　1500m未満</t>
    <phoneticPr fontId="3"/>
  </si>
  <si>
    <t>コミュニティ施設（公民館、集会場、生涯学習施設等）までの道のりが、600m以上　　 800m未満</t>
    <phoneticPr fontId="3"/>
  </si>
  <si>
    <t>コミュニティ施設（公民館、集会場、生涯学習施設等）までの道のりが、300m以上　　 600m未満</t>
    <phoneticPr fontId="3"/>
  </si>
  <si>
    <t>コミュニティ施設（公民館、集会場、生涯学習施設等）までの道のりが、300m未満</t>
    <phoneticPr fontId="3"/>
  </si>
  <si>
    <t>【対象外】住宅系の場合は対象外としてよい。</t>
    <phoneticPr fontId="3"/>
  </si>
  <si>
    <t>取組んでいる項目が２つ以上</t>
    <phoneticPr fontId="3"/>
  </si>
  <si>
    <t>国産、地域の木材を使用している建物がある</t>
    <phoneticPr fontId="3"/>
  </si>
  <si>
    <t>取組んでいる項目が1つ</t>
  </si>
  <si>
    <t>取組んでいる項目が2つ</t>
  </si>
  <si>
    <t>取組んでいる項目が3つ</t>
  </si>
  <si>
    <t>取組んでいる項目が1つ～2つ</t>
  </si>
  <si>
    <t>取組んでいる項目が3つ～4つ</t>
  </si>
  <si>
    <t>取組んでいる項目が5つ～6つ</t>
  </si>
  <si>
    <t>取組んでいる項目が7つ～８つ</t>
  </si>
  <si>
    <t>取組んでいる項目が3つ以上</t>
    <rPh sb="11" eb="13">
      <t>イジョウ</t>
    </rPh>
    <phoneticPr fontId="3"/>
  </si>
  <si>
    <t>レベル3に加えて、周囲の地域コミュニティと連携して取組んでいる</t>
  </si>
  <si>
    <t>レベル４に加えて、周辺街区への貢献も含めた地域の防災性能を高める取組みを実施している</t>
  </si>
  <si>
    <t>周辺街区への貢献も含めた地域の防災性能を高める取組みを実施している</t>
  </si>
  <si>
    <t>レベル4の取組みに加え、周辺街区との連携する取組みがある</t>
  </si>
  <si>
    <t>取組んでいる項目がない</t>
    <rPh sb="6" eb="8">
      <t>コウモク</t>
    </rPh>
    <phoneticPr fontId="3"/>
  </si>
  <si>
    <t>取組んでいる項目数が1つ</t>
    <rPh sb="6" eb="8">
      <t>コウモク</t>
    </rPh>
    <rPh sb="8" eb="9">
      <t>スウ</t>
    </rPh>
    <phoneticPr fontId="3"/>
  </si>
  <si>
    <t>取組んでいる項目数が2つ</t>
    <rPh sb="6" eb="8">
      <t>コウモク</t>
    </rPh>
    <rPh sb="8" eb="9">
      <t>スウ</t>
    </rPh>
    <phoneticPr fontId="3"/>
  </si>
  <si>
    <t>取組んでいる項目数が3つ</t>
    <rPh sb="6" eb="8">
      <t>コウモク</t>
    </rPh>
    <rPh sb="8" eb="9">
      <t>スウ</t>
    </rPh>
    <phoneticPr fontId="3"/>
  </si>
  <si>
    <t>取組んでいる項目が4つ以上</t>
    <rPh sb="6" eb="8">
      <t>コウモク</t>
    </rPh>
    <rPh sb="11" eb="13">
      <t>イジョウ</t>
    </rPh>
    <phoneticPr fontId="3"/>
  </si>
  <si>
    <t>評価する取組みのうち、供用設備にていずれの手法も採用していない</t>
  </si>
  <si>
    <t>評価する取組みのうち、供用設備にていずれのかの手法を1つ採用している</t>
  </si>
  <si>
    <t>評価する取組みのうち、供用設備にていずれのかの手法を2つ以上採用している</t>
  </si>
  <si>
    <t>評価する取組みのうち、いずれの手法も採用していない</t>
  </si>
  <si>
    <t>評価する取組みのうち、いずれかの手法が1つ採用されている</t>
  </si>
  <si>
    <t>評価する取組みのうち、いずれかの手法が2つ以上採用されている</t>
  </si>
  <si>
    <t>レベル４を満たし、街区全体の省エネルギー目標を立て、その達成のために街区関係者参加型の継続的な取組みが実行されている（する計画がある）</t>
  </si>
  <si>
    <t>街区全体の省エネルギー目標を立て、その達成のために街区関係者参加型の継続的な取組みが実行されている（する計画がある）。</t>
  </si>
  <si>
    <t>取組んでいる項目が１つ</t>
    <rPh sb="6" eb="8">
      <t>コウモク</t>
    </rPh>
    <phoneticPr fontId="3"/>
  </si>
  <si>
    <t>取組んでいる項目が２つ</t>
    <rPh sb="6" eb="8">
      <t>コウモク</t>
    </rPh>
    <phoneticPr fontId="3"/>
  </si>
  <si>
    <t>取組んでいる項目が3つ以上</t>
    <rPh sb="6" eb="8">
      <t>コウモク</t>
    </rPh>
    <rPh sb="11" eb="13">
      <t>イジョウ</t>
    </rPh>
    <phoneticPr fontId="3"/>
  </si>
  <si>
    <t>温室効果ガス排出量を把握しておらず、カーボンニュートラル達成に向けて取組む旨の宣言や具体的な削減目標を打ち出していない</t>
  </si>
  <si>
    <t>取組んでいる項目が３つ以下</t>
  </si>
  <si>
    <t>取組んでいる項目が４～５つ</t>
  </si>
  <si>
    <t>取組んでいる項目が６～８つ</t>
  </si>
  <si>
    <t>取組んでいる項目が９つ～１０</t>
  </si>
  <si>
    <t>取組んでいる項目が１１～１２</t>
  </si>
  <si>
    <t>保全するべき動植物を把握するための調査を実施し、保全対象の存在を確認している</t>
    <phoneticPr fontId="3"/>
  </si>
  <si>
    <t>保全するべき地形を把握している</t>
  </si>
  <si>
    <t>保全するべき地形を把握し、その過半において自然地形の人工的改変を抑えている</t>
  </si>
  <si>
    <t>保全するべき地形を把握するための調査を実施していない</t>
    <phoneticPr fontId="3"/>
  </si>
  <si>
    <t>保全するべき地形を把握するための調査を行い、保全対象の存在を確認している</t>
    <phoneticPr fontId="3"/>
  </si>
  <si>
    <t>保全するべき土壌を把握し、その一部において有効な表土の保全を行っている</t>
  </si>
  <si>
    <t>保全するべき土壌を把握し、その過半において有効な表土の保全を行っている</t>
  </si>
  <si>
    <t>保全するべき土壌を把握するための調査を実施していない</t>
    <phoneticPr fontId="3"/>
  </si>
  <si>
    <t>保全するべき土壌を把握するための調査を行い、保全対象の存在を確認している</t>
    <phoneticPr fontId="3"/>
  </si>
  <si>
    <t>生物の生息空間が対象区域面積の30％以上まとまって確保されている</t>
    <phoneticPr fontId="3"/>
  </si>
  <si>
    <t>【対象外】非住宅系開発の場合は対象外とすることもできる。</t>
    <rPh sb="5" eb="6">
      <t>ヒ</t>
    </rPh>
    <rPh sb="6" eb="8">
      <t>ジュウタク</t>
    </rPh>
    <rPh sb="8" eb="9">
      <t>ケイ</t>
    </rPh>
    <rPh sb="9" eb="11">
      <t>カイハツ</t>
    </rPh>
    <rPh sb="12" eb="14">
      <t>バアイ</t>
    </rPh>
    <rPh sb="15" eb="18">
      <t>タイショウガイ</t>
    </rPh>
    <phoneticPr fontId="3"/>
  </si>
  <si>
    <t>取組んでいる項⽬が、①又は②</t>
    <phoneticPr fontId="3"/>
  </si>
  <si>
    <t>レベル3に加え、取組んでいる項⽬が、③又は④</t>
    <phoneticPr fontId="3"/>
  </si>
  <si>
    <t>レベル3に加え取組んでいる項⽬が、⑤</t>
    <phoneticPr fontId="3"/>
  </si>
  <si>
    <t>【対象外】住宅系の開発の場合は対象外とすることもできる。</t>
    <rPh sb="5" eb="7">
      <t>ジュウタク</t>
    </rPh>
    <rPh sb="7" eb="8">
      <t>ケイ</t>
    </rPh>
    <rPh sb="9" eb="11">
      <t>カイハツ</t>
    </rPh>
    <rPh sb="12" eb="14">
      <t>バアイ</t>
    </rPh>
    <rPh sb="15" eb="18">
      <t>タイショウガイ</t>
    </rPh>
    <phoneticPr fontId="3"/>
  </si>
  <si>
    <t>取組んでいる項目が２つ～３つ</t>
    <phoneticPr fontId="3"/>
  </si>
  <si>
    <t>取組んでいる項目が４つ～５つ</t>
    <phoneticPr fontId="3"/>
  </si>
  <si>
    <t>上水使用量原単位平均（下位25%以上－上位50%未満）</t>
    <rPh sb="24" eb="26">
      <t>ミマン</t>
    </rPh>
    <phoneticPr fontId="3"/>
  </si>
  <si>
    <t>非住宅系（コンビニエンス・ストア除く）</t>
    <rPh sb="0" eb="3">
      <t>ヒジュウタク</t>
    </rPh>
    <rPh sb="3" eb="4">
      <t>ケイ</t>
    </rPh>
    <rPh sb="16" eb="17">
      <t>ノゾ</t>
    </rPh>
    <phoneticPr fontId="3"/>
  </si>
  <si>
    <t>非住宅系（コンビニエンス・ストア）</t>
    <rPh sb="0" eb="3">
      <t>ヒジュウタク</t>
    </rPh>
    <rPh sb="3" eb="4">
      <t>ケイ</t>
    </rPh>
    <phoneticPr fontId="3"/>
  </si>
  <si>
    <t>過半が節水型トイレ(5L～6L台/回) 利用している</t>
    <phoneticPr fontId="3"/>
  </si>
  <si>
    <t>1～3品目使用している</t>
    <phoneticPr fontId="3"/>
  </si>
  <si>
    <t>自治体ルールに基づく分別に加え、自治体ルール+2品目以上かつ品目の処理ルールが確立されている</t>
    <rPh sb="26" eb="28">
      <t>イジョウ</t>
    </rPh>
    <phoneticPr fontId="3"/>
  </si>
  <si>
    <t>用途  （書換可）</t>
    <rPh sb="0" eb="2">
      <t>ヨウト</t>
    </rPh>
    <rPh sb="5" eb="7">
      <t>カキカエ</t>
    </rPh>
    <rPh sb="7" eb="8">
      <t>カ</t>
    </rPh>
    <phoneticPr fontId="3"/>
  </si>
  <si>
    <t>【対象外】非住宅系の開発の場合は対象外とすることもできる。</t>
    <rPh sb="5" eb="6">
      <t>ヒ</t>
    </rPh>
    <rPh sb="6" eb="8">
      <t>ジュウタク</t>
    </rPh>
    <rPh sb="8" eb="9">
      <t>ケイ</t>
    </rPh>
    <rPh sb="10" eb="12">
      <t>カイハツ</t>
    </rPh>
    <rPh sb="13" eb="15">
      <t>バアイ</t>
    </rPh>
    <rPh sb="16" eb="19">
      <t>タイショウガイ</t>
    </rPh>
    <phoneticPr fontId="3"/>
  </si>
  <si>
    <t>■建物名称</t>
    <rPh sb="1" eb="3">
      <t>タテモノ</t>
    </rPh>
    <rPh sb="3" eb="5">
      <t>メイショウ</t>
    </rPh>
    <phoneticPr fontId="219"/>
  </si>
  <si>
    <t>本チェックリストの実施有無：</t>
    <rPh sb="0" eb="1">
      <t>ホン</t>
    </rPh>
    <rPh sb="9" eb="11">
      <t>ジッシ</t>
    </rPh>
    <rPh sb="11" eb="13">
      <t>ウム</t>
    </rPh>
    <phoneticPr fontId="3"/>
  </si>
  <si>
    <t>　　　　取組み状況の入力に誤りがあります。赤字部分を修正してください。</t>
    <phoneticPr fontId="3"/>
  </si>
  <si>
    <t>SDGsゴール
/ターゲット</t>
    <phoneticPr fontId="3"/>
  </si>
  <si>
    <t>評価する取組み</t>
    <rPh sb="0" eb="2">
      <t>ヒョウカ</t>
    </rPh>
    <rPh sb="4" eb="6">
      <t>トリク</t>
    </rPh>
    <phoneticPr fontId="3"/>
  </si>
  <si>
    <t>●</t>
    <phoneticPr fontId="3"/>
  </si>
  <si>
    <r>
      <t>採点</t>
    </r>
    <r>
      <rPr>
        <sz val="10"/>
        <color theme="0"/>
        <rFont val="ＭＳ Ｐゴシック"/>
        <family val="3"/>
        <charset val="128"/>
      </rPr>
      <t xml:space="preserve">
(1～3点)</t>
    </r>
    <rPh sb="0" eb="2">
      <t>サイテン</t>
    </rPh>
    <rPh sb="7" eb="8">
      <t>テン</t>
    </rPh>
    <phoneticPr fontId="3"/>
  </si>
  <si>
    <r>
      <t xml:space="preserve">取組んで
いない
</t>
    </r>
    <r>
      <rPr>
        <sz val="10"/>
        <color theme="0"/>
        <rFont val="ＭＳ Ｐゴシック"/>
        <family val="3"/>
        <charset val="128"/>
      </rPr>
      <t>（1点）</t>
    </r>
    <rPh sb="0" eb="2">
      <t>トリク</t>
    </rPh>
    <rPh sb="12" eb="13">
      <t>テン</t>
    </rPh>
    <phoneticPr fontId="3"/>
  </si>
  <si>
    <r>
      <t xml:space="preserve">取組んで
いる
</t>
    </r>
    <r>
      <rPr>
        <sz val="10"/>
        <color theme="0"/>
        <rFont val="ＭＳ Ｐゴシック"/>
        <family val="3"/>
        <charset val="128"/>
      </rPr>
      <t>（2点）</t>
    </r>
    <rPh sb="0" eb="2">
      <t>トリク</t>
    </rPh>
    <rPh sb="11" eb="12">
      <t>テン</t>
    </rPh>
    <phoneticPr fontId="3"/>
  </si>
  <si>
    <t>積極的に
取組んで
いる
（3点）</t>
    <rPh sb="0" eb="3">
      <t>セッキョクテキ</t>
    </rPh>
    <rPh sb="5" eb="7">
      <t>トリク</t>
    </rPh>
    <rPh sb="15" eb="16">
      <t>テン</t>
    </rPh>
    <phoneticPr fontId="3"/>
  </si>
  <si>
    <r>
      <t xml:space="preserve">特筆事項
</t>
    </r>
    <r>
      <rPr>
        <sz val="8"/>
        <color theme="0"/>
        <rFont val="ＭＳ Ｐゴシック"/>
        <family val="3"/>
        <charset val="128"/>
      </rPr>
      <t>※アピールしたい取組みを自由に記述</t>
    </r>
    <r>
      <rPr>
        <sz val="8"/>
        <color rgb="FFFF0000"/>
        <rFont val="ＭＳ Ｐゴシック"/>
        <family val="3"/>
        <charset val="128"/>
      </rPr>
      <t>（該当項目番号）</t>
    </r>
    <r>
      <rPr>
        <sz val="8"/>
        <color theme="0"/>
        <rFont val="ＭＳ Ｐゴシック"/>
        <family val="3"/>
        <charset val="128"/>
      </rPr>
      <t xml:space="preserve">
※「取組みの状況」の評価以上の取組みを行っている場合は加点することができる（＋1ポイント）
（「加点対象」をチェック。ただし取組み点数は最大3ポイント）</t>
    </r>
    <rPh sb="0" eb="2">
      <t>トクヒツ</t>
    </rPh>
    <rPh sb="2" eb="4">
      <t>ジコウ</t>
    </rPh>
    <rPh sb="13" eb="15">
      <t>トリク</t>
    </rPh>
    <rPh sb="17" eb="19">
      <t>ジユウ</t>
    </rPh>
    <rPh sb="20" eb="22">
      <t>キジュツ</t>
    </rPh>
    <rPh sb="23" eb="25">
      <t>ガイトウ</t>
    </rPh>
    <rPh sb="25" eb="27">
      <t>コウモク</t>
    </rPh>
    <rPh sb="27" eb="29">
      <t>バンゴウ</t>
    </rPh>
    <rPh sb="33" eb="35">
      <t>トリク</t>
    </rPh>
    <rPh sb="37" eb="39">
      <t>ジョウキョウ</t>
    </rPh>
    <rPh sb="41" eb="43">
      <t>ヒョウカ</t>
    </rPh>
    <rPh sb="43" eb="45">
      <t>イジョウ</t>
    </rPh>
    <rPh sb="46" eb="48">
      <t>トリク</t>
    </rPh>
    <rPh sb="50" eb="51">
      <t>オコナ</t>
    </rPh>
    <rPh sb="55" eb="57">
      <t>バアイ</t>
    </rPh>
    <rPh sb="58" eb="60">
      <t>カテン</t>
    </rPh>
    <rPh sb="79" eb="81">
      <t>カテン</t>
    </rPh>
    <rPh sb="81" eb="83">
      <t>タイショウ</t>
    </rPh>
    <rPh sb="93" eb="95">
      <t>トリク</t>
    </rPh>
    <rPh sb="96" eb="98">
      <t>テンスウ</t>
    </rPh>
    <rPh sb="99" eb="101">
      <t>サイダイ</t>
    </rPh>
    <phoneticPr fontId="3"/>
  </si>
  <si>
    <r>
      <t>加点</t>
    </r>
    <r>
      <rPr>
        <sz val="10"/>
        <color theme="0"/>
        <rFont val="ＭＳ Ｐゴシック"/>
        <family val="3"/>
        <charset val="128"/>
      </rPr>
      <t xml:space="preserve">
(+1点)</t>
    </r>
    <rPh sb="0" eb="2">
      <t>カテン</t>
    </rPh>
    <rPh sb="6" eb="7">
      <t>テン</t>
    </rPh>
    <phoneticPr fontId="3"/>
  </si>
  <si>
    <t>点数</t>
    <rPh sb="0" eb="2">
      <t>テンスウ</t>
    </rPh>
    <phoneticPr fontId="3"/>
  </si>
  <si>
    <t>取組んで
いない
（1点）</t>
    <rPh sb="0" eb="2">
      <t>トリク</t>
    </rPh>
    <rPh sb="12" eb="13">
      <t>テン</t>
    </rPh>
    <phoneticPr fontId="3"/>
  </si>
  <si>
    <t>取組んで
いる
（2点）</t>
    <rPh sb="0" eb="2">
      <t>トリク</t>
    </rPh>
    <rPh sb="11" eb="12">
      <t>テン</t>
    </rPh>
    <phoneticPr fontId="3"/>
  </si>
  <si>
    <t>状況</t>
    <rPh sb="0" eb="2">
      <t>ジョウキョウ</t>
    </rPh>
    <phoneticPr fontId="3"/>
  </si>
  <si>
    <t>加点</t>
    <rPh sb="0" eb="2">
      <t>カテン</t>
    </rPh>
    <phoneticPr fontId="3"/>
  </si>
  <si>
    <t>閾値</t>
    <rPh sb="0" eb="2">
      <t>イキチ</t>
    </rPh>
    <phoneticPr fontId="3"/>
  </si>
  <si>
    <t>チェック</t>
    <phoneticPr fontId="3"/>
  </si>
  <si>
    <t>大項目</t>
    <rPh sb="0" eb="3">
      <t>ダイコウモク</t>
    </rPh>
    <phoneticPr fontId="219"/>
  </si>
  <si>
    <t>小項目</t>
    <rPh sb="0" eb="3">
      <t>ショウコウモク</t>
    </rPh>
    <phoneticPr fontId="219"/>
  </si>
  <si>
    <t>備考
（援用項目）</t>
    <rPh sb="0" eb="2">
      <t>ビコウ</t>
    </rPh>
    <rPh sb="4" eb="6">
      <t>エンヨウ</t>
    </rPh>
    <rPh sb="6" eb="8">
      <t>コウモク</t>
    </rPh>
    <phoneticPr fontId="3"/>
  </si>
  <si>
    <t>参照スコア</t>
    <rPh sb="0" eb="2">
      <t>サンショウ</t>
    </rPh>
    <phoneticPr fontId="3"/>
  </si>
  <si>
    <t>換算点数</t>
    <rPh sb="0" eb="2">
      <t>カンサン</t>
    </rPh>
    <rPh sb="2" eb="4">
      <t>テンスウ</t>
    </rPh>
    <phoneticPr fontId="3"/>
  </si>
  <si>
    <t>小項目点数</t>
    <rPh sb="0" eb="3">
      <t>ショウコウモク</t>
    </rPh>
    <rPh sb="3" eb="5">
      <t>テンスウ</t>
    </rPh>
    <phoneticPr fontId="3"/>
  </si>
  <si>
    <t>大項目点数</t>
    <rPh sb="0" eb="3">
      <t>ダイコウモク</t>
    </rPh>
    <rPh sb="3" eb="5">
      <t>テンスウ</t>
    </rPh>
    <phoneticPr fontId="3"/>
  </si>
  <si>
    <t>加点
対象</t>
    <rPh sb="0" eb="2">
      <t>カテン</t>
    </rPh>
    <rPh sb="3" eb="5">
      <t>タイショウ</t>
    </rPh>
    <phoneticPr fontId="3"/>
  </si>
  <si>
    <t>ゴール
スコア</t>
  </si>
  <si>
    <t>大項目数</t>
    <rPh sb="0" eb="3">
      <t>ダイコウモク</t>
    </rPh>
    <rPh sb="3" eb="4">
      <t>スウ</t>
    </rPh>
    <phoneticPr fontId="3"/>
  </si>
  <si>
    <t>大項目スコア</t>
    <rPh sb="0" eb="3">
      <t>ダイコウモク</t>
    </rPh>
    <phoneticPr fontId="3"/>
  </si>
  <si>
    <t>小項目数</t>
    <rPh sb="0" eb="4">
      <t>ショウコウモクスウ</t>
    </rPh>
    <phoneticPr fontId="3"/>
  </si>
  <si>
    <r>
      <t xml:space="preserve">ゴール 1.
</t>
    </r>
    <r>
      <rPr>
        <b/>
        <sz val="7"/>
        <color theme="1"/>
        <rFont val="游ゴシック"/>
        <family val="3"/>
        <charset val="128"/>
      </rPr>
      <t>貧困をなくそう</t>
    </r>
    <rPh sb="7" eb="9">
      <t>ヒンコン</t>
    </rPh>
    <phoneticPr fontId="219"/>
  </si>
  <si>
    <r>
      <rPr>
        <b/>
        <sz val="10"/>
        <color theme="1"/>
        <rFont val="游ゴシック"/>
        <family val="3"/>
        <charset val="128"/>
      </rPr>
      <t>ゴール 2.</t>
    </r>
    <r>
      <rPr>
        <b/>
        <sz val="9"/>
        <color theme="1"/>
        <rFont val="游ゴシック"/>
        <family val="3"/>
        <charset val="128"/>
      </rPr>
      <t xml:space="preserve">
</t>
    </r>
    <r>
      <rPr>
        <b/>
        <sz val="7"/>
        <color theme="1"/>
        <rFont val="游ゴシック"/>
        <family val="3"/>
        <charset val="128"/>
      </rPr>
      <t>飢餓をゼロに</t>
    </r>
    <rPh sb="7" eb="9">
      <t>キガ</t>
    </rPh>
    <phoneticPr fontId="228"/>
  </si>
  <si>
    <r>
      <t xml:space="preserve">ゴール 3.
</t>
    </r>
    <r>
      <rPr>
        <b/>
        <sz val="7"/>
        <color theme="1"/>
        <rFont val="游ゴシック"/>
        <family val="3"/>
        <charset val="128"/>
      </rPr>
      <t>すべての人に健康と福祉を</t>
    </r>
    <phoneticPr fontId="228"/>
  </si>
  <si>
    <t>3.1</t>
    <phoneticPr fontId="3"/>
  </si>
  <si>
    <t>感染症リスクへの対処</t>
    <phoneticPr fontId="3"/>
  </si>
  <si>
    <t>3.1.1</t>
    <phoneticPr fontId="3"/>
  </si>
  <si>
    <t>感染症予防に適した環境を整備・維持する</t>
    <phoneticPr fontId="3"/>
  </si>
  <si>
    <t>以下の取組みに、取組んでいない=該当項目なし、
取組んでいる=該当項目1つ、積極的に取組んでいる=該当項目2つ以上
1) 街区の外構部分を定期的に清掃する仕組みがある
2) 防鼠対策をしている
3) 感染症対応BCP・LCPを策定している
4) 平常時から感染症対策を実施している</t>
    <phoneticPr fontId="3"/>
  </si>
  <si>
    <t>3.1.2</t>
    <phoneticPr fontId="3"/>
  </si>
  <si>
    <t>下水道設備等を整備・維持する</t>
    <phoneticPr fontId="3"/>
  </si>
  <si>
    <t>以下の取組みに、取組んでいない=該当項目なし、
取組んでいる=1)に該当、積極的に取組んでいる=2)に該当
1) 下水道設備は整備されていないが、浄化槽（し尿処理）がある
2) 下水道設備が整備されている</t>
    <phoneticPr fontId="3"/>
  </si>
  <si>
    <t>3.2</t>
    <phoneticPr fontId="3"/>
  </si>
  <si>
    <t xml:space="preserve"> 医療施設・福祉施設の充実</t>
    <phoneticPr fontId="3"/>
  </si>
  <si>
    <t>3.2.1</t>
    <phoneticPr fontId="3"/>
  </si>
  <si>
    <t>適切な医療機関へのアクセスを確保する</t>
    <phoneticPr fontId="3"/>
  </si>
  <si>
    <t>医療機関へのアクセス確保に取組んでいる</t>
    <rPh sb="0" eb="4">
      <t>イリョウキカン</t>
    </rPh>
    <rPh sb="10" eb="12">
      <t>カクホ</t>
    </rPh>
    <rPh sb="13" eb="15">
      <t>トリク</t>
    </rPh>
    <phoneticPr fontId="3"/>
  </si>
  <si>
    <t>Q2.3.3「医療施設」</t>
    <phoneticPr fontId="3"/>
  </si>
  <si>
    <t>3.2.2</t>
    <phoneticPr fontId="3"/>
  </si>
  <si>
    <t>需要が高まる傾向にある診療科目の医療機関へのアクセスを確保する</t>
    <phoneticPr fontId="3"/>
  </si>
  <si>
    <t>以下の取組みに、取組んでいない=該当項目なし、
取組んでいる=1)に該当、積極的に取組んでいる=2)に該当
1) 慢性疾患もしくは若年者を対象とした医療機関が当該施設に最も近い街区の出入口から800ｍ未満にある
2) 慢性疾患もしくは若年者を対象とした医療機関が街区内にある</t>
    <phoneticPr fontId="3"/>
  </si>
  <si>
    <t>3.3</t>
    <phoneticPr fontId="3"/>
  </si>
  <si>
    <t>安全な環境の整備</t>
    <phoneticPr fontId="3"/>
  </si>
  <si>
    <t>3.3.1</t>
    <phoneticPr fontId="3"/>
  </si>
  <si>
    <t>交通事故が起きにくい街区環境を整備・維持する</t>
    <phoneticPr fontId="3"/>
  </si>
  <si>
    <t>歩行者の安全確保のための歩道の設置や動線計画等に取組んでいる</t>
    <rPh sb="24" eb="26">
      <t>トリク</t>
    </rPh>
    <phoneticPr fontId="3"/>
  </si>
  <si>
    <t>Q2.4.3「交通安全」</t>
    <phoneticPr fontId="3"/>
  </si>
  <si>
    <t>3.3.2</t>
    <phoneticPr fontId="3"/>
  </si>
  <si>
    <t>バリアフリーに配慮すると共に、適切にユニバーサルデザインを施す</t>
    <phoneticPr fontId="3"/>
  </si>
  <si>
    <t>バリアフリー新法及び各自治体の関連条例等の順守に加え、ユニバーサルデザインへの配慮、交通弱者や外国人への対応に取組んでいる。</t>
    <rPh sb="55" eb="57">
      <t>トリク</t>
    </rPh>
    <phoneticPr fontId="3"/>
  </si>
  <si>
    <t>Q2.5.3「ユニバーサルデザイン」</t>
    <phoneticPr fontId="3"/>
  </si>
  <si>
    <t>3.4</t>
    <phoneticPr fontId="3"/>
  </si>
  <si>
    <t>街区及び周辺の衛生環境確保</t>
    <phoneticPr fontId="3"/>
  </si>
  <si>
    <t>3.4.1</t>
    <phoneticPr fontId="3"/>
  </si>
  <si>
    <t>大気汚染を防止する</t>
    <phoneticPr fontId="3"/>
  </si>
  <si>
    <t>大気汚染の発生源対策や大気浄化等に取組んでいる</t>
    <rPh sb="17" eb="19">
      <t>トリク</t>
    </rPh>
    <phoneticPr fontId="3"/>
  </si>
  <si>
    <t>3.4.2</t>
  </si>
  <si>
    <t>水質汚濁を防止する</t>
    <phoneticPr fontId="3"/>
  </si>
  <si>
    <t>3.4.3</t>
  </si>
  <si>
    <t xml:space="preserve"> 土壌汚染に対処する</t>
    <phoneticPr fontId="3"/>
  </si>
  <si>
    <t>ブラウンフィールド活用の観点も含め、評価対象街区における土壌汚染対策法への対応に取組んでいる</t>
    <rPh sb="40" eb="42">
      <t>トリク</t>
    </rPh>
    <phoneticPr fontId="3"/>
  </si>
  <si>
    <t>LR2.1.1「土壌汚染への対応」</t>
    <phoneticPr fontId="3"/>
  </si>
  <si>
    <t>3.4.4</t>
  </si>
  <si>
    <t>風害の発生を抑制する</t>
    <phoneticPr fontId="3"/>
  </si>
  <si>
    <t>建築群による区域外に対する風害の発生抑制に取組んでいる</t>
    <rPh sb="21" eb="23">
      <t>トリク</t>
    </rPh>
    <phoneticPr fontId="3"/>
  </si>
  <si>
    <t>LR3.3.4「対象区域外に対する風害の抑制」</t>
    <phoneticPr fontId="3"/>
  </si>
  <si>
    <t>3.4.5</t>
  </si>
  <si>
    <t>街区周辺に日照阻害を起こさないように計画する</t>
    <phoneticPr fontId="3"/>
  </si>
  <si>
    <t>区域外の日照を確保するよう建築群の配置・形態への配慮に取組んでいる</t>
    <rPh sb="27" eb="29">
      <t>トリク</t>
    </rPh>
    <phoneticPr fontId="3"/>
  </si>
  <si>
    <t>LR3.3.5「対象区域外に対する日照阻害の抑制」</t>
    <phoneticPr fontId="3"/>
  </si>
  <si>
    <t>3.4.6</t>
  </si>
  <si>
    <t>街区周辺への光害を抑制する</t>
    <phoneticPr fontId="3"/>
  </si>
  <si>
    <t>周辺地域に対する光害の抑制へ取組んでいる</t>
    <rPh sb="14" eb="16">
      <t>トリク</t>
    </rPh>
    <phoneticPr fontId="3"/>
  </si>
  <si>
    <t>その他、周辺環境に悪影響を及ぼし得る発生源があれば対処する</t>
    <phoneticPr fontId="3"/>
  </si>
  <si>
    <t>LR3.3.3.1「騒音が対象区域外に及ぼす影響の軽減」</t>
    <phoneticPr fontId="3"/>
  </si>
  <si>
    <t>LR3.3.3.2「振動が対象区域外に及ぼす影響の軽減」</t>
    <phoneticPr fontId="3"/>
  </si>
  <si>
    <t>LR3.3.3.3「悪臭が対象区域外に及ぼす影響の軽減」</t>
    <phoneticPr fontId="3"/>
  </si>
  <si>
    <t>3.5</t>
    <phoneticPr fontId="3"/>
  </si>
  <si>
    <t>温熱環境の改善</t>
    <phoneticPr fontId="3"/>
  </si>
  <si>
    <t>3.5.1</t>
    <phoneticPr fontId="3"/>
  </si>
  <si>
    <t>建物および街区内の温熱環境を改善する</t>
    <phoneticPr fontId="3"/>
  </si>
  <si>
    <t>人の利用する空間への夏期の日射や輻射熱の抑制、風通しの確保に取組んでいる</t>
    <rPh sb="30" eb="32">
      <t>トリク</t>
    </rPh>
    <phoneticPr fontId="3"/>
  </si>
  <si>
    <t>3.6</t>
    <phoneticPr fontId="3"/>
  </si>
  <si>
    <t>健康維持・増進環境の整備</t>
    <phoneticPr fontId="3"/>
  </si>
  <si>
    <t>3.6.1</t>
    <phoneticPr fontId="3"/>
  </si>
  <si>
    <t>喫煙による健康被害を防止する</t>
    <phoneticPr fontId="3"/>
  </si>
  <si>
    <t>以下の取組みに、取組んでいない=該当項目なし、
取組んでいる=1)に該当、積極的に取組んでいる=2)または3)に該当
1) 街区全体の公共スペースにおける喫煙ルールが明確に定められ、指定された喫煙スペースのみでの喫煙が許可されている
2) 指定された喫煙所は屋外のみである
3) 屋内外を問わず街区全体が全面禁煙エリアとなっている</t>
    <phoneticPr fontId="3"/>
  </si>
  <si>
    <t>3.6.2</t>
    <phoneticPr fontId="3"/>
  </si>
  <si>
    <t>街区利用者の健康を維持・増進する</t>
    <phoneticPr fontId="3"/>
  </si>
  <si>
    <t>健康増進に寄与する施設や空間が確保されている</t>
    <rPh sb="15" eb="17">
      <t>カクホ</t>
    </rPh>
    <phoneticPr fontId="3"/>
  </si>
  <si>
    <t>Q2.3.1「健康増進施設」</t>
    <phoneticPr fontId="3"/>
  </si>
  <si>
    <r>
      <t xml:space="preserve">ゴール 4. 
</t>
    </r>
    <r>
      <rPr>
        <b/>
        <sz val="7"/>
        <rFont val="游ゴシック"/>
        <family val="3"/>
        <charset val="128"/>
      </rPr>
      <t>質の高い教育をみんなに</t>
    </r>
    <phoneticPr fontId="3"/>
  </si>
  <si>
    <t>4.1</t>
    <phoneticPr fontId="3"/>
  </si>
  <si>
    <t>学習・教育環境の確保</t>
    <phoneticPr fontId="3"/>
  </si>
  <si>
    <t>4.1.1</t>
    <phoneticPr fontId="3"/>
  </si>
  <si>
    <t>小中学校を整備する</t>
    <phoneticPr fontId="3"/>
  </si>
  <si>
    <t>以下の取組みに、取組んでいない=該当項目なし、
取組んでいる=該当項目1つ、積極的に取組んでいる=該当項目2つ
1) 小学校が街区内もしくは当該施設に最も近い街区の出入口から800ｍ未満にある
2) 中学校が街区内もしくは当該施設に最も近い街区の出入口から800ｍ未満にある</t>
    <phoneticPr fontId="3"/>
  </si>
  <si>
    <t>4.1.2</t>
    <phoneticPr fontId="3"/>
  </si>
  <si>
    <t>就学前教育機関を整備する</t>
    <phoneticPr fontId="3"/>
  </si>
  <si>
    <t>以下の取組みに、取組んでいない=該当項目なし、
取組んでいる=1)に該当、積極的に取組んでいる=2)に該当
1) 幼稚園もしくは認定こども園が当該施設に最も近い街区の出入口から800ｍ未満にある
2) 幼稚園もしくは認定こども園が街区内にある</t>
    <phoneticPr fontId="3"/>
  </si>
  <si>
    <t>4.2</t>
    <phoneticPr fontId="3"/>
  </si>
  <si>
    <t>幅広い層の教育機会の確保</t>
    <phoneticPr fontId="3"/>
  </si>
  <si>
    <t>4.2.1</t>
    <phoneticPr fontId="3"/>
  </si>
  <si>
    <t>高等教育機関を整備する</t>
    <phoneticPr fontId="3"/>
  </si>
  <si>
    <t>以下の取組みに、取組んでいない=該当項目なし、
取組んでいる=1)に該当、積極的に取組んでいる=2)に該当
1) 高等教育機関が当該施設に最も近い街区の出入口から800ｍ未満にある
2) 高等教育機関が街区内にある</t>
    <phoneticPr fontId="3"/>
  </si>
  <si>
    <t>4.2.2</t>
    <phoneticPr fontId="3"/>
  </si>
  <si>
    <t>就労に必要な技術的・職業的スキルの獲得を支援する</t>
    <phoneticPr fontId="3"/>
  </si>
  <si>
    <t>技術的・職業的スキルの獲得機会の創出に取組んでいる</t>
    <rPh sb="19" eb="21">
      <t>トリク</t>
    </rPh>
    <phoneticPr fontId="3"/>
  </si>
  <si>
    <t>Q3.2.2「学習機会」</t>
    <phoneticPr fontId="3"/>
  </si>
  <si>
    <t>4.3</t>
    <phoneticPr fontId="3"/>
  </si>
  <si>
    <t>多様な学習・教育機会の提供</t>
    <phoneticPr fontId="3"/>
  </si>
  <si>
    <t>4.3.1</t>
    <phoneticPr fontId="3"/>
  </si>
  <si>
    <t>教育機関のみに限定されない学習の手段や環境を整備する</t>
    <phoneticPr fontId="3"/>
  </si>
  <si>
    <t>4.3.2</t>
    <phoneticPr fontId="3"/>
  </si>
  <si>
    <t>環境教育に利用しやすい街区環境を整備する</t>
    <phoneticPr fontId="3"/>
  </si>
  <si>
    <r>
      <t xml:space="preserve">ゴール5.
</t>
    </r>
    <r>
      <rPr>
        <b/>
        <sz val="7"/>
        <rFont val="游ゴシック"/>
        <family val="3"/>
        <charset val="128"/>
      </rPr>
      <t>ジェンダー平等を実現しよう</t>
    </r>
    <rPh sb="11" eb="13">
      <t>ビョウドウ</t>
    </rPh>
    <rPh sb="14" eb="16">
      <t>ジツゲン</t>
    </rPh>
    <phoneticPr fontId="3"/>
  </si>
  <si>
    <t>5.1</t>
    <phoneticPr fontId="3"/>
  </si>
  <si>
    <t>あらゆる人が使いやすく安全な街区</t>
    <phoneticPr fontId="3"/>
  </si>
  <si>
    <t>5.1.1</t>
    <phoneticPr fontId="3"/>
  </si>
  <si>
    <t>性差、世代、宗教等に関わらず使いやすい街区環境を整備する</t>
    <phoneticPr fontId="3"/>
  </si>
  <si>
    <t>性差、世代、宗教等に関わらない使いやすさの観点から、ユニバーサルデザインに取組んでいる</t>
    <rPh sb="37" eb="39">
      <t>トリク</t>
    </rPh>
    <phoneticPr fontId="3"/>
  </si>
  <si>
    <t>5.1.2</t>
    <phoneticPr fontId="3"/>
  </si>
  <si>
    <t>LGBTに配慮した街区の環境と運営体制を確保する</t>
    <phoneticPr fontId="3"/>
  </si>
  <si>
    <t>5.1.3</t>
  </si>
  <si>
    <t>防犯機能を充実する</t>
    <phoneticPr fontId="3"/>
  </si>
  <si>
    <t>防犯機能の充実度について、街区におけるセキュリティ対策に取組んでいる</t>
    <rPh sb="28" eb="30">
      <t>トリク</t>
    </rPh>
    <phoneticPr fontId="3"/>
  </si>
  <si>
    <t>Q2.4.4「防犯」</t>
    <phoneticPr fontId="3"/>
  </si>
  <si>
    <t>5.2</t>
    <phoneticPr fontId="3"/>
  </si>
  <si>
    <t>家事・子育て・介護等の負担を軽減する街区構成</t>
    <phoneticPr fontId="3"/>
  </si>
  <si>
    <t>5.2.1</t>
    <phoneticPr fontId="3"/>
  </si>
  <si>
    <t>家事・子育て・介護等の負担を軽減する</t>
    <phoneticPr fontId="3"/>
  </si>
  <si>
    <t>5.3</t>
    <phoneticPr fontId="3"/>
  </si>
  <si>
    <t>あらゆる人が街区整備に関わりやすい事業環境</t>
    <phoneticPr fontId="3"/>
  </si>
  <si>
    <t>5.3.1</t>
    <phoneticPr fontId="3"/>
  </si>
  <si>
    <t>性差に関係なく街区整備に関われる条件を確保する</t>
    <phoneticPr fontId="3"/>
  </si>
  <si>
    <r>
      <t xml:space="preserve">ゴール 6.
</t>
    </r>
    <r>
      <rPr>
        <b/>
        <sz val="7"/>
        <rFont val="游ゴシック"/>
        <family val="3"/>
        <charset val="128"/>
      </rPr>
      <t>安全な水とトイレを世界中に</t>
    </r>
    <phoneticPr fontId="3"/>
  </si>
  <si>
    <t>6.1</t>
    <phoneticPr fontId="3"/>
  </si>
  <si>
    <t>水資源の効率的利用</t>
    <phoneticPr fontId="3"/>
  </si>
  <si>
    <t>6.1.1</t>
    <phoneticPr fontId="3"/>
  </si>
  <si>
    <t>節水する</t>
    <phoneticPr fontId="3"/>
  </si>
  <si>
    <t>水資源有効活用の基本事項として、対象街区における節水に取組んでいる</t>
    <rPh sb="27" eb="29">
      <t>トリク</t>
    </rPh>
    <phoneticPr fontId="3"/>
  </si>
  <si>
    <t>LR2.2.1.1「節水」</t>
    <phoneticPr fontId="3"/>
  </si>
  <si>
    <t>6.1.2</t>
    <phoneticPr fontId="3"/>
  </si>
  <si>
    <t>雨水・井水を利用する</t>
    <phoneticPr fontId="3"/>
  </si>
  <si>
    <t>上水供給量縮減の観点から、街区全体での雨水・井水の利用に取組んでいる</t>
    <rPh sb="28" eb="30">
      <t>トリク</t>
    </rPh>
    <phoneticPr fontId="3"/>
  </si>
  <si>
    <t>LR2.2.1.2「雨水/井水利用」</t>
    <phoneticPr fontId="3"/>
  </si>
  <si>
    <t>6.1.3</t>
  </si>
  <si>
    <t>中水を利用する</t>
    <phoneticPr fontId="3"/>
  </si>
  <si>
    <t>上水供給量縮減の観点から、街区全体での中水の利用に取組んでいる</t>
    <rPh sb="25" eb="27">
      <t>トリク</t>
    </rPh>
    <phoneticPr fontId="3"/>
  </si>
  <si>
    <t>LR2.2.1.3「中水利用」</t>
    <phoneticPr fontId="3"/>
  </si>
  <si>
    <t>6.2</t>
    <phoneticPr fontId="3"/>
  </si>
  <si>
    <t>水循環及び水に関わる生態系への配慮</t>
    <phoneticPr fontId="3"/>
  </si>
  <si>
    <t>6.2.1</t>
    <phoneticPr fontId="3"/>
  </si>
  <si>
    <t>街区に水域を配備するとともに緑化推進により保水力を向上する</t>
    <phoneticPr fontId="3"/>
  </si>
  <si>
    <t>街区内の地上部に対する水域と緑地の導入に取組んでいる</t>
    <rPh sb="20" eb="22">
      <t>トリク</t>
    </rPh>
    <phoneticPr fontId="3"/>
  </si>
  <si>
    <t>Q1.2.1.1「地上部の水と緑」</t>
    <phoneticPr fontId="3"/>
  </si>
  <si>
    <t>6.2.2</t>
  </si>
  <si>
    <t>街区内の水辺空間を適切に維持する</t>
    <phoneticPr fontId="3"/>
  </si>
  <si>
    <t>街区内に保全または整備されている水辺空間維持に取組んでいる</t>
    <rPh sb="23" eb="25">
      <t>トリク</t>
    </rPh>
    <phoneticPr fontId="3"/>
  </si>
  <si>
    <t>Q1.1.2.2「生物の生息空間の質」3）「水辺」</t>
    <phoneticPr fontId="3"/>
  </si>
  <si>
    <t>6.2.3</t>
  </si>
  <si>
    <t>雨水浸透に取組む</t>
    <phoneticPr fontId="3"/>
  </si>
  <si>
    <t>水循環と共に地区外の排水負荷削減にも寄与する雨水浸透に取組んでいる</t>
    <rPh sb="27" eb="29">
      <t>トリク</t>
    </rPh>
    <phoneticPr fontId="3"/>
  </si>
  <si>
    <t>LR2.2.2.2「雨水流出抑制」2）「街区内の浸透面積」</t>
    <phoneticPr fontId="3"/>
  </si>
  <si>
    <t>6.2.4</t>
  </si>
  <si>
    <t>土壌汚染に対処する</t>
    <phoneticPr fontId="3"/>
  </si>
  <si>
    <t>水循環への影響の観点から、評価対象街区における土壌汚染対策法への対応に取組んでいる</t>
    <rPh sb="35" eb="37">
      <t>トリク</t>
    </rPh>
    <phoneticPr fontId="3"/>
  </si>
  <si>
    <t>6.2.5</t>
  </si>
  <si>
    <t>自然環境を保全する</t>
    <phoneticPr fontId="3"/>
  </si>
  <si>
    <t>保全するべき動植物、自然地形、表土の生産機能の把握、及びその保全や有効利用に取組んでいる</t>
    <rPh sb="38" eb="40">
      <t>トリク</t>
    </rPh>
    <phoneticPr fontId="3"/>
  </si>
  <si>
    <t>Q1.1.1「自然環境の保全」</t>
    <phoneticPr fontId="3"/>
  </si>
  <si>
    <t>6.2.6</t>
  </si>
  <si>
    <t>生物の生息空間を確保する</t>
    <phoneticPr fontId="3"/>
  </si>
  <si>
    <t>生物の生息空間のまとまりと質、緑地計画の地域性、エコロジカルネットワークへの配慮に取組んでいる</t>
    <rPh sb="41" eb="43">
      <t>トリク</t>
    </rPh>
    <phoneticPr fontId="3"/>
  </si>
  <si>
    <t>Q1.1.2「生物の生息空間の確保」</t>
    <phoneticPr fontId="3"/>
  </si>
  <si>
    <t>6.2.7</t>
  </si>
  <si>
    <t>樹木、草地、水辺等を適切に維持管理する</t>
    <phoneticPr fontId="3"/>
  </si>
  <si>
    <t>水に関する生態系総体としての維持管理計画・マネジメントプランに取組んでいる</t>
    <rPh sb="31" eb="33">
      <t>トリク</t>
    </rPh>
    <phoneticPr fontId="3"/>
  </si>
  <si>
    <t>Q2.1.2.3「維持管理」2）「グリーンインフラの維持管理」</t>
    <phoneticPr fontId="3"/>
  </si>
  <si>
    <t>6.3</t>
    <phoneticPr fontId="3"/>
  </si>
  <si>
    <t>利用しやすいトイレ施設整備</t>
    <phoneticPr fontId="3"/>
  </si>
  <si>
    <t>6.3.1</t>
    <phoneticPr fontId="3"/>
  </si>
  <si>
    <t>公共空間におけるトイレ施設へのアクセスを確保する</t>
    <phoneticPr fontId="3"/>
  </si>
  <si>
    <t>以下の取組みに、取組んでいない=該当項目なし、
取組んでいる=1)に該当、積極的に取組んでいる=2)に該当
1) だれでも利用可能な場所にトイレ施設がある
2) だれでも利用可能な場所にユニバーサルデザインに配慮されたトイレ施設がある</t>
    <phoneticPr fontId="3"/>
  </si>
  <si>
    <t>6.4</t>
    <phoneticPr fontId="3"/>
  </si>
  <si>
    <t>衛生的な水回り環境の維持</t>
    <phoneticPr fontId="3"/>
  </si>
  <si>
    <t>6.4.1</t>
    <phoneticPr fontId="3"/>
  </si>
  <si>
    <t>水回りの衛生を維持する</t>
    <phoneticPr fontId="3"/>
  </si>
  <si>
    <t>以下の取組みに、取組んでいない=該当項目なし、
取組んでいる=該当項目1～2つ、積極的に取組んでいる=該当項目3つ以上
1) 清掃用資機材の充分な保管スペースがある
2) 清掃用資機材専用の洗い場があり、適切な排水経路が確保されている
3) 清掃後の廃棄物の保管スペースがあり、適切な搬出経路が設定されている
4) 関係スタッフ専用の詰所・休憩所がある</t>
    <rPh sb="57" eb="59">
      <t>イジョウ</t>
    </rPh>
    <phoneticPr fontId="3"/>
  </si>
  <si>
    <t>6.5</t>
    <phoneticPr fontId="3"/>
  </si>
  <si>
    <t>排水・排出に係る適切な対応</t>
    <phoneticPr fontId="3"/>
  </si>
  <si>
    <t>6.5.1</t>
    <phoneticPr fontId="3"/>
  </si>
  <si>
    <t>汚水を正しく処理する</t>
    <phoneticPr fontId="3"/>
  </si>
  <si>
    <t>6.5.2</t>
  </si>
  <si>
    <t>災害時の汚水流出を抑制する</t>
    <phoneticPr fontId="3"/>
  </si>
  <si>
    <t>6.5.3</t>
  </si>
  <si>
    <t>生態系に害を及ぼす物質の周辺水系への流出を抑制する</t>
    <phoneticPr fontId="3"/>
  </si>
  <si>
    <t>6.6</t>
    <phoneticPr fontId="3"/>
  </si>
  <si>
    <t>水の管理向上に関する地域連携</t>
    <phoneticPr fontId="3"/>
  </si>
  <si>
    <t>6.6.1</t>
    <phoneticPr fontId="3"/>
  </si>
  <si>
    <t>地域との連携も含め、水資源の管理高度化を目指す</t>
    <phoneticPr fontId="3"/>
  </si>
  <si>
    <r>
      <t xml:space="preserve">ゴール7.
</t>
    </r>
    <r>
      <rPr>
        <b/>
        <sz val="7"/>
        <rFont val="游ゴシック"/>
        <family val="3"/>
        <charset val="128"/>
      </rPr>
      <t>エネルギーをみんなに、
そしてクリーンに</t>
    </r>
    <phoneticPr fontId="3"/>
  </si>
  <si>
    <t>7.1</t>
    <phoneticPr fontId="3"/>
  </si>
  <si>
    <t>省エネルギーに資する工夫</t>
    <phoneticPr fontId="3"/>
  </si>
  <si>
    <t>7.1.1</t>
    <phoneticPr fontId="3"/>
  </si>
  <si>
    <t>建物の省エネルギー促進に取り組む</t>
    <phoneticPr fontId="3"/>
  </si>
  <si>
    <t>街区における建物の省エネルギー性能向上に取組んでいる</t>
    <rPh sb="20" eb="22">
      <t>トリク</t>
    </rPh>
    <phoneticPr fontId="3"/>
  </si>
  <si>
    <t>LR1.1「都市・街区エネルギーの効率化」</t>
    <phoneticPr fontId="3"/>
  </si>
  <si>
    <t>7.2</t>
    <phoneticPr fontId="3"/>
  </si>
  <si>
    <t>創エネルギーに資する工夫</t>
    <phoneticPr fontId="3"/>
  </si>
  <si>
    <t>7.2.1</t>
    <phoneticPr fontId="3"/>
  </si>
  <si>
    <t>再生可能エネルギーの利用を図る</t>
    <phoneticPr fontId="3"/>
  </si>
  <si>
    <t>街区における再生可能エネルギーの利用に取組んでいる</t>
    <rPh sb="19" eb="21">
      <t>トリク</t>
    </rPh>
    <phoneticPr fontId="3"/>
  </si>
  <si>
    <t>LR1.2「再生可能エネルギーの利用」
レベル3＝1点、レベル4＝2点、レベル5＝3点</t>
    <phoneticPr fontId="3"/>
  </si>
  <si>
    <t>7.2.2</t>
    <phoneticPr fontId="3"/>
  </si>
  <si>
    <t>未利用エネルギーの利用を図る</t>
    <phoneticPr fontId="3"/>
  </si>
  <si>
    <t>街区における未利用エネルギーの利用に取組んでいる</t>
    <rPh sb="18" eb="20">
      <t>トリク</t>
    </rPh>
    <phoneticPr fontId="3"/>
  </si>
  <si>
    <t>LR1.3「未利用エネルギーの利用」
レベル3＝1点、レベル4＝2点、レベル5＝3点</t>
    <phoneticPr fontId="3"/>
  </si>
  <si>
    <t>7.3</t>
    <phoneticPr fontId="3"/>
  </si>
  <si>
    <t>街区レベルでのエネルギーマネジメントの推進</t>
    <phoneticPr fontId="3"/>
  </si>
  <si>
    <t>7.3.1</t>
    <phoneticPr fontId="3"/>
  </si>
  <si>
    <t>エネルギー融通・連携により、街区内外のエネルギー効率向上を図る</t>
    <phoneticPr fontId="3"/>
  </si>
  <si>
    <t>以下の取組みに、取組んでいない=該当項目なし、
取組んでいる=該当項目1つ、積極的に取組んでいる=該当項目2つ
1) 街区全体のエネルギー効率向上に向けた計画に基づくエネルギー融通・連携
2) 街区外のエネルギー効率向上に資する、街区内外のエネルギーシステム連携</t>
    <phoneticPr fontId="3"/>
  </si>
  <si>
    <t>7.3.2</t>
    <phoneticPr fontId="3"/>
  </si>
  <si>
    <t>街区におけるエネルギーの全体最適化に取り組む</t>
    <phoneticPr fontId="3"/>
  </si>
  <si>
    <t>街区全体のエネルギー使用量のリアルタイム監視や需要側予測、これらに基づく最適制御等に取組んでいる</t>
    <rPh sb="42" eb="44">
      <t>トリク</t>
    </rPh>
    <phoneticPr fontId="3"/>
  </si>
  <si>
    <t>LR1.4.1「需給システムのスマート化」</t>
    <phoneticPr fontId="3"/>
  </si>
  <si>
    <t>7.4</t>
    <phoneticPr fontId="3"/>
  </si>
  <si>
    <t>街区内外の非常時エネルギー供給の信頼性向上</t>
    <phoneticPr fontId="3"/>
  </si>
  <si>
    <t>7.4.1</t>
    <phoneticPr fontId="3"/>
  </si>
  <si>
    <t>街区内外における非常時のエネルギー供給を確保する</t>
    <phoneticPr fontId="3"/>
  </si>
  <si>
    <t>以下の取組みに、取組んでいない=該当項目なし、
取組んでいる=該当項目1つ、積極的に取組んでいる=該当項目2つ以上
1) 街区全体のエネルギー供給の信頼性向上に向けた計画に基づくエネルギー融通・連携
2) 街区外における非常時のエネルギー供給信頼性向上に資する、街区内外のエネルギーシステム連携
3) 非常時における街区内のエネルギー供給計画の考え方を整理して文章化した上で、周知している</t>
    <rPh sb="55" eb="57">
      <t>イジョウ</t>
    </rPh>
    <phoneticPr fontId="3"/>
  </si>
  <si>
    <t>7.5</t>
    <phoneticPr fontId="3"/>
  </si>
  <si>
    <t>グリーンプロジェクトへの貢献</t>
    <phoneticPr fontId="3"/>
  </si>
  <si>
    <t>7.5.1</t>
    <phoneticPr fontId="3"/>
  </si>
  <si>
    <t>グリーンボンド/グリーンクレジット等を活用する</t>
    <phoneticPr fontId="3"/>
  </si>
  <si>
    <t>以下の取組みに、取組んでいない=該当項目なし、
取組んでいる=該当項目1つ、積極的に取組んでいる=該当項目2つ
1) グリーンポンドの発行等によりエネルギー関連新技術の導入を検討している
2) グリーンポンドの発行等によりエネルギー関連新技術を導入し、その効果を検証して報告している</t>
    <phoneticPr fontId="3"/>
  </si>
  <si>
    <r>
      <t xml:space="preserve">ゴール8.
</t>
    </r>
    <r>
      <rPr>
        <b/>
        <sz val="7"/>
        <rFont val="游ゴシック"/>
        <family val="3"/>
        <charset val="128"/>
      </rPr>
      <t>働きがいも、経済成長も</t>
    </r>
    <rPh sb="6" eb="7">
      <t>ハタラ</t>
    </rPh>
    <rPh sb="12" eb="14">
      <t>ケイザイ</t>
    </rPh>
    <rPh sb="14" eb="16">
      <t>セイチョウ</t>
    </rPh>
    <phoneticPr fontId="3"/>
  </si>
  <si>
    <t>8.1</t>
    <phoneticPr fontId="3"/>
  </si>
  <si>
    <t>知的生産性を高める環境を創出する工夫</t>
    <phoneticPr fontId="3"/>
  </si>
  <si>
    <t>8.1.1</t>
    <phoneticPr fontId="3"/>
  </si>
  <si>
    <t>知的生産性を高める環境を創る</t>
    <phoneticPr fontId="3"/>
  </si>
  <si>
    <t>以下の取組みに、取組んでいない=該当項目なし、
取組んでいる=該当項目1つ、積極的に取組んでいる=該当項目2つ以上
1) オンライン会議が可能なテレワークブース/スペースを設けている
2) 関係者間の連携や協働を促進するコワーキングスペース等を設置している
3) 疲れたときに息抜きができるリラクゼーションスペース・リフレッシュスペースを設けている</t>
    <rPh sb="55" eb="57">
      <t>イジョウ</t>
    </rPh>
    <phoneticPr fontId="3"/>
  </si>
  <si>
    <t>8.2</t>
    <phoneticPr fontId="3"/>
  </si>
  <si>
    <t>新たな経済活動機会創出への貢献</t>
    <phoneticPr fontId="3"/>
  </si>
  <si>
    <t>8.2.1</t>
    <phoneticPr fontId="3"/>
  </si>
  <si>
    <t>新たな経済活動の創出を支援する環境や仕組みを提供する</t>
    <phoneticPr fontId="3"/>
  </si>
  <si>
    <t>起業・インキュベーション、技術開発、イノベーション支援に取組んでいる</t>
    <rPh sb="28" eb="30">
      <t>トリク</t>
    </rPh>
    <phoneticPr fontId="3"/>
  </si>
  <si>
    <t>Q3.3.1.1「雇用創出」</t>
    <phoneticPr fontId="3"/>
  </si>
  <si>
    <t>Q3.3.2.1「地域産業の振興」</t>
    <phoneticPr fontId="3"/>
  </si>
  <si>
    <t>8.3</t>
    <phoneticPr fontId="3"/>
  </si>
  <si>
    <t>資源の有効的利用による循環経済の促進</t>
    <phoneticPr fontId="3"/>
  </si>
  <si>
    <t>8.3.1</t>
    <phoneticPr fontId="3"/>
  </si>
  <si>
    <t>リサイクル材を使用する</t>
    <phoneticPr fontId="3"/>
  </si>
  <si>
    <t>資源の再利用を通じたイノベーションの促進等、関連産業の経済成長に取組んでいる</t>
    <rPh sb="32" eb="34">
      <t>トリク</t>
    </rPh>
    <phoneticPr fontId="3"/>
  </si>
  <si>
    <t>LR2.3.1.2「リサイクル資材の使用(躯体、非構造材料)」</t>
    <phoneticPr fontId="3"/>
  </si>
  <si>
    <t>8.3.2</t>
  </si>
  <si>
    <t>持続可能な森林から産出された木材を使用する</t>
    <phoneticPr fontId="3"/>
  </si>
  <si>
    <t>森林認証材の市場価値の向上や、森林管理とサプライチェーンの安定化を通じた木材産業の長期的な経済成長の促進に取組んでいる</t>
    <rPh sb="53" eb="55">
      <t>トリク</t>
    </rPh>
    <phoneticPr fontId="3"/>
  </si>
  <si>
    <t>LR2.3.1.1「持続可能な森林の木材使用」</t>
    <phoneticPr fontId="3"/>
  </si>
  <si>
    <t>8.4</t>
  </si>
  <si>
    <t>建造物の長寿命化による省資源化への貢献</t>
    <phoneticPr fontId="3"/>
  </si>
  <si>
    <t>8.4.1</t>
    <phoneticPr fontId="3"/>
  </si>
  <si>
    <t>建造物を長寿命化させる</t>
    <phoneticPr fontId="3"/>
  </si>
  <si>
    <t>以下の取組みに、取組んでいない=該当項目なし、
取組んでいる=該当項目1つ、積極的に取組んでいる=該当項目2つ以上
1) 建材や仕上げ材の選定において耐久性に優れた材料を選んでいる
2) 建造物の修繕や改築に関する維持管理計画を策定している
3) 建造物の定期点検を容易にするための機器や設備の配置計画に工夫を凝らしている</t>
    <phoneticPr fontId="3"/>
  </si>
  <si>
    <t>8.5</t>
  </si>
  <si>
    <t>地域資源の積極的利用</t>
    <phoneticPr fontId="3"/>
  </si>
  <si>
    <t>8.5.1</t>
    <phoneticPr fontId="3"/>
  </si>
  <si>
    <t>地域ビジネスを活用して雇用機会を創出する</t>
    <phoneticPr fontId="3"/>
  </si>
  <si>
    <t>以下の取組みに、取組んでいない=該当項目なし、
積極的に取組んでいる=該当項目あり
1) 地域事業者に自社商品やサービスを市場に展開する機会を提供し、地域産業の活性化に努めている</t>
    <phoneticPr fontId="3"/>
  </si>
  <si>
    <t>8.6</t>
  </si>
  <si>
    <t>金融や社会資本開発との健全な連携</t>
    <phoneticPr fontId="3"/>
  </si>
  <si>
    <t>8.6.1</t>
    <phoneticPr fontId="3"/>
  </si>
  <si>
    <t>地域の状況に応じた金融等の支援方策を創出・導入する</t>
    <phoneticPr fontId="3"/>
  </si>
  <si>
    <t>以下の取組みに、取組んでいない=該当項目なし、
積極的に取組んでいる=該当項目あり
1) 交通、水道、教育施設等に関わる公共投資と街区開発との合理的連携が図られている
2) 融資や補助では、透明性・公平性を確保しながら地域の事情に配慮したガイドライン等がある</t>
    <phoneticPr fontId="3"/>
  </si>
  <si>
    <r>
      <t xml:space="preserve">ゴール9.
</t>
    </r>
    <r>
      <rPr>
        <b/>
        <sz val="7"/>
        <rFont val="游ゴシック"/>
        <family val="3"/>
        <charset val="128"/>
      </rPr>
      <t>産業と革新の基盤をつくろう</t>
    </r>
    <rPh sb="6" eb="8">
      <t>サンギョウ</t>
    </rPh>
    <rPh sb="9" eb="11">
      <t>カクシン</t>
    </rPh>
    <rPh sb="12" eb="14">
      <t>キバン</t>
    </rPh>
    <phoneticPr fontId="3"/>
  </si>
  <si>
    <t>9.1</t>
    <phoneticPr fontId="3"/>
  </si>
  <si>
    <t>9.1.1</t>
    <phoneticPr fontId="3"/>
  </si>
  <si>
    <t>質量ともに適切な交通施設を確保し、また交通インフラ全体の高度化に取組んでいる</t>
    <rPh sb="32" eb="34">
      <t>トリク</t>
    </rPh>
    <phoneticPr fontId="3"/>
  </si>
  <si>
    <t>Q3.1.2.1「交通施設整備」</t>
    <phoneticPr fontId="3"/>
  </si>
  <si>
    <t>Q3.1.2.2「公共交通指向型開発」</t>
    <phoneticPr fontId="3"/>
  </si>
  <si>
    <t>Q3.1.2.3「モビリティサービス」</t>
    <phoneticPr fontId="3"/>
  </si>
  <si>
    <t>9.2</t>
    <phoneticPr fontId="3"/>
  </si>
  <si>
    <t>災害対応システムの構築</t>
    <phoneticPr fontId="3"/>
  </si>
  <si>
    <t>9.2.1</t>
    <phoneticPr fontId="219"/>
  </si>
  <si>
    <t>防災対策を強化する</t>
    <phoneticPr fontId="3"/>
  </si>
  <si>
    <t>各種ハザードマップ等から得られる情報を活用し、地震・火災・風水害等に耐えうる各種インフラの災害に対する事前対策を講じる防災性能確保に取組んでいる</t>
    <rPh sb="66" eb="68">
      <t>トリク</t>
    </rPh>
    <phoneticPr fontId="3"/>
  </si>
  <si>
    <t>Q2.4.1.2「各種インフラの防災性能」</t>
    <phoneticPr fontId="3"/>
  </si>
  <si>
    <t>9.2.2</t>
  </si>
  <si>
    <t>発災後の継続計画（BCP・LCP）を整備する</t>
    <phoneticPr fontId="3"/>
  </si>
  <si>
    <t>街区のレジリエンス性能の向上のため、発災後の街区内の生活・業務の継続計画に取組んでいる</t>
    <rPh sb="37" eb="39">
      <t>トリク</t>
    </rPh>
    <phoneticPr fontId="3"/>
  </si>
  <si>
    <t>Q2.4.2「発災後の対応性能」</t>
    <phoneticPr fontId="3"/>
  </si>
  <si>
    <t>9.3</t>
    <phoneticPr fontId="3"/>
  </si>
  <si>
    <t>イノベーション促進への支援</t>
    <phoneticPr fontId="3"/>
  </si>
  <si>
    <t>街区の情報環境の高度化に取り組む</t>
    <phoneticPr fontId="3"/>
  </si>
  <si>
    <t>9.4</t>
    <phoneticPr fontId="3"/>
  </si>
  <si>
    <t>地域産業の振興</t>
    <phoneticPr fontId="3"/>
  </si>
  <si>
    <t>9.4.1</t>
    <phoneticPr fontId="3"/>
  </si>
  <si>
    <t>地域産業の成長を支援する</t>
    <phoneticPr fontId="3"/>
  </si>
  <si>
    <t>経済活性化プログラム等、地域産業の振興に取組んでいる</t>
    <rPh sb="20" eb="22">
      <t>トリク</t>
    </rPh>
    <phoneticPr fontId="3"/>
  </si>
  <si>
    <t>9.4.2</t>
    <phoneticPr fontId="3"/>
  </si>
  <si>
    <t>知的生産性を高めるために有用な環境を整備する</t>
    <phoneticPr fontId="3"/>
  </si>
  <si>
    <t>9.5</t>
    <phoneticPr fontId="3"/>
  </si>
  <si>
    <t>最先端技術の積極的活用によるイノベーション機運の醸成</t>
    <phoneticPr fontId="3"/>
  </si>
  <si>
    <t>9.5.1</t>
    <phoneticPr fontId="3"/>
  </si>
  <si>
    <t>最先端技術の活用を通じてイノベーションを促進する</t>
    <phoneticPr fontId="3"/>
  </si>
  <si>
    <t>以下の取組みに、取組んでいない=該当項目なし、
積極的に取組んでいる=該当項目あり
1) 持続可能性に配慮した調達コード等を独自に策定した上で、最新の技術を利用した計画・設計、材料、システム等を採用している</t>
    <phoneticPr fontId="3"/>
  </si>
  <si>
    <r>
      <t xml:space="preserve">ゴール10.
</t>
    </r>
    <r>
      <rPr>
        <b/>
        <sz val="7"/>
        <rFont val="游ゴシック"/>
        <family val="3"/>
        <charset val="128"/>
      </rPr>
      <t>人や国の不平等をなくそう</t>
    </r>
    <rPh sb="7" eb="8">
      <t>ヒト</t>
    </rPh>
    <rPh sb="9" eb="10">
      <t>クニ</t>
    </rPh>
    <rPh sb="11" eb="14">
      <t>フビョウドウ</t>
    </rPh>
    <phoneticPr fontId="3"/>
  </si>
  <si>
    <r>
      <t xml:space="preserve">ゴール11.
</t>
    </r>
    <r>
      <rPr>
        <b/>
        <sz val="7"/>
        <rFont val="游ゴシック"/>
        <family val="3"/>
        <charset val="128"/>
      </rPr>
      <t>住続けられるまちづくりを</t>
    </r>
    <phoneticPr fontId="3"/>
  </si>
  <si>
    <t>11.1</t>
    <phoneticPr fontId="3"/>
  </si>
  <si>
    <t>アフォーダブル住宅、低所得者向け住宅等の計画と供給</t>
    <phoneticPr fontId="3"/>
  </si>
  <si>
    <t>11.1.1</t>
    <phoneticPr fontId="3"/>
  </si>
  <si>
    <t>入居し易い経済条件の住宅等を導入する</t>
    <phoneticPr fontId="3"/>
  </si>
  <si>
    <t>アフォーダブル住宅、地域優先住宅等、多様な住宅供給に取組んでいる</t>
    <rPh sb="26" eb="28">
      <t>トリク</t>
    </rPh>
    <phoneticPr fontId="3"/>
  </si>
  <si>
    <t>Q2.5.2「多様な住宅の供給」</t>
    <phoneticPr fontId="3"/>
  </si>
  <si>
    <t>11.1.2</t>
    <phoneticPr fontId="3"/>
  </si>
  <si>
    <t>買物弱者にも対応可能な食品等提供サービスを確保する</t>
    <phoneticPr fontId="3"/>
  </si>
  <si>
    <t>商業施設へのアクセス確保に取組んでいる</t>
    <rPh sb="10" eb="12">
      <t>カクホ</t>
    </rPh>
    <rPh sb="13" eb="15">
      <t>トリク</t>
    </rPh>
    <phoneticPr fontId="3"/>
  </si>
  <si>
    <t>Q2.2.1「商業施設」</t>
    <phoneticPr fontId="3"/>
  </si>
  <si>
    <t>11.2</t>
    <phoneticPr fontId="3"/>
  </si>
  <si>
    <t>交通事故防止、公共交通との連携</t>
    <phoneticPr fontId="3"/>
  </si>
  <si>
    <t>11.2.1</t>
    <phoneticPr fontId="3"/>
  </si>
  <si>
    <t>交通事故が起きにくい空間を整備する</t>
    <phoneticPr fontId="3"/>
  </si>
  <si>
    <t>11.2.2</t>
    <phoneticPr fontId="3"/>
  </si>
  <si>
    <t>公共交通機関が利用しやすい環境を整備する</t>
    <phoneticPr fontId="3"/>
  </si>
  <si>
    <t>鉄道駅やバス停へのアクセス確保に取組んでいる</t>
    <rPh sb="13" eb="15">
      <t>カクホ</t>
    </rPh>
    <rPh sb="16" eb="18">
      <t>トリク</t>
    </rPh>
    <phoneticPr fontId="3"/>
  </si>
  <si>
    <t>Q2.2.2「公共交通施設」</t>
    <phoneticPr fontId="3"/>
  </si>
  <si>
    <t>11.3</t>
    <phoneticPr fontId="3"/>
  </si>
  <si>
    <t>パブリックインボルブメント</t>
    <phoneticPr fontId="3"/>
  </si>
  <si>
    <t>11.3.1</t>
    <phoneticPr fontId="3"/>
  </si>
  <si>
    <t>街区の計画／運営に多様な主体が参画・連携している</t>
    <phoneticPr fontId="3"/>
  </si>
  <si>
    <t>当該街区の開発／運営主体である企業・団体等に加えて、地域のNGOや住民、自治体等が計画や地域の運営参画に取組んでいる</t>
    <rPh sb="52" eb="54">
      <t>トリク</t>
    </rPh>
    <phoneticPr fontId="3"/>
  </si>
  <si>
    <t>Q3.3.3「多様な主体の連携」</t>
    <phoneticPr fontId="3"/>
  </si>
  <si>
    <t>11.3.2</t>
    <phoneticPr fontId="3"/>
  </si>
  <si>
    <t>特に、自治体及び街区周辺住民の持続的参画に有効な方策を講じている</t>
    <phoneticPr fontId="3"/>
  </si>
  <si>
    <t>11.4</t>
    <phoneticPr fontId="3"/>
  </si>
  <si>
    <t>地域の歴史性の継承</t>
    <phoneticPr fontId="3"/>
  </si>
  <si>
    <t>11.4.1</t>
    <phoneticPr fontId="3"/>
  </si>
  <si>
    <t>地域の歴史・文化資産を継承する</t>
    <phoneticPr fontId="3"/>
  </si>
  <si>
    <t>地域の豊かな生活環境形成や地域産業の活性化に寄与するため、歴史的空間などを保全し、積極的な活用に取組んでいる</t>
    <rPh sb="48" eb="50">
      <t>トリク</t>
    </rPh>
    <phoneticPr fontId="3"/>
  </si>
  <si>
    <t>Q2.5.1「地域の歴史・文化との融和」</t>
    <phoneticPr fontId="3"/>
  </si>
  <si>
    <t>11.5</t>
    <phoneticPr fontId="3"/>
  </si>
  <si>
    <t>自然資源保全への配慮</t>
    <phoneticPr fontId="3"/>
  </si>
  <si>
    <t>11.5.1</t>
    <phoneticPr fontId="3"/>
  </si>
  <si>
    <t>街区の自然資源を把握し必要な保全措置をとる</t>
    <phoneticPr fontId="3"/>
  </si>
  <si>
    <t>自然資源に関して、動植物、地形地質、エコロジカルネットワークを含め、多角的に調査把握し、必要な場合は適切な保全に取組んでいる</t>
    <rPh sb="56" eb="58">
      <t>トリク</t>
    </rPh>
    <phoneticPr fontId="3"/>
  </si>
  <si>
    <t>11.6</t>
    <phoneticPr fontId="3"/>
  </si>
  <si>
    <t>まちなみ・景観に配慮したアーバンデザイン</t>
    <phoneticPr fontId="3"/>
  </si>
  <si>
    <t>11.6.1</t>
    <phoneticPr fontId="3"/>
  </si>
  <si>
    <t>良好な街並み・景観形成に貢献する</t>
    <phoneticPr fontId="3"/>
  </si>
  <si>
    <t>対象街区が、周辺地域と調和し、良好な街並み・景観を創出するためにどのような貢献を行っているか</t>
    <phoneticPr fontId="3"/>
  </si>
  <si>
    <t>11.7</t>
    <phoneticPr fontId="3"/>
  </si>
  <si>
    <t>レジリエントデザインの導入</t>
    <phoneticPr fontId="3"/>
  </si>
  <si>
    <t>11.7.1</t>
    <phoneticPr fontId="3"/>
  </si>
  <si>
    <t>街区の立地特性をレジリエンスの観点から適切に把握する</t>
    <phoneticPr fontId="3"/>
  </si>
  <si>
    <t>ハザードマップ等で対象街区の災害リスクを把握し、必要な対策を講じている</t>
    <phoneticPr fontId="3"/>
  </si>
  <si>
    <t>Q2.4.1.1「災害への対応」</t>
    <phoneticPr fontId="3"/>
  </si>
  <si>
    <t>11.7.2</t>
  </si>
  <si>
    <t>街区を支えるインフラのレジリエンス性能を確保する</t>
    <phoneticPr fontId="3"/>
  </si>
  <si>
    <t>上下水、電気通信、エネルギー等の強靱性に取組んでいる</t>
    <rPh sb="20" eb="22">
      <t>トリク</t>
    </rPh>
    <phoneticPr fontId="3"/>
  </si>
  <si>
    <t>11.7.3</t>
  </si>
  <si>
    <t>発災時の安全確保と事後の復旧に備える</t>
    <phoneticPr fontId="3"/>
  </si>
  <si>
    <t>災害に見舞われた際の、街区の居住者、就業者、来訪者の避難等安全確保、及び復旧について、予め適切な方策の準備に取組んでいる</t>
    <rPh sb="51" eb="53">
      <t>ジュンビ</t>
    </rPh>
    <rPh sb="54" eb="56">
      <t>トリク</t>
    </rPh>
    <phoneticPr fontId="3"/>
  </si>
  <si>
    <t>Q2.4.1.3「防災空地・避難路」</t>
    <phoneticPr fontId="3"/>
  </si>
  <si>
    <t>11.7.4</t>
  </si>
  <si>
    <t>グリーンインフラのベースとなる地形条件を確保し、維持する</t>
    <phoneticPr fontId="3"/>
  </si>
  <si>
    <t>①開発に先立ち対象街区で保全すべき地形を把握し、人工的改変を最小限にする。</t>
    <phoneticPr fontId="3"/>
  </si>
  <si>
    <t>Q1.1.1.2「地形の保全」</t>
    <phoneticPr fontId="3"/>
  </si>
  <si>
    <t>②前項とともに、土壌についても調査把握し、表土の保全を行う。</t>
    <phoneticPr fontId="3"/>
  </si>
  <si>
    <t>③地域の生態系に配慮した緑地・外構計画とする。</t>
    <phoneticPr fontId="3"/>
  </si>
  <si>
    <t>Q1.1.2.3「地域性への配慮」</t>
    <phoneticPr fontId="3"/>
  </si>
  <si>
    <t>④樹木、草地、水辺など、対象街区の自然環境を適切に維持・管理している</t>
    <phoneticPr fontId="3"/>
  </si>
  <si>
    <t>Q2.1.2.3の2）「グリーンインフラの維持管理」</t>
    <phoneticPr fontId="3"/>
  </si>
  <si>
    <t>11.8</t>
    <phoneticPr fontId="3"/>
  </si>
  <si>
    <t>周辺環境への配慮・負荷削減</t>
    <phoneticPr fontId="3"/>
  </si>
  <si>
    <t>11.8.1</t>
    <phoneticPr fontId="3"/>
  </si>
  <si>
    <t>大気汚染防止に貢献する</t>
    <phoneticPr fontId="3"/>
  </si>
  <si>
    <t>空気環境を良好に保つため、大気汚染を防止に取組んでいる</t>
    <rPh sb="21" eb="23">
      <t>トリク</t>
    </rPh>
    <phoneticPr fontId="3"/>
  </si>
  <si>
    <t>LR3.3.2「対象区域外に対する大気汚染の防止」</t>
    <phoneticPr fontId="3"/>
  </si>
  <si>
    <t>11.8.2</t>
  </si>
  <si>
    <t>11.8.3</t>
  </si>
  <si>
    <t>雨水の流出を抑制する</t>
    <phoneticPr fontId="3"/>
  </si>
  <si>
    <t>短時間豪雨時などに水害の発生を抑制するため、対象街区内での流出抑制対策に取組んでいる</t>
    <rPh sb="36" eb="38">
      <t>トリク</t>
    </rPh>
    <phoneticPr fontId="3"/>
  </si>
  <si>
    <t>LR2.2.2.2「雨水流出抑制」</t>
    <phoneticPr fontId="3"/>
  </si>
  <si>
    <t>11.8.4</t>
  </si>
  <si>
    <t>土壌汚染を防ぐ</t>
    <phoneticPr fontId="3"/>
  </si>
  <si>
    <t>土壌汚染抑制に取組んでいる</t>
    <rPh sb="7" eb="9">
      <t>トリク</t>
    </rPh>
    <phoneticPr fontId="3"/>
  </si>
  <si>
    <t>11.8.5</t>
  </si>
  <si>
    <t>騒音・振動・悪臭を低減する</t>
    <phoneticPr fontId="3"/>
  </si>
  <si>
    <t>① 騒音規制法または大規模小売店舗立地法、地域の条例等に定める現行の規制基準を大幅に下回る工夫をしている。</t>
    <phoneticPr fontId="3"/>
  </si>
  <si>
    <t>② 振動規制法や地域の条例等に定める現行の規制基準を大幅に下回る工夫をしている。</t>
    <phoneticPr fontId="3"/>
  </si>
  <si>
    <t>③ 悪臭防止法や地域の条例等に定める特定悪臭物質の濃度の許容限度の値を満たす工夫をしている。</t>
    <phoneticPr fontId="3"/>
  </si>
  <si>
    <t>11.8.6</t>
  </si>
  <si>
    <t xml:space="preserve"> 風害・日照阻害を低減する</t>
    <phoneticPr fontId="3"/>
  </si>
  <si>
    <t>① 風害を抑制するための工夫をしている。</t>
    <phoneticPr fontId="3"/>
  </si>
  <si>
    <t>② 日照阻害を抑制するための工夫をしている。</t>
    <phoneticPr fontId="3"/>
  </si>
  <si>
    <t>11.8.7</t>
  </si>
  <si>
    <t>光害を低減する</t>
    <phoneticPr fontId="3"/>
  </si>
  <si>
    <t>夜間の照明やグレアの影響低減に取組んでいる</t>
    <rPh sb="15" eb="17">
      <t>トリク</t>
    </rPh>
    <phoneticPr fontId="3"/>
  </si>
  <si>
    <t>LR3.3.6「対象区域外に対する光害の抑制」</t>
    <phoneticPr fontId="3"/>
  </si>
  <si>
    <t>11.8.8</t>
  </si>
  <si>
    <t>周辺への熱的影響を低減する</t>
    <phoneticPr fontId="3"/>
  </si>
  <si>
    <t>建物や外構に関するヒートアイランド化を抑制する対策に取組んでいる</t>
    <rPh sb="26" eb="28">
      <t>トリク</t>
    </rPh>
    <phoneticPr fontId="3"/>
  </si>
  <si>
    <t>LR3.3.1「ヒートアイランドの緩和」</t>
    <phoneticPr fontId="3"/>
  </si>
  <si>
    <t>11.8.9</t>
  </si>
  <si>
    <t>周辺への化学物質の飛散を低減する</t>
    <phoneticPr fontId="3"/>
  </si>
  <si>
    <t>11.9</t>
    <phoneticPr fontId="3"/>
  </si>
  <si>
    <t>11.9.1</t>
    <phoneticPr fontId="3"/>
  </si>
  <si>
    <t>公園緑地や公共空間を適切量確保し、維持する</t>
    <phoneticPr fontId="3"/>
  </si>
  <si>
    <t>①公園やスポーツ施設を街区内で整備、または近傍にて確保する。</t>
    <phoneticPr fontId="3"/>
  </si>
  <si>
    <t>②公民館、集会所などを街区内で整備、または近傍にて確保する。</t>
    <phoneticPr fontId="3"/>
  </si>
  <si>
    <t>Q2.3.4「コミュニティ施設」</t>
    <phoneticPr fontId="3"/>
  </si>
  <si>
    <t>③行政サービスを提供し得る施設を街区内で整備、または近傍にて確保する。</t>
    <phoneticPr fontId="3"/>
  </si>
  <si>
    <t>Q2.2.4「行政施設」</t>
    <phoneticPr fontId="3"/>
  </si>
  <si>
    <t>④上記の諸機能・諸施設について、適切に維持管理している。</t>
    <phoneticPr fontId="3"/>
  </si>
  <si>
    <t>Q2.1.2.3の1）「街区施設等の維持管理」</t>
    <phoneticPr fontId="3"/>
  </si>
  <si>
    <t>公園緑地や公共空間に誰もがアクセスしやすい仕組みを確保、維持する</t>
    <phoneticPr fontId="3"/>
  </si>
  <si>
    <t>分かりやすい案内やユニバーサルデザインで、誰もがアクセスしやすい基本条件を整備・維持しているか</t>
    <phoneticPr fontId="3"/>
  </si>
  <si>
    <t>11.10</t>
    <phoneticPr fontId="3"/>
  </si>
  <si>
    <t>11.10.1</t>
    <phoneticPr fontId="3"/>
  </si>
  <si>
    <t>対象街区の建築物の屋上及び外壁の緑化に取組んでいる</t>
    <rPh sb="19" eb="21">
      <t>トリク</t>
    </rPh>
    <phoneticPr fontId="3"/>
  </si>
  <si>
    <t>11.11</t>
    <phoneticPr fontId="3"/>
  </si>
  <si>
    <t>住宅・建築物の環境性能評価・認証</t>
    <phoneticPr fontId="3"/>
  </si>
  <si>
    <t>11.11.1</t>
    <phoneticPr fontId="3"/>
  </si>
  <si>
    <t>環境配慮建築のラベリング・認証を活用する</t>
    <phoneticPr fontId="3"/>
  </si>
  <si>
    <t>環境配慮建築のラベリングや認証制度の積極的な活用に取組んでいる</t>
    <rPh sb="25" eb="27">
      <t>トリク</t>
    </rPh>
    <phoneticPr fontId="3"/>
  </si>
  <si>
    <t>Q1.3「建築物における環境配慮」</t>
    <phoneticPr fontId="3"/>
  </si>
  <si>
    <t>周辺の都市・地域政策との連携・融合</t>
    <phoneticPr fontId="3"/>
  </si>
  <si>
    <t>プロジェクトの存在や状況を、周辺広域と融和させる努力をしている</t>
    <phoneticPr fontId="3"/>
  </si>
  <si>
    <t>対象街区が周辺地域と調和し、周辺地域を含めた都市環境の品質維持向上に取組んでいる</t>
    <rPh sb="34" eb="36">
      <t>トリク</t>
    </rPh>
    <phoneticPr fontId="3"/>
  </si>
  <si>
    <t>Q3.1.1.2「スマートロケーション」</t>
  </si>
  <si>
    <t>周辺広域と対象街区との融和が適切か継続的にチェックする</t>
    <phoneticPr fontId="3"/>
  </si>
  <si>
    <t>以下の取組みに、取組んでいない=該当項目なし、
取組んでいる=該当項目1つ、積極的に取組んでいる=該当項目2つ以上
1) 自治体が加わった第3セクター方式で事業している。または（第3セクターでない場合でも）事業主体が自治体と計画・運営に関する永続的な協議組織を設置している
2) 計画や運営に関して、事業主体と周辺住民との永続的な協議組織が設置されている
3)  1）において、当該プロジェクト立地市町村だけでなく、隣接市町村や都道府県も関与している</t>
    <rPh sb="55" eb="57">
      <t>イジョウ</t>
    </rPh>
    <phoneticPr fontId="3"/>
  </si>
  <si>
    <t>農業環境を保全する</t>
    <phoneticPr fontId="3"/>
  </si>
  <si>
    <t>以下の取組みに、取組んでいない=該当項目なし、
取組んでいる=該当項目1つ、積極的に取組んでいる=該当項目2つ以上
1) 生産緑地として指定された土地を保全し、都市型農地としての機能を維持している
2) ブラウンフィールドの流通・利活用のために、土壌汚染対策をしている
3) 地域の農業者との連携・共存を図り、農地拡大に努めている</t>
    <rPh sb="55" eb="57">
      <t>イジョウ</t>
    </rPh>
    <phoneticPr fontId="3"/>
  </si>
  <si>
    <t>海辺の生態系を保全する</t>
    <phoneticPr fontId="3"/>
  </si>
  <si>
    <t>以下の取組みに、取組んでいない=該当項目なし、
取組んでいる=該当項目1つ、積極的に取組んでいる=該当項目2つ以上
1) マングローブの植林や干潟の保全など、自然の生態系を活用して海岸線の保護と改善を図る
2) 防波堤や砂州の建設など、工学的な対策手段を活用して海岸線の保護と改善を図る
3) 海辺の環境に配慮した土地利用計画や開発規制を設ける</t>
    <rPh sb="55" eb="57">
      <t>イジョウ</t>
    </rPh>
    <phoneticPr fontId="3"/>
  </si>
  <si>
    <t>ブラウンフィールドを活用している</t>
    <phoneticPr fontId="3"/>
  </si>
  <si>
    <t>保全すべき優良農地等は保全し、持続可能性の高いコンパクトなまちづくりを目指す取組みとして、対象街区でブラウンフィールドの土地利用に取組んでいる</t>
    <rPh sb="65" eb="67">
      <t>トリク</t>
    </rPh>
    <phoneticPr fontId="3"/>
  </si>
  <si>
    <r>
      <t xml:space="preserve">ゴール12.
</t>
    </r>
    <r>
      <rPr>
        <b/>
        <sz val="7"/>
        <rFont val="游ゴシック"/>
        <family val="3"/>
        <charset val="128"/>
      </rPr>
      <t>つくる責任、つかう責任</t>
    </r>
    <phoneticPr fontId="3"/>
  </si>
  <si>
    <t>12.1</t>
    <phoneticPr fontId="3"/>
  </si>
  <si>
    <t>街区の適正な運用・管理</t>
    <phoneticPr fontId="3"/>
  </si>
  <si>
    <t>12.1.1</t>
    <phoneticPr fontId="3"/>
  </si>
  <si>
    <t>街区の資産・設備・資源の効果的な運用を図る</t>
    <phoneticPr fontId="3"/>
  </si>
  <si>
    <t>以下の取組みに、取組んでいない=該当項目なし、
取組んでいる=該当項目1つ、積極的に取組んでいる=該当項目2つ以上
1) 運用の組織、体制、管理方針が計画され、かつ運用管理体制が組織化され、責任者が指名されている
2) 中長期定期点検（アフターサービスなども含む）　を行っている
3) 地域イベントなどを定期的に企画運営している</t>
    <rPh sb="55" eb="57">
      <t>イジョウ</t>
    </rPh>
    <phoneticPr fontId="3"/>
  </si>
  <si>
    <t>12.1.2</t>
    <phoneticPr fontId="3"/>
  </si>
  <si>
    <t>街区の資産を適切に維持管理する</t>
    <phoneticPr fontId="3"/>
  </si>
  <si>
    <t>維持管理計画・マネジメントプランに取組んでいる</t>
    <rPh sb="17" eb="19">
      <t>トリク</t>
    </rPh>
    <phoneticPr fontId="3"/>
  </si>
  <si>
    <t>Q2.1.2.3「維持管理」1）「街区施設等の維持管理」</t>
    <phoneticPr fontId="3"/>
  </si>
  <si>
    <t>12.2</t>
    <phoneticPr fontId="3"/>
  </si>
  <si>
    <t>持続可能な資材の活用</t>
    <phoneticPr fontId="3"/>
  </si>
  <si>
    <t>12.2.1</t>
    <phoneticPr fontId="3"/>
  </si>
  <si>
    <t>以下の取組みに、取組んでいない=該当項目なし、
取組んでいる=該当項目1つ、積極的に取組んでいる=該当項目2つ以上
1) 持続可能な生産体制の整った建材（森林認証材等）を利用している
2) 躯体、非構造部材（家具含まず）において、リユース建材を複数の建物で採用している
3) 外構計画において、リユース建材を街区の広い範囲で採用している
4) 躯体・外装材、内装材において、リサイクル率の通常より高い採用が複数の建物で行われ建設されている</t>
    <rPh sb="55" eb="57">
      <t>イジョウ</t>
    </rPh>
    <phoneticPr fontId="3"/>
  </si>
  <si>
    <t>12.3</t>
    <phoneticPr fontId="3"/>
  </si>
  <si>
    <t>食料廃棄の削減</t>
    <phoneticPr fontId="3"/>
  </si>
  <si>
    <t>12.3.1</t>
    <phoneticPr fontId="3"/>
  </si>
  <si>
    <t>食料廃棄の削減に取組む</t>
    <phoneticPr fontId="3"/>
  </si>
  <si>
    <t>街区内に飲食施設がある場合、当該施設でのフードロス削減に取組んでいる</t>
    <rPh sb="28" eb="30">
      <t>トリク</t>
    </rPh>
    <phoneticPr fontId="3"/>
  </si>
  <si>
    <t>12.4</t>
    <phoneticPr fontId="3"/>
  </si>
  <si>
    <t>有害物質の使用削減、拡散防止</t>
    <phoneticPr fontId="3"/>
  </si>
  <si>
    <t>12.4.1</t>
    <phoneticPr fontId="3"/>
  </si>
  <si>
    <t>有害物質の使用抑制と適正管理に努める</t>
    <phoneticPr fontId="3"/>
  </si>
  <si>
    <t>以下の取組みに、取組んでいない=該当項目なし、
取組んでいる=該当項目1つ、積極的に取組んでいる=該当項目2つ以上
1) 有害物質を含まない建材を2つ以上採用している（グリーン購入法の特定調達品目、エコマーク認定品を導入）
2) 既存建物においてアスベストの適正処理を行っている
3) シックハウスの原因となるホルムアルデヒドやその他のVOC（揮発性有機化合物）を持ち込んでいない
4) PCB廃棄物の保管届出、処理の実施（2027年3月まで）を行っている
5) 土壌汚染の調査を行い、必要な場合は拡散防止の措置を行っている　</t>
    <rPh sb="55" eb="57">
      <t>イジョウ</t>
    </rPh>
    <phoneticPr fontId="3"/>
  </si>
  <si>
    <t>12.4.2</t>
    <phoneticPr fontId="3"/>
  </si>
  <si>
    <t>地域の生活環境を良好に保つため、大気汚染を防止する対策に取組んでいる</t>
    <rPh sb="28" eb="30">
      <t>トリク</t>
    </rPh>
    <phoneticPr fontId="3"/>
  </si>
  <si>
    <t>12.5</t>
    <phoneticPr fontId="3"/>
  </si>
  <si>
    <t>リサイクル等推進による廃棄物削減</t>
    <phoneticPr fontId="3"/>
  </si>
  <si>
    <t>12.5.1</t>
    <phoneticPr fontId="3"/>
  </si>
  <si>
    <t>建設時にリサイクル資材を活用する</t>
    <phoneticPr fontId="3"/>
  </si>
  <si>
    <t>街区整備時の建築物、外構・屋外用品、全てにわたってのリサイクル資材の利用に取組んでいる</t>
    <rPh sb="37" eb="39">
      <t>トリク</t>
    </rPh>
    <phoneticPr fontId="3"/>
  </si>
  <si>
    <t>LR2.3.1.2「リサイクル資材の使用」</t>
    <phoneticPr fontId="3"/>
  </si>
  <si>
    <t>12.5.2</t>
  </si>
  <si>
    <t>建設時に各種資源を有効活用し廃棄の削減に努める</t>
    <phoneticPr fontId="3"/>
  </si>
  <si>
    <t>以下の取組みに、取組んでいない=該当項目なし、
取組んでいる=該当項目1つ、積極的に取組んでいる=該当項目2つ以上
1) 建設時における電力使用の削減やグリーン電力調達
2) 建設時における軽油などの燃料使用の削減、代替燃料への取組み
3) 建設時における水使用、排水量の削減
4) 建設時における残土搬出の削減
5) 将来解体廃棄時のCO2排出量の予測</t>
    <rPh sb="55" eb="57">
      <t>イジョウ</t>
    </rPh>
    <phoneticPr fontId="3"/>
  </si>
  <si>
    <t>12.5.3</t>
  </si>
  <si>
    <t>ゴミの分別回収を推進する</t>
    <phoneticPr fontId="3"/>
  </si>
  <si>
    <t>12.6</t>
    <phoneticPr fontId="3"/>
  </si>
  <si>
    <t>持続可能性に関する定期的報告</t>
    <phoneticPr fontId="3"/>
  </si>
  <si>
    <t>12.6.1</t>
    <phoneticPr fontId="3"/>
  </si>
  <si>
    <t>持続可能な整備・運用への取組みを定期的に報告する</t>
    <phoneticPr fontId="3"/>
  </si>
  <si>
    <t>以下の取組みに、取組んでいない=該当項目なし、
取組んでいる=該当項目1つ、積極的に取組んでいる=該当項目2つ以上
1) 調達状況全般のモニタリングと定期的公表を行っている（整備段階）
2) 調達状況全般のモニタリングと定期的公表を行っている（運用段階）
3) リサイクル実施状況のモニタリングと定期的公表を行っている</t>
    <rPh sb="55" eb="57">
      <t>イジョウ</t>
    </rPh>
    <phoneticPr fontId="3"/>
  </si>
  <si>
    <t>12.7</t>
    <phoneticPr fontId="3"/>
  </si>
  <si>
    <t>啓発活動</t>
    <phoneticPr fontId="3"/>
  </si>
  <si>
    <t>12.7.1</t>
    <phoneticPr fontId="3"/>
  </si>
  <si>
    <t>持続可能な開発に関わる情報発信・啓発を行なう</t>
    <phoneticPr fontId="3"/>
  </si>
  <si>
    <t>12.7.2</t>
  </si>
  <si>
    <t>自然と調和したライフスタイルを奨励・啓発する</t>
    <phoneticPr fontId="3"/>
  </si>
  <si>
    <r>
      <t xml:space="preserve">ゴール13.
</t>
    </r>
    <r>
      <rPr>
        <b/>
        <sz val="7"/>
        <rFont val="游ゴシック"/>
        <family val="3"/>
        <charset val="128"/>
      </rPr>
      <t>気候変動に具体的な対策を</t>
    </r>
    <phoneticPr fontId="3"/>
  </si>
  <si>
    <t>13.1</t>
    <phoneticPr fontId="3"/>
  </si>
  <si>
    <t>都市空間の暑熱化の抑制</t>
    <phoneticPr fontId="3"/>
  </si>
  <si>
    <t>13.1.1</t>
    <phoneticPr fontId="3"/>
  </si>
  <si>
    <t>街区の暑熱環境を緩和する</t>
    <phoneticPr fontId="3"/>
  </si>
  <si>
    <t>暑熱環境緩和に取組んでいる</t>
    <rPh sb="7" eb="9">
      <t>トリク</t>
    </rPh>
    <phoneticPr fontId="3"/>
  </si>
  <si>
    <t>13.2</t>
    <phoneticPr fontId="3"/>
  </si>
  <si>
    <t>異常気象が街区に及ぼす影響の抑制</t>
    <phoneticPr fontId="3"/>
  </si>
  <si>
    <t>13.2.1</t>
    <phoneticPr fontId="3"/>
  </si>
  <si>
    <t>防災基本性能を確保する</t>
    <phoneticPr fontId="3"/>
  </si>
  <si>
    <t>災害への対応、各種インフラの防災性能、防災空地・避難路の整備に取組んでいる</t>
    <rPh sb="28" eb="30">
      <t>セイビ</t>
    </rPh>
    <rPh sb="31" eb="33">
      <t>トリク</t>
    </rPh>
    <phoneticPr fontId="3"/>
  </si>
  <si>
    <t>Q2.4.1「防災基本性能」</t>
    <phoneticPr fontId="3"/>
  </si>
  <si>
    <t>13.2.2</t>
    <phoneticPr fontId="3"/>
  </si>
  <si>
    <t>発災後の対応性能を高める</t>
    <phoneticPr fontId="3"/>
  </si>
  <si>
    <t>街区における業務・生活の継続（BCP・LCP）に取組んでいる</t>
    <rPh sb="24" eb="26">
      <t>トリク</t>
    </rPh>
    <phoneticPr fontId="3"/>
  </si>
  <si>
    <t>13.3</t>
    <phoneticPr fontId="3"/>
  </si>
  <si>
    <t>温室効果ガスの削減</t>
    <phoneticPr fontId="3"/>
  </si>
  <si>
    <t>13.3.1</t>
    <phoneticPr fontId="3"/>
  </si>
  <si>
    <t>温室効果ガス排出量削減に向け努力する</t>
    <phoneticPr fontId="3"/>
  </si>
  <si>
    <t>街区における温室効果ガスの排出量削減に向けた各種の方策に取組んでいる</t>
    <rPh sb="28" eb="30">
      <t>トリク</t>
    </rPh>
    <phoneticPr fontId="3"/>
  </si>
  <si>
    <t>LR3.1「地球温暖化への配慮」</t>
    <phoneticPr fontId="3"/>
  </si>
  <si>
    <t>13.4</t>
    <phoneticPr fontId="3"/>
  </si>
  <si>
    <t>気候変動対応のための資金調達</t>
    <phoneticPr fontId="3"/>
  </si>
  <si>
    <t>13.4.1</t>
    <phoneticPr fontId="3"/>
  </si>
  <si>
    <t>気候変動対策のために外部資金を獲得する</t>
    <phoneticPr fontId="3"/>
  </si>
  <si>
    <t>以下の取組みに、取組んでいない=該当項目なし、
積極的に取組んでいる=該当項目あり
1) 気候変動対策に係る外部資金獲得を行っている</t>
    <phoneticPr fontId="3"/>
  </si>
  <si>
    <r>
      <t xml:space="preserve">ゴール15.
</t>
    </r>
    <r>
      <rPr>
        <b/>
        <sz val="7"/>
        <rFont val="游ゴシック"/>
        <family val="3"/>
        <charset val="128"/>
      </rPr>
      <t>陸の豊かさを守ろう</t>
    </r>
    <rPh sb="7" eb="8">
      <t>リク</t>
    </rPh>
    <rPh sb="9" eb="10">
      <t>ユタ</t>
    </rPh>
    <rPh sb="13" eb="14">
      <t>マモ</t>
    </rPh>
    <phoneticPr fontId="3"/>
  </si>
  <si>
    <t>15.1</t>
    <phoneticPr fontId="3"/>
  </si>
  <si>
    <t>生物多様性保全への配慮</t>
    <phoneticPr fontId="3"/>
  </si>
  <si>
    <t>15.1.1</t>
    <phoneticPr fontId="3"/>
  </si>
  <si>
    <t>自然環境の保全に努める</t>
    <phoneticPr fontId="3"/>
  </si>
  <si>
    <t>生物多様性の維持・向上の基礎となる街区の自然資源として、動植物、自然地形、表土の生産機能について把握し、それらの保全や有効利用に取組んでいる</t>
    <rPh sb="64" eb="66">
      <t>トリク</t>
    </rPh>
    <phoneticPr fontId="3"/>
  </si>
  <si>
    <t>15.1.2</t>
    <phoneticPr fontId="3"/>
  </si>
  <si>
    <t>地域に見合った生物の生息空間を確保する</t>
    <phoneticPr fontId="3"/>
  </si>
  <si>
    <t>多様な生物が生息する機能維持のための、空間の規模・質・周囲との繋がりに取組んでいる</t>
    <rPh sb="35" eb="37">
      <t>トリク</t>
    </rPh>
    <phoneticPr fontId="3"/>
  </si>
  <si>
    <t>Q1.1.2.1「生物の生息空間のまとまり」</t>
    <phoneticPr fontId="3"/>
  </si>
  <si>
    <t>Q1.1.2.2「生物の生息空間の質」</t>
    <phoneticPr fontId="3"/>
  </si>
  <si>
    <t>Q1.1.2.4「エコロジカルネットワーク」</t>
    <phoneticPr fontId="3"/>
  </si>
  <si>
    <t>15.2</t>
    <phoneticPr fontId="3"/>
  </si>
  <si>
    <t>森林保全への配慮</t>
    <phoneticPr fontId="3"/>
  </si>
  <si>
    <t>15.2.1</t>
    <phoneticPr fontId="3"/>
  </si>
  <si>
    <t>持続可能な森林の木材を利用する</t>
    <phoneticPr fontId="3"/>
  </si>
  <si>
    <t>持続可能な森林から産出された木材の利用に取組んでいる</t>
    <rPh sb="20" eb="22">
      <t>トリク</t>
    </rPh>
    <phoneticPr fontId="3"/>
  </si>
  <si>
    <t>LR2.3.1.1「持続可能な森林の木材利用」</t>
    <phoneticPr fontId="3"/>
  </si>
  <si>
    <t>15.2.2</t>
  </si>
  <si>
    <t>違法伐採木材を使用しない</t>
    <phoneticPr fontId="3"/>
  </si>
  <si>
    <t>以下の取組みに、取組んでいない=該当項目なし、
取組んでいる=該当項目1つ、積極的に取組んでいる=該当項目2つ以上
1) 街区の１つ以上の建物において、違法伐採木材ではないことを示す明確なトレーサビリティ有する木架構がある
2) 街区の１つ以上の建物において、違法伐採木材ではないことを示す明確なトレーサビリティ有する木内装がある
3) 街区の１つ以上の建物において、明確なトレーサビリティを持たない違法伐採木材の型枠使用がない</t>
    <rPh sb="55" eb="57">
      <t>イジョウ</t>
    </rPh>
    <phoneticPr fontId="3"/>
  </si>
  <si>
    <t>15.2.3</t>
  </si>
  <si>
    <t>木材資源を有効活用する</t>
    <phoneticPr fontId="3"/>
  </si>
  <si>
    <t>15.3</t>
    <phoneticPr fontId="3"/>
  </si>
  <si>
    <t>外来種への対処</t>
    <phoneticPr fontId="3"/>
  </si>
  <si>
    <t>15.3.1</t>
    <phoneticPr fontId="3"/>
  </si>
  <si>
    <t>地域の気候風土に適した緑地計画とする</t>
    <phoneticPr fontId="3"/>
  </si>
  <si>
    <t>地域に本来生育する植物種（在来種）を主とする緑地計画に取組んでいる</t>
    <rPh sb="27" eb="29">
      <t>トリク</t>
    </rPh>
    <phoneticPr fontId="3"/>
  </si>
  <si>
    <t>15.4</t>
  </si>
  <si>
    <t>生物多様性と森林保全に向けた計画的な取組み</t>
    <phoneticPr fontId="3"/>
  </si>
  <si>
    <t>15.4.1</t>
    <phoneticPr fontId="3"/>
  </si>
  <si>
    <t>街区の生態系等保全への貢献に計画的に取組む</t>
    <phoneticPr fontId="3"/>
  </si>
  <si>
    <r>
      <t xml:space="preserve">ゴール16.
</t>
    </r>
    <r>
      <rPr>
        <b/>
        <sz val="7"/>
        <rFont val="游ゴシック"/>
        <family val="3"/>
        <charset val="128"/>
      </rPr>
      <t>平和と公正をすべての人に</t>
    </r>
    <rPh sb="7" eb="9">
      <t>ヘイワ</t>
    </rPh>
    <rPh sb="10" eb="12">
      <t>コウセイ</t>
    </rPh>
    <rPh sb="17" eb="18">
      <t>ヒト</t>
    </rPh>
    <phoneticPr fontId="3"/>
  </si>
  <si>
    <t>16.1</t>
    <phoneticPr fontId="3"/>
  </si>
  <si>
    <t>来訪者も住民も安心して共存できる街区計画の整備</t>
    <phoneticPr fontId="3"/>
  </si>
  <si>
    <t>16.1.1</t>
    <phoneticPr fontId="3"/>
  </si>
  <si>
    <t>必要なプライバシーが守られる設えとしている</t>
    <phoneticPr fontId="3"/>
  </si>
  <si>
    <t>16.1.2</t>
    <phoneticPr fontId="3"/>
  </si>
  <si>
    <t>街区全体として防犯に配慮した構成としている</t>
    <phoneticPr fontId="3"/>
  </si>
  <si>
    <t>犯罪誘発の恐れを極小化するために死角を生じさせない見通しや夜間の明るさを確保する等、街区の空間構成や設備での安全安心確保に取組んでいる</t>
    <rPh sb="61" eb="63">
      <t>トリク</t>
    </rPh>
    <phoneticPr fontId="3"/>
  </si>
  <si>
    <t>16.2</t>
    <phoneticPr fontId="3"/>
  </si>
  <si>
    <t>プロジェクトの透明性の確保</t>
    <phoneticPr fontId="3"/>
  </si>
  <si>
    <t>16.2.1</t>
    <phoneticPr fontId="3"/>
  </si>
  <si>
    <t>計画内容や運営について適切に公開している</t>
    <phoneticPr fontId="3"/>
  </si>
  <si>
    <t>以下の取組みに、取組んでいない=該当項目なし、
取組んでいる=該当項目1つ、積極的に取組んでいる=該当項目2つ以上
1) プロジェクトの概要や進捗状況を適時に公開している
2) 顧客、従業員、地域社会等のステークホルダーと対話できる組織体制を整えている
3) 情報共有と意見交換を可能にするソーシャルメディアプラットフォームを設けている</t>
    <rPh sb="55" eb="57">
      <t>イジョウ</t>
    </rPh>
    <phoneticPr fontId="3"/>
  </si>
  <si>
    <t>16.2.2</t>
    <phoneticPr fontId="3"/>
  </si>
  <si>
    <t>周辺地域に影響を及ぼし得る事象を自主的に公開している</t>
    <phoneticPr fontId="3"/>
  </si>
  <si>
    <t>周辺地域へ環境・社会・経済的に影響を及ぼし得る事柄について適時公開に取組んでいる</t>
    <rPh sb="34" eb="36">
      <t>トリク</t>
    </rPh>
    <phoneticPr fontId="3"/>
  </si>
  <si>
    <t>Q2.1.1「コンプライアンス」
レベル3以下＝1点、レベル4＝2点、レベル5＝3点</t>
    <rPh sb="21" eb="23">
      <t>イカ</t>
    </rPh>
    <phoneticPr fontId="3"/>
  </si>
  <si>
    <t>16,3</t>
    <phoneticPr fontId="3"/>
  </si>
  <si>
    <t>計画プロセス等へのステークホルダー参加</t>
    <phoneticPr fontId="3"/>
  </si>
  <si>
    <t>16.3.1</t>
    <phoneticPr fontId="3"/>
  </si>
  <si>
    <t>16,4</t>
  </si>
  <si>
    <t>サプライチェーンに関する配慮</t>
    <phoneticPr fontId="3"/>
  </si>
  <si>
    <t>16.4.1</t>
    <phoneticPr fontId="3"/>
  </si>
  <si>
    <t>調達の際に資材等の生産・流通過程を把握・評価する</t>
    <phoneticPr fontId="3"/>
  </si>
  <si>
    <r>
      <t xml:space="preserve">ゴール17.
</t>
    </r>
    <r>
      <rPr>
        <b/>
        <sz val="7"/>
        <rFont val="游ゴシック"/>
        <family val="3"/>
        <charset val="128"/>
      </rPr>
      <t>パートナーシップで目標を達成しよう</t>
    </r>
    <rPh sb="16" eb="18">
      <t>モクヒョウ</t>
    </rPh>
    <rPh sb="19" eb="21">
      <t>タッセイ</t>
    </rPh>
    <phoneticPr fontId="3"/>
  </si>
  <si>
    <t>17.1</t>
    <phoneticPr fontId="3"/>
  </si>
  <si>
    <t>長期的なビジョンの策定</t>
    <phoneticPr fontId="3"/>
  </si>
  <si>
    <t>17.1.1</t>
    <phoneticPr fontId="3"/>
  </si>
  <si>
    <t>地域の中長期マネジメント計画を策定する</t>
    <phoneticPr fontId="3"/>
  </si>
  <si>
    <t>街区開発において、長期的なビジョンや目標を明確にし、それに基づく具体的なマネジメント計画策定に取組んでいる</t>
    <rPh sb="47" eb="49">
      <t>トリク</t>
    </rPh>
    <phoneticPr fontId="3"/>
  </si>
  <si>
    <t>17.2</t>
    <phoneticPr fontId="3"/>
  </si>
  <si>
    <t>ステークホルダーとの信頼関係の構築</t>
    <phoneticPr fontId="3"/>
  </si>
  <si>
    <t>17.2.1</t>
    <phoneticPr fontId="3"/>
  </si>
  <si>
    <t>住民や地域コミュニティとのパートナーシップを形成する</t>
    <phoneticPr fontId="3"/>
  </si>
  <si>
    <t>17.2.2</t>
    <phoneticPr fontId="3"/>
  </si>
  <si>
    <t>投資家や金融機関とのパートナーシップを形成する</t>
    <phoneticPr fontId="3"/>
  </si>
  <si>
    <t>以下の取組みに、取組んでいない=該当項目なし、
積極的に取組んでいる=該当項目あり
1) 国際的な評価機関によるESGレーティングの評価を取得形成している</t>
    <phoneticPr fontId="3"/>
  </si>
  <si>
    <t>17.2.3</t>
    <phoneticPr fontId="3"/>
  </si>
  <si>
    <t>行政機関とのパートナーシップを形成する</t>
    <phoneticPr fontId="3"/>
  </si>
  <si>
    <t>以下の取組みに、取組んでいない=該当項目なし、
積極的に取組んでいる=該当項目あり
1) PFI/PPPを導入することで、民間のイノベーションと資本を活用しつつ、街区におけるインフラや公共サービスを提供している</t>
    <phoneticPr fontId="3"/>
  </si>
  <si>
    <t>17.3</t>
    <phoneticPr fontId="3"/>
  </si>
  <si>
    <t>プロジェクトの成果のモニタリングと進捗評価の実施</t>
    <phoneticPr fontId="3"/>
  </si>
  <si>
    <t>17.3.1</t>
    <phoneticPr fontId="3"/>
  </si>
  <si>
    <t>KPIを設定し、定期的にレビューする</t>
    <phoneticPr fontId="3"/>
  </si>
  <si>
    <t>以下の取組みに、取組んでいない=該当項目なし、
取組んでいる=該当項目1つ、積極的に取組んでいる=該当項目2つ
1) KPIを設定し、プロジェクトの進捗状況の定量的把握を可能としている
2) KPIの達成状況を定期的にレビューし、成果に基づいたフィードバックを公開している</t>
    <phoneticPr fontId="3"/>
  </si>
  <si>
    <t>5点満
点換算</t>
    <rPh sb="1" eb="2">
      <t>テン</t>
    </rPh>
    <rPh sb="2" eb="3">
      <t>マン</t>
    </rPh>
    <rPh sb="4" eb="5">
      <t>テン</t>
    </rPh>
    <rPh sb="5" eb="7">
      <t>カンサン</t>
    </rPh>
    <phoneticPr fontId="219"/>
  </si>
  <si>
    <t>総合点</t>
    <rPh sb="0" eb="2">
      <t>ソウゴウ</t>
    </rPh>
    <rPh sb="2" eb="3">
      <t>テン</t>
    </rPh>
    <phoneticPr fontId="219"/>
  </si>
  <si>
    <t>ゴール3</t>
    <phoneticPr fontId="219"/>
  </si>
  <si>
    <t>ゴール11</t>
    <phoneticPr fontId="219"/>
  </si>
  <si>
    <t>ゴール17</t>
  </si>
  <si>
    <t>○</t>
    <phoneticPr fontId="3"/>
  </si>
  <si>
    <t>未満</t>
    <rPh sb="0" eb="2">
      <t>ミマン</t>
    </rPh>
    <phoneticPr fontId="3"/>
  </si>
  <si>
    <t>○○</t>
    <phoneticPr fontId="3"/>
  </si>
  <si>
    <t>○○○○</t>
    <phoneticPr fontId="3"/>
  </si>
  <si>
    <t>ゴール16</t>
  </si>
  <si>
    <t>○○○○○</t>
    <phoneticPr fontId="3"/>
  </si>
  <si>
    <t>以上</t>
    <rPh sb="0" eb="2">
      <t>イジョウ</t>
    </rPh>
    <phoneticPr fontId="3"/>
  </si>
  <si>
    <t>全体点数</t>
    <rPh sb="0" eb="2">
      <t>ゼンタイ</t>
    </rPh>
    <rPh sb="2" eb="4">
      <t>テンスウ</t>
    </rPh>
    <phoneticPr fontId="3"/>
  </si>
  <si>
    <t>総合評価</t>
    <rPh sb="0" eb="2">
      <t>ソウゴウ</t>
    </rPh>
    <rPh sb="2" eb="4">
      <t>ヒョウカ</t>
    </rPh>
    <phoneticPr fontId="3"/>
  </si>
  <si>
    <t>実施する</t>
    <rPh sb="0" eb="2">
      <t>ジッシ</t>
    </rPh>
    <phoneticPr fontId="3"/>
  </si>
  <si>
    <t>実施しない</t>
    <rPh sb="0" eb="2">
      <t>ジッシ</t>
    </rPh>
    <phoneticPr fontId="3"/>
  </si>
  <si>
    <r>
      <t>* SDG1,2,10,14</t>
    </r>
    <r>
      <rPr>
        <sz val="8"/>
        <rFont val="ＭＳ Ｐゴシック"/>
        <family val="3"/>
        <charset val="128"/>
        <scheme val="minor"/>
      </rPr>
      <t>は他のゴールに集約されています</t>
    </r>
    <phoneticPr fontId="3"/>
  </si>
  <si>
    <t>Q1.1.1.3「土壌の保全」</t>
    <phoneticPr fontId="3"/>
  </si>
  <si>
    <t>LR2.3.2.3「食品系のリサイクル・廃棄物削減」</t>
    <phoneticPr fontId="3"/>
  </si>
  <si>
    <r>
      <t xml:space="preserve">2-3 </t>
    </r>
    <r>
      <rPr>
        <b/>
        <sz val="11"/>
        <color rgb="FFFFFFFF"/>
        <rFont val="Yu Gothic"/>
        <family val="2"/>
        <charset val="128"/>
      </rPr>
      <t>街区</t>
    </r>
    <r>
      <rPr>
        <b/>
        <sz val="11"/>
        <color rgb="FFFFFFFF"/>
        <rFont val="ＭＳ ゴシック"/>
        <family val="3"/>
        <charset val="128"/>
      </rPr>
      <t>環境</t>
    </r>
    <r>
      <rPr>
        <b/>
        <sz val="11"/>
        <color rgb="FFFFFFFF"/>
        <rFont val="Arial"/>
        <family val="2"/>
      </rPr>
      <t>SDGs</t>
    </r>
    <r>
      <rPr>
        <b/>
        <sz val="11"/>
        <color rgb="FFFFFFFF"/>
        <rFont val="ＭＳ ゴシック"/>
        <family val="3"/>
        <charset val="128"/>
      </rPr>
      <t>チェックリスト評価結果</t>
    </r>
    <rPh sb="4" eb="6">
      <t>ガイク</t>
    </rPh>
    <phoneticPr fontId="3"/>
  </si>
  <si>
    <t>ゴール14の取組みは、ゴール6 安全な水とトイレを世界中に、ゴール11 住み続けられるまちづくりを、ゴール12 つくる責任つかう責任、 ゴール15　陸の豊かさも守ろう　に集約されています</t>
    <rPh sb="6" eb="8">
      <t>トリク</t>
    </rPh>
    <rPh sb="16" eb="18">
      <t>アンゼン</t>
    </rPh>
    <rPh sb="19" eb="20">
      <t>ミズ</t>
    </rPh>
    <rPh sb="25" eb="27">
      <t>セカイ</t>
    </rPh>
    <rPh sb="27" eb="28">
      <t>ジュウ</t>
    </rPh>
    <rPh sb="36" eb="37">
      <t>ス</t>
    </rPh>
    <rPh sb="38" eb="39">
      <t>ツヅ</t>
    </rPh>
    <rPh sb="59" eb="61">
      <t>セキニン</t>
    </rPh>
    <rPh sb="64" eb="66">
      <t>セキニン</t>
    </rPh>
    <rPh sb="74" eb="75">
      <t>リク</t>
    </rPh>
    <rPh sb="76" eb="77">
      <t>ユタ</t>
    </rPh>
    <rPh sb="80" eb="81">
      <t>マモ</t>
    </rPh>
    <rPh sb="85" eb="87">
      <t>シュウヤク</t>
    </rPh>
    <phoneticPr fontId="3"/>
  </si>
  <si>
    <t>ゴール10の取組みは、ゴール5 ジェンダー平等を実現しよう 、ゴール16　平和と公正をすべての人に　に集約されています</t>
    <rPh sb="51" eb="53">
      <t>シュウヤク</t>
    </rPh>
    <phoneticPr fontId="3"/>
  </si>
  <si>
    <t>ゴール1の取組みは、ゴール8 働きがいも経済成長も、ゴール11 住み続けられるまちづくりを、ゴール12 つくる責任つかう責任、ゴール16　平和と公正を全ての人に　に集約されています</t>
    <phoneticPr fontId="3"/>
  </si>
  <si>
    <t>ゴール2の取組みは、ゴール11 住み続けられるまちづくりを　に集約されています</t>
    <phoneticPr fontId="3"/>
  </si>
  <si>
    <t>街区環境SDGsチェックリスト</t>
    <rPh sb="0" eb="2">
      <t>ガイク</t>
    </rPh>
    <rPh sb="2" eb="4">
      <t>カンキョウ</t>
    </rPh>
    <phoneticPr fontId="3"/>
  </si>
  <si>
    <t>未評価</t>
  </si>
  <si>
    <t>本項目の採点基準は3.4.2と同じであり、3.4.2で評価すれば本項目も同じ採点となる。</t>
    <phoneticPr fontId="3"/>
  </si>
  <si>
    <t>以下の取組みに、取組んでいない=該当項目なし、
取組んでいる=該当項目1つ、積極的に取組んでいる=該当項目2つ
1) 社会面の配慮をしている （調達先の労働環境の確認等）
2) 環境面の配慮をしている （グリーン調達ガイドラインに沿った資材調達等）</t>
    <phoneticPr fontId="3"/>
  </si>
  <si>
    <t>Q1.2.2「熱環境」</t>
    <rPh sb="7" eb="10">
      <t>ネツカンキョウ</t>
    </rPh>
    <phoneticPr fontId="3"/>
  </si>
  <si>
    <t>対象区域内の共同施設における騒音や振動、悪臭の発生源への対策に取組んでいる</t>
    <phoneticPr fontId="3"/>
  </si>
  <si>
    <t>LR3.3.3「対象区域外に対する騒音・振動・悪臭の防止」</t>
    <phoneticPr fontId="3"/>
  </si>
  <si>
    <t>3.4.7</t>
    <phoneticPr fontId="3"/>
  </si>
  <si>
    <t>Q2.1.2「エリアマネジメント」</t>
    <phoneticPr fontId="3"/>
  </si>
  <si>
    <t>Q2.4.1 「防災基本性能」</t>
    <phoneticPr fontId="3"/>
  </si>
  <si>
    <t>以下の取組みに、取組んでいない=該当項目なし、
積極的に取組んでいる=該当項目あり
1) 通学が困難な児童生徒に対して学校との送迎を支援する組織的な取組みがある
2) 幅広い層の在宅・リモート学習に活用できるICT等のシステムがある
3) 学校教育法に該当しない教育施設がある</t>
    <phoneticPr fontId="3"/>
  </si>
  <si>
    <t>以下の取組みに、取組んでいない=該当項目なし、
積極的に取組んでいる=該当項目あり
1) 植樹・立木の名称や生態がすぐに分かる立て札等の表示をしている
2) 管理組織や住民団体等で、街区内外の自然環境に関して説明できる人材等を確保している
3) 街区内で取り組んでいる環境対策（脱炭素、気候変動適応、自然共生、資源循環）を伝える工夫をしている</t>
    <phoneticPr fontId="3"/>
  </si>
  <si>
    <t>以下の取組みに、取組んでいない=該当項目なし、
積極的に取組んでいる=該当項目あり
1) 公共空間において LGBT 対応型トイレを設置している
2) その他LGBT に配慮した計画・運営上の工夫がある</t>
    <phoneticPr fontId="3"/>
  </si>
  <si>
    <t>以下の取組みに、取組んでいない=該当項目なし、
積極的に取組んでいる=該当項目あり
1) 家事負担を軽減する施設・サービスや支援体制が導入されている
2) 子育て負担を軽減する施設・サービスや支援体制が導入されている
3) 介護負担を軽減する施設・サービスや支援体制が導入されている</t>
    <phoneticPr fontId="3"/>
  </si>
  <si>
    <t>以下の取組みに、取組んでいない=該当項目なし、
積極的に取組んでいる=該当項目あり
1) 開発主体（企業、プロジェクトチーム、再開発組合、エリマネ組織等）に女性が参画している
2) 開発推進段階において、女性の意見を反映する機会や仕組みがある</t>
    <phoneticPr fontId="3"/>
  </si>
  <si>
    <t>以下の取組みに、取組んでいない=該当項目なし、
積極的に取組んでいる=該当項目あり
1) マンホール便所を設置している
2) 汚水を一時的に貯留する汚水槽を設置している</t>
    <phoneticPr fontId="3"/>
  </si>
  <si>
    <t>以下の取組みに、取組んでいない=該当項目なし、
積極的に取組んでいる=該当項目あり
1) 水に関連する管理・マネジメントを行う組織が存在する
2) 水に関連して、地域コミュニティや自治体などと連携している</t>
    <phoneticPr fontId="3"/>
  </si>
  <si>
    <t>以下の取組みに、取組んでいない=該当項目なし、
取組んでいる=該当項目1つ、積極的に取組んでいる=該当項目2つ
1) 街区におけるデータを収集し、分析し、共有する基盤となるICTインフラを構築している
2) 街区におけるデータを分析することで得られた知見を地域課題の解決やサービスの改善に役立て得る仕組みを構築している</t>
    <phoneticPr fontId="3"/>
  </si>
  <si>
    <t>以下の取組みに、取組んでいない=該当項目なし、
取組んでいる=該当項目1つ、積極的に取組んでいる=該当項目2つ
1) 知的生産性の観点を考慮して整備したコミュニケーションスペースがある
2) 疲れたときに息抜きができるリラクゼーションスペース・リフレッシュスペースがある</t>
    <phoneticPr fontId="3"/>
  </si>
  <si>
    <t>以下の取組みに、取組んでいない=該当項目なし、
取組んでいる=該当項目1つ、積極的に取組んでいる=該当項目2つ
1) 自治体が加わった第3セクター方式で事業している。または（第3セクターでない場合でも）事業主体が自治体と計画・運営に関する永続的な協議組織を設置している
2) 計画や運営に関して、事業主体と周辺住民との永続的な協議組織が設置されている</t>
    <phoneticPr fontId="3"/>
  </si>
  <si>
    <t>以下の取組みに、取組んでいない=該当項目なし、
取組んでいる=該当項目1つ、積極的に取組んでいる=該当項目2つ以上
1) 建設資材や運用時の利用品目に有害性ある化学物質が含まれるか、状況を把握し対策している
2) 事業主体として、入居企業等に化管法の届出要件に該当する事業者がいるか、把握している
3）対象事業者が事業年度ごとに届け出を継続的に実施していることを確認している</t>
    <rPh sb="55" eb="57">
      <t>イジョウ</t>
    </rPh>
    <phoneticPr fontId="3"/>
  </si>
  <si>
    <t>Q3.1.1.1「周辺地域への貢献」</t>
    <rPh sb="15" eb="17">
      <t>コウケン</t>
    </rPh>
    <phoneticPr fontId="3"/>
  </si>
  <si>
    <t>以下の取組みに、取組んでいない=該当項目なし、
積極的に取組んでいる=該当項目あり
1) ゴミの種類や量の把握を行っている
2) 分別回収を推進するための空間整備や設備の設置を行っている
3) ゴミの減容化・減量化、たい肥化などを行っている（ディスポーザー、生ごみの自家処理・コンポスト化、バイオマス利用など）
4) リサイクルや廃棄物削減を行っている（容器包装削減、食品廃棄削減、食器リサイクル、食用油の再利用など）</t>
    <phoneticPr fontId="3"/>
  </si>
  <si>
    <t>以下の取組みに、取組んでいない=該当項目なし、
積極的に取組んでいる=該当項目あり
1) 従前施設解体で発生した古材・木質廃材を利用している
2) リサイクル資材を活用している
3) 林業関係者と連携して余剰木材や間伐材を活用している</t>
    <phoneticPr fontId="3"/>
  </si>
  <si>
    <t>以下の取組みに、取組んでいない=該当項目なし、
積極的に取組んでいる=該当項目あり
1) 街区の運営計画の中に生物多様性に配慮した行動がある
2) 街区の運営計画の中に森林資源保護に配慮した行動がある</t>
    <phoneticPr fontId="3"/>
  </si>
  <si>
    <t>以下の取組みに、取組んでいない=該当項目なし、
取組んでいる=該当項目1つ、積極的に取組んでいる=該当項目2つ
1) 街区の計画・設計に際しプライベート/パブリックの各領域を明確にしている
2) 必要に応じてプライベート領域を守るための物理的遮蔽手段や運用策を講じている</t>
    <phoneticPr fontId="3"/>
  </si>
  <si>
    <t>以下の取組みに、取組んでいない=該当項目なし、
取組んでいる=該当項目1つ、積極的に取組んでいる=該当項目2つ以上
1) 経済面のパートナーシップを形成している （地元企業や地域事業者との協働等）
2) 社会面のパートナーシップを形成している （周辺住民との協議組織の設置等）
3) 環境面のパートナーシップを形成している （まちなみ景観に関するガイドラインの策定等）</t>
    <rPh sb="55" eb="57">
      <t>イジョウ</t>
    </rPh>
    <phoneticPr fontId="3"/>
  </si>
  <si>
    <r>
      <t>CASBEE-UD_2024SDGs</t>
    </r>
    <r>
      <rPr>
        <b/>
        <sz val="10"/>
        <rFont val="Yu Gothic"/>
        <family val="2"/>
        <charset val="128"/>
      </rPr>
      <t>試行版</t>
    </r>
    <r>
      <rPr>
        <b/>
        <sz val="10"/>
        <rFont val="Arial"/>
        <family val="2"/>
      </rPr>
      <t>v1.0</t>
    </r>
    <rPh sb="18" eb="20">
      <t>シコウ</t>
    </rPh>
    <rPh sb="20" eb="21">
      <t>バン</t>
    </rPh>
    <phoneticPr fontId="3"/>
  </si>
  <si>
    <t>街区環境SDGsチェックリストの評価項目</t>
    <rPh sb="0" eb="2">
      <t>ガイク</t>
    </rPh>
    <rPh sb="2" eb="4">
      <t>カンキョウ</t>
    </rPh>
    <rPh sb="16" eb="18">
      <t>ヒョウカ</t>
    </rPh>
    <rPh sb="18" eb="20">
      <t>コウモク</t>
    </rPh>
    <phoneticPr fontId="3"/>
  </si>
  <si>
    <r>
      <t>CASBEE-</t>
    </r>
    <r>
      <rPr>
        <b/>
        <sz val="10"/>
        <rFont val="ＭＳ Ｐゴシック"/>
        <family val="3"/>
        <charset val="128"/>
      </rPr>
      <t xml:space="preserve">街区 </t>
    </r>
    <r>
      <rPr>
        <b/>
        <sz val="10"/>
        <rFont val="Arial"/>
        <family val="2"/>
      </rPr>
      <t>2024</t>
    </r>
    <r>
      <rPr>
        <b/>
        <sz val="10"/>
        <rFont val="ＭＳ Ｐゴシック"/>
        <family val="3"/>
        <charset val="128"/>
      </rPr>
      <t>年</t>
    </r>
    <r>
      <rPr>
        <b/>
        <sz val="10"/>
        <rFont val="Arial"/>
        <family val="3"/>
      </rPr>
      <t>SDGs</t>
    </r>
    <r>
      <rPr>
        <b/>
        <sz val="10"/>
        <rFont val="Yu Gothic"/>
        <family val="3"/>
        <charset val="128"/>
      </rPr>
      <t>対応試行</t>
    </r>
    <r>
      <rPr>
        <b/>
        <sz val="10"/>
        <rFont val="ＭＳ Ｐゴシック"/>
        <family val="3"/>
        <charset val="128"/>
      </rPr>
      <t>版</t>
    </r>
    <rPh sb="7" eb="9">
      <t>ガイク</t>
    </rPh>
    <rPh sb="19" eb="21">
      <t>タイオウ</t>
    </rPh>
    <rPh sb="21" eb="23">
      <t>シコウ</t>
    </rPh>
    <rPh sb="23" eb="24">
      <t>バン</t>
    </rPh>
    <phoneticPr fontId="3"/>
  </si>
  <si>
    <t>建材の持続可能な生産と消費に取り組む</t>
    <phoneticPr fontId="3"/>
  </si>
  <si>
    <t>以下の取組みに、取組んでいない=該当項目なし、
取組んでいる=該当項目1つ、積極的に取組んでいる=該当項目2つ以上
1) マイクロプラスチックが発生・流出しやすい資材を利用しない
2) 低農薬、最小限の肥料使用等、汚染原因を縮減する
3) 生態系に害を及ぼす物質を含んだ水が街区の外に流出する前に一時貯留する施設、あるいは害を及ぼす物質の除害装置・除去装置を設ける</t>
    <rPh sb="55" eb="57">
      <t>イジョウ</t>
    </rPh>
    <phoneticPr fontId="3"/>
  </si>
  <si>
    <t>使いやすく信頼性の高いインフラの整備</t>
    <rPh sb="0" eb="1">
      <t>ツカ</t>
    </rPh>
    <rPh sb="5" eb="8">
      <t>シンライセイ</t>
    </rPh>
    <rPh sb="9" eb="10">
      <t>タカ</t>
    </rPh>
    <rPh sb="16" eb="18">
      <t>セイビ</t>
    </rPh>
    <phoneticPr fontId="3"/>
  </si>
  <si>
    <t>使いやすく信頼性の高い交通インフラを確保する</t>
    <phoneticPr fontId="3"/>
  </si>
  <si>
    <t>Q1.2.3「都市景観」</t>
    <phoneticPr fontId="3"/>
  </si>
  <si>
    <t>利用しやすい公共スペ-スの確保</t>
    <phoneticPr fontId="3"/>
  </si>
  <si>
    <t>11.9.2</t>
    <phoneticPr fontId="3"/>
  </si>
  <si>
    <t>11.9.3</t>
    <phoneticPr fontId="3"/>
  </si>
  <si>
    <t>11.9.4</t>
    <phoneticPr fontId="3"/>
  </si>
  <si>
    <t>建築物の緑化により街区の自然環境と生活環境の改善に貢献する</t>
    <phoneticPr fontId="3"/>
  </si>
  <si>
    <t>Q1.2.1.2「建物の緑」</t>
    <phoneticPr fontId="3"/>
  </si>
  <si>
    <t>地上部の緑化等により街区の自然環境と生活環境の改善に貢献する</t>
    <phoneticPr fontId="3"/>
  </si>
  <si>
    <t>対象街区の非建蔽地の緑化に取組んでいる</t>
    <rPh sb="13" eb="15">
      <t>トリク</t>
    </rPh>
    <phoneticPr fontId="3"/>
  </si>
  <si>
    <t>Q1.2.1「水と緑」</t>
    <phoneticPr fontId="3"/>
  </si>
  <si>
    <t>11.11.2</t>
    <phoneticPr fontId="3"/>
  </si>
  <si>
    <t>11.11.3</t>
    <phoneticPr fontId="3"/>
  </si>
  <si>
    <t>11.11.4</t>
    <phoneticPr fontId="3"/>
  </si>
  <si>
    <t>11.11.5</t>
    <phoneticPr fontId="3"/>
  </si>
  <si>
    <t>以下の取組みに、取組んでいない=該当項目なし、
取組んでいる=該当項目1つ、積極的に取組んでいる=該当項目2つ
1) 建物と街区において持続可能な開発を行っている
2) 建物と街区において持続可能な運営管理を行っている</t>
    <phoneticPr fontId="3"/>
  </si>
  <si>
    <t>以下の取組みに、取組んでいない=該当項目なし、
取組んでいる=該当項目1つ、積極的に取組んでいる=該当項目2つ
1) 建物と街区において自然と調和したライフスタイルを実現可能な空間や設備等がある
2) 建物と街区において自然と調和したライフスタイルを実現可能な運営管理を行っている</t>
    <phoneticPr fontId="3"/>
  </si>
  <si>
    <t>事業に係るステークホルダーを明確にし、その持続的参画に有効な方策を講じている</t>
    <phoneticPr fontId="3"/>
  </si>
  <si>
    <t>以下の取組みに、取組んでいない=該当項目なし、
取組んでいる=該当項目1つ、積極的に取組んでいる=該当項目2つ
1）ステークホルダーと関わる方針を明確にした上でステークホルダーを特定している。
2) ステークホルダー（またはステークホルダーグループごとに）適切なコミュニケーション、及び参画・協力行動を継続的に実施している。</t>
    <phoneticPr fontId="3"/>
  </si>
  <si>
    <r>
      <t xml:space="preserve">特筆事項
</t>
    </r>
    <r>
      <rPr>
        <sz val="8"/>
        <color theme="0"/>
        <rFont val="ＭＳ Ｐゴシック"/>
        <family val="3"/>
        <charset val="128"/>
      </rPr>
      <t>※アピールしたい取組みを自由に記述（該当項目番号）
※「取組みの状況」の評価以上の取組みを行っている場合は加点することができる（＋1ポイント）（ただし取組み点数は最大3ポイント）</t>
    </r>
    <rPh sb="0" eb="2">
      <t>トクヒツ</t>
    </rPh>
    <rPh sb="2" eb="4">
      <t>ジコウ</t>
    </rPh>
    <rPh sb="13" eb="15">
      <t>トリク</t>
    </rPh>
    <rPh sb="17" eb="19">
      <t>ジユウ</t>
    </rPh>
    <rPh sb="20" eb="22">
      <t>キジュツ</t>
    </rPh>
    <rPh sb="23" eb="25">
      <t>ガイトウ</t>
    </rPh>
    <rPh sb="25" eb="27">
      <t>コウモク</t>
    </rPh>
    <rPh sb="27" eb="29">
      <t>バンゴウ</t>
    </rPh>
    <rPh sb="33" eb="35">
      <t>トリク</t>
    </rPh>
    <rPh sb="37" eb="39">
      <t>ジョウキョウ</t>
    </rPh>
    <rPh sb="41" eb="43">
      <t>ヒョウカ</t>
    </rPh>
    <rPh sb="43" eb="45">
      <t>イジョウ</t>
    </rPh>
    <rPh sb="46" eb="48">
      <t>トリク</t>
    </rPh>
    <rPh sb="50" eb="51">
      <t>オコナ</t>
    </rPh>
    <rPh sb="55" eb="57">
      <t>バアイ</t>
    </rPh>
    <rPh sb="58" eb="60">
      <t>カテン</t>
    </rPh>
    <rPh sb="80" eb="82">
      <t>トリク</t>
    </rPh>
    <rPh sb="83" eb="85">
      <t>テンスウ</t>
    </rPh>
    <rPh sb="86" eb="88">
      <t>サイダイ</t>
    </rPh>
    <phoneticPr fontId="3"/>
  </si>
  <si>
    <r>
      <rPr>
        <b/>
        <sz val="8"/>
        <rFont val="ＭＳ Ｐゴシック"/>
        <family val="3"/>
        <charset val="128"/>
      </rPr>
      <t>■使用評価マニュアル：</t>
    </r>
    <rPh sb="1" eb="3">
      <t>シヨウ</t>
    </rPh>
    <rPh sb="3" eb="5">
      <t>ヒョウカ</t>
    </rPh>
    <phoneticPr fontId="3"/>
  </si>
  <si>
    <r>
      <t xml:space="preserve">ゴール14.
</t>
    </r>
    <r>
      <rPr>
        <b/>
        <sz val="6"/>
        <rFont val="游ゴシック"/>
        <family val="3"/>
        <charset val="128"/>
      </rPr>
      <t>海の豊かさを守ろう</t>
    </r>
    <rPh sb="7" eb="8">
      <t>ウミ</t>
    </rPh>
    <rPh sb="9" eb="10">
      <t>ユタ</t>
    </rPh>
    <rPh sb="13" eb="14">
      <t>マモ</t>
    </rPh>
    <phoneticPr fontId="3"/>
  </si>
  <si>
    <t>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t>
    <phoneticPr fontId="3"/>
  </si>
  <si>
    <t>9.3.1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</si>
</sst>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_ "/>
    <numFmt numFmtId="177" formatCode="0.00_ "/>
    <numFmt numFmtId="178" formatCode="0;0;&quot;－&quot;"/>
    <numFmt numFmtId="179" formatCode="#,##0_ "/>
    <numFmt numFmtId="180" formatCode="0.0"/>
    <numFmt numFmtId="181" formatCode="0.0;0.0;&quot;-&quot;\ "/>
    <numFmt numFmtId="182" formatCode="#,##0.0;[Red]\-#,##0.0"/>
    <numFmt numFmtId="183" formatCode="0.0;_Ā"/>
    <numFmt numFmtId="184" formatCode="0.00;0.00;&quot;-&quot;\ "/>
    <numFmt numFmtId="185" formatCode="0.0_);[Red]\(0.0\)"/>
    <numFmt numFmtId="186" formatCode="0_);[Red]\(0\)"/>
    <numFmt numFmtId="187" formatCode="[$-F800]dddd\,\ mmmm\ dd\,\ yyyy"/>
    <numFmt numFmtId="188" formatCode="0.0;[Red]0.0"/>
    <numFmt numFmtId="189" formatCode="#,##0.000000"/>
    <numFmt numFmtId="190" formatCode="#,##0.000000000"/>
    <numFmt numFmtId="191" formatCode="&quot;レベル &quot;#0.0;0.00;&quot;対象外&quot;"/>
    <numFmt numFmtId="192" formatCode="0.00_);[Red]\(0.00\)"/>
    <numFmt numFmtId="193" formatCode="0.000_);[Red]\(0.000\)"/>
    <numFmt numFmtId="194" formatCode="0;0;&quot;&quot;"/>
    <numFmt numFmtId="195" formatCode="0_ "/>
    <numFmt numFmtId="196" formatCode="#,##0_);[Red]\(#,##0\)"/>
    <numFmt numFmtId="197" formatCode="0.0&quot;/5.0&quot;"/>
  </numFmts>
  <fonts count="244">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9"/>
      <name val="ＭＳ Ｐゴシック"/>
      <family val="3"/>
      <charset val="128"/>
    </font>
    <font>
      <b/>
      <sz val="8"/>
      <color indexed="17"/>
      <name val="ＭＳ Ｐゴシック"/>
      <family val="3"/>
      <charset val="128"/>
    </font>
    <font>
      <b/>
      <sz val="11"/>
      <color indexed="17"/>
      <name val="ＭＳ Ｐゴシック"/>
      <family val="3"/>
      <charset val="128"/>
    </font>
    <font>
      <sz val="10"/>
      <name val="ＭＳ Ｐゴシック"/>
      <family val="3"/>
      <charset val="128"/>
    </font>
    <font>
      <b/>
      <sz val="11"/>
      <color indexed="9"/>
      <name val="ＭＳ Ｐゴシック"/>
      <family val="3"/>
      <charset val="128"/>
    </font>
    <font>
      <b/>
      <sz val="12"/>
      <color indexed="9"/>
      <name val="Arial"/>
      <family val="2"/>
    </font>
    <font>
      <sz val="9"/>
      <color indexed="9"/>
      <name val="ＭＳ Ｐゴシック"/>
      <family val="3"/>
      <charset val="128"/>
    </font>
    <font>
      <sz val="11"/>
      <color indexed="9"/>
      <name val="ＭＳ Ｐゴシック"/>
      <family val="3"/>
      <charset val="128"/>
    </font>
    <font>
      <b/>
      <sz val="10"/>
      <color indexed="9"/>
      <name val="ＭＳ Ｐゴシック"/>
      <family val="3"/>
      <charset val="128"/>
    </font>
    <font>
      <sz val="10"/>
      <name val="Arial"/>
      <family val="2"/>
    </font>
    <font>
      <b/>
      <sz val="10"/>
      <name val="Arial"/>
      <family val="2"/>
    </font>
    <font>
      <sz val="10"/>
      <color indexed="53"/>
      <name val="ＭＳ Ｐゴシック"/>
      <family val="3"/>
      <charset val="128"/>
    </font>
    <font>
      <sz val="11"/>
      <color indexed="10"/>
      <name val="ＭＳ Ｐゴシック"/>
      <family val="3"/>
      <charset val="128"/>
    </font>
    <font>
      <sz val="11"/>
      <color indexed="8"/>
      <name val="ＭＳ Ｐゴシック"/>
      <family val="3"/>
      <charset val="128"/>
    </font>
    <font>
      <sz val="10"/>
      <color indexed="22"/>
      <name val="ＭＳ Ｐゴシック"/>
      <family val="3"/>
      <charset val="128"/>
    </font>
    <font>
      <b/>
      <sz val="9"/>
      <name val="Arial"/>
      <family val="2"/>
    </font>
    <font>
      <sz val="10"/>
      <color indexed="61"/>
      <name val="ＭＳ Ｐゴシック"/>
      <family val="3"/>
      <charset val="128"/>
    </font>
    <font>
      <b/>
      <sz val="10"/>
      <name val="ＭＳ Ｐゴシック"/>
      <family val="3"/>
      <charset val="128"/>
    </font>
    <font>
      <sz val="9"/>
      <color indexed="81"/>
      <name val="ＭＳ Ｐゴシック"/>
      <family val="3"/>
      <charset val="128"/>
    </font>
    <font>
      <b/>
      <sz val="12"/>
      <color indexed="9"/>
      <name val="ＭＳ Ｐゴシック"/>
      <family val="3"/>
      <charset val="128"/>
    </font>
    <font>
      <b/>
      <sz val="9"/>
      <color indexed="9"/>
      <name val="ＭＳ Ｐゴシック"/>
      <family val="3"/>
      <charset val="128"/>
    </font>
    <font>
      <sz val="8"/>
      <color indexed="9"/>
      <name val="ＭＳ Ｐゴシック"/>
      <family val="3"/>
      <charset val="128"/>
    </font>
    <font>
      <sz val="9"/>
      <color indexed="17"/>
      <name val="ＭＳ Ｐゴシック"/>
      <family val="3"/>
      <charset val="128"/>
    </font>
    <font>
      <b/>
      <sz val="12"/>
      <name val="ＭＳ Ｐゴシック"/>
      <family val="3"/>
      <charset val="128"/>
    </font>
    <font>
      <b/>
      <sz val="8"/>
      <name val="ＭＳ Ｐゴシック"/>
      <family val="3"/>
      <charset val="128"/>
    </font>
    <font>
      <b/>
      <sz val="16"/>
      <name val="ＭＳ Ｐゴシック"/>
      <family val="3"/>
      <charset val="128"/>
    </font>
    <font>
      <sz val="11"/>
      <name val="Arial"/>
      <family val="2"/>
    </font>
    <font>
      <sz val="12"/>
      <name val="ＭＳ Ｐゴシック"/>
      <family val="3"/>
      <charset val="128"/>
    </font>
    <font>
      <sz val="12"/>
      <name val="Arial"/>
      <family val="2"/>
    </font>
    <font>
      <b/>
      <sz val="18"/>
      <name val="Arial"/>
      <family val="2"/>
    </font>
    <font>
      <b/>
      <sz val="12"/>
      <name val="Arial"/>
      <family val="2"/>
    </font>
    <font>
      <b/>
      <sz val="18"/>
      <name val="ＭＳ Ｐゴシック"/>
      <family val="3"/>
      <charset val="128"/>
    </font>
    <font>
      <sz val="8"/>
      <color indexed="17"/>
      <name val="Arial"/>
      <family val="2"/>
    </font>
    <font>
      <b/>
      <sz val="8"/>
      <color indexed="17"/>
      <name val="Arial"/>
      <family val="2"/>
    </font>
    <font>
      <b/>
      <i/>
      <sz val="9"/>
      <name val="Arial"/>
      <family val="2"/>
    </font>
    <font>
      <b/>
      <i/>
      <sz val="26"/>
      <color indexed="17"/>
      <name val="Arial"/>
      <family val="2"/>
    </font>
    <font>
      <b/>
      <i/>
      <sz val="8"/>
      <color indexed="17"/>
      <name val="Arial"/>
      <family val="2"/>
    </font>
    <font>
      <b/>
      <sz val="14"/>
      <color indexed="9"/>
      <name val="ＭＳ Ｐゴシック"/>
      <family val="3"/>
      <charset val="128"/>
    </font>
    <font>
      <sz val="8"/>
      <color indexed="9"/>
      <name val="Arial"/>
      <family val="2"/>
    </font>
    <font>
      <sz val="8"/>
      <name val="Arial"/>
      <family val="2"/>
    </font>
    <font>
      <b/>
      <sz val="8"/>
      <name val="Arial"/>
      <family val="2"/>
    </font>
    <font>
      <b/>
      <sz val="6"/>
      <color indexed="9"/>
      <name val="ＭＳ Ｐゴシック"/>
      <family val="3"/>
      <charset val="128"/>
    </font>
    <font>
      <sz val="10"/>
      <color indexed="9"/>
      <name val="Arial"/>
      <family val="2"/>
    </font>
    <font>
      <b/>
      <sz val="10"/>
      <color indexed="9"/>
      <name val="Arial"/>
      <family val="2"/>
    </font>
    <font>
      <sz val="11"/>
      <color indexed="9"/>
      <name val="Arial"/>
      <family val="2"/>
    </font>
    <font>
      <b/>
      <i/>
      <sz val="9"/>
      <color indexed="9"/>
      <name val="ＭＳ Ｐゴシック"/>
      <family val="3"/>
      <charset val="128"/>
    </font>
    <font>
      <b/>
      <sz val="11"/>
      <name val="Arial"/>
      <family val="2"/>
    </font>
    <font>
      <b/>
      <i/>
      <sz val="9"/>
      <name val="ＭＳ Ｐゴシック"/>
      <family val="3"/>
      <charset val="128"/>
    </font>
    <font>
      <b/>
      <i/>
      <sz val="10"/>
      <name val="Arial"/>
      <family val="2"/>
    </font>
    <font>
      <b/>
      <i/>
      <sz val="11"/>
      <name val="ＭＳ Ｐゴシック"/>
      <family val="3"/>
      <charset val="128"/>
    </font>
    <font>
      <b/>
      <i/>
      <sz val="11"/>
      <name val="Arial"/>
      <family val="2"/>
    </font>
    <font>
      <i/>
      <sz val="11"/>
      <name val="Arial"/>
      <family val="2"/>
    </font>
    <font>
      <b/>
      <sz val="11"/>
      <color indexed="8"/>
      <name val="ＭＳ Ｐゴシック"/>
      <family val="3"/>
      <charset val="128"/>
    </font>
    <font>
      <b/>
      <sz val="14"/>
      <name val="Arial"/>
      <family val="2"/>
    </font>
    <font>
      <sz val="11"/>
      <color indexed="10"/>
      <name val="Arial"/>
      <family val="2"/>
    </font>
    <font>
      <sz val="9"/>
      <name val="Arial"/>
      <family val="2"/>
    </font>
    <font>
      <sz val="8"/>
      <color indexed="22"/>
      <name val="Arial"/>
      <family val="2"/>
    </font>
    <font>
      <sz val="6"/>
      <color indexed="23"/>
      <name val="Arial"/>
      <family val="2"/>
    </font>
    <font>
      <sz val="11"/>
      <name val="ＭＳ Ｐゴシック"/>
      <family val="3"/>
      <charset val="128"/>
    </font>
    <font>
      <sz val="14"/>
      <name val="ＭＳ Ｐゴシック"/>
      <family val="3"/>
      <charset val="128"/>
    </font>
    <font>
      <b/>
      <sz val="14"/>
      <color indexed="8"/>
      <name val="ＭＳ Ｐゴシック"/>
      <family val="3"/>
      <charset val="128"/>
    </font>
    <font>
      <sz val="10"/>
      <color indexed="18"/>
      <name val="Arial"/>
      <family val="2"/>
    </font>
    <font>
      <sz val="9"/>
      <color indexed="63"/>
      <name val="Arial"/>
      <family val="2"/>
    </font>
    <font>
      <sz val="9"/>
      <color indexed="10"/>
      <name val="Arial"/>
      <family val="2"/>
    </font>
    <font>
      <b/>
      <sz val="12"/>
      <color indexed="18"/>
      <name val="Arial"/>
      <family val="2"/>
    </font>
    <font>
      <i/>
      <sz val="11"/>
      <name val="ＭＳ Ｐゴシック"/>
      <family val="3"/>
      <charset val="128"/>
    </font>
    <font>
      <i/>
      <sz val="9"/>
      <color indexed="8"/>
      <name val="ＭＳ Ｐゴシック"/>
      <family val="3"/>
      <charset val="128"/>
    </font>
    <font>
      <i/>
      <sz val="9"/>
      <name val="ＭＳ Ｐゴシック"/>
      <family val="3"/>
      <charset val="128"/>
    </font>
    <font>
      <b/>
      <i/>
      <sz val="24"/>
      <color indexed="17"/>
      <name val="ＭＳ Ｐ明朝"/>
      <family val="1"/>
      <charset val="128"/>
    </font>
    <font>
      <b/>
      <sz val="8"/>
      <color indexed="9"/>
      <name val="ＭＳ Ｐゴシック"/>
      <family val="3"/>
      <charset val="128"/>
    </font>
    <font>
      <sz val="10"/>
      <color indexed="63"/>
      <name val="ＭＳ Ｐゴシック"/>
      <family val="3"/>
      <charset val="128"/>
    </font>
    <font>
      <b/>
      <sz val="9"/>
      <color indexed="63"/>
      <name val="Arial"/>
      <family val="2"/>
    </font>
    <font>
      <b/>
      <sz val="20"/>
      <color indexed="17"/>
      <name val="ＭＳ Ｐゴシック"/>
      <family val="3"/>
      <charset val="128"/>
    </font>
    <font>
      <sz val="12"/>
      <color indexed="10"/>
      <name val="Arial"/>
      <family val="2"/>
    </font>
    <font>
      <sz val="10"/>
      <color indexed="55"/>
      <name val="ＭＳ Ｐゴシック"/>
      <family val="3"/>
      <charset val="128"/>
    </font>
    <font>
      <b/>
      <sz val="10"/>
      <color indexed="55"/>
      <name val="Arial"/>
      <family val="2"/>
    </font>
    <font>
      <sz val="11"/>
      <color indexed="55"/>
      <name val="Arial"/>
      <family val="2"/>
    </font>
    <font>
      <sz val="6"/>
      <name val="Arial"/>
      <family val="2"/>
    </font>
    <font>
      <sz val="12"/>
      <color indexed="9"/>
      <name val="Arial"/>
      <family val="2"/>
    </font>
    <font>
      <sz val="14"/>
      <color indexed="9"/>
      <name val="Arial"/>
      <family val="2"/>
    </font>
    <font>
      <b/>
      <sz val="12"/>
      <color indexed="8"/>
      <name val="Arial"/>
      <family val="2"/>
    </font>
    <font>
      <b/>
      <sz val="12"/>
      <color indexed="8"/>
      <name val="ＭＳ Ｐゴシック"/>
      <family val="3"/>
      <charset val="128"/>
    </font>
    <font>
      <b/>
      <sz val="11"/>
      <color indexed="26"/>
      <name val="Arial"/>
      <family val="2"/>
    </font>
    <font>
      <b/>
      <sz val="11"/>
      <color indexed="26"/>
      <name val="ＭＳ Ｐゴシック"/>
      <family val="3"/>
      <charset val="128"/>
    </font>
    <font>
      <b/>
      <sz val="11"/>
      <color indexed="42"/>
      <name val="Arial"/>
      <family val="2"/>
    </font>
    <font>
      <b/>
      <sz val="11"/>
      <color indexed="42"/>
      <name val="ＭＳ Ｐゴシック"/>
      <family val="3"/>
      <charset val="128"/>
    </font>
    <font>
      <sz val="10"/>
      <color indexed="81"/>
      <name val="ＭＳ Ｐゴシック"/>
      <family val="3"/>
      <charset val="128"/>
    </font>
    <font>
      <b/>
      <sz val="10"/>
      <color indexed="81"/>
      <name val="ＭＳ Ｐゴシック"/>
      <family val="3"/>
      <charset val="128"/>
    </font>
    <font>
      <b/>
      <sz val="9"/>
      <color indexed="81"/>
      <name val="ＭＳ Ｐゴシック"/>
      <family val="3"/>
      <charset val="128"/>
    </font>
    <font>
      <b/>
      <sz val="14"/>
      <color indexed="8"/>
      <name val="Arial"/>
      <family val="2"/>
    </font>
    <font>
      <b/>
      <i/>
      <sz val="9"/>
      <name val="ＭＳ Ｐ明朝"/>
      <family val="1"/>
      <charset val="128"/>
    </font>
    <font>
      <sz val="9"/>
      <color indexed="17"/>
      <name val="Arial"/>
      <family val="2"/>
    </font>
    <font>
      <b/>
      <sz val="9"/>
      <color indexed="17"/>
      <name val="Arial"/>
      <family val="2"/>
    </font>
    <font>
      <b/>
      <sz val="9"/>
      <color indexed="17"/>
      <name val="ＭＳ Ｐゴシック"/>
      <family val="3"/>
      <charset val="128"/>
    </font>
    <font>
      <b/>
      <i/>
      <sz val="10"/>
      <color indexed="9"/>
      <name val="ＭＳ Ｐゴシック"/>
      <family val="3"/>
      <charset val="128"/>
    </font>
    <font>
      <b/>
      <sz val="11"/>
      <color indexed="9"/>
      <name val="Arial"/>
      <family val="2"/>
    </font>
    <font>
      <sz val="11"/>
      <color indexed="63"/>
      <name val="Arial"/>
      <family val="2"/>
    </font>
    <font>
      <b/>
      <sz val="28"/>
      <name val="ＭＳ Ｐゴシック"/>
      <family val="3"/>
      <charset val="128"/>
    </font>
    <font>
      <b/>
      <sz val="20"/>
      <color indexed="9"/>
      <name val="ＭＳ Ｐゴシック"/>
      <family val="3"/>
      <charset val="128"/>
    </font>
    <font>
      <b/>
      <i/>
      <sz val="20"/>
      <color indexed="9"/>
      <name val="Times New Roman"/>
      <family val="1"/>
    </font>
    <font>
      <sz val="10"/>
      <color indexed="9"/>
      <name val="ＭＳ Ｐゴシック"/>
      <family val="3"/>
      <charset val="128"/>
    </font>
    <font>
      <b/>
      <i/>
      <sz val="14"/>
      <color indexed="26"/>
      <name val="Arial"/>
      <family val="2"/>
    </font>
    <font>
      <b/>
      <i/>
      <sz val="14"/>
      <color indexed="26"/>
      <name val="ＭＳ Ｐゴシック"/>
      <family val="3"/>
      <charset val="128"/>
    </font>
    <font>
      <b/>
      <i/>
      <sz val="14"/>
      <color indexed="42"/>
      <name val="Arial"/>
      <family val="2"/>
    </font>
    <font>
      <b/>
      <i/>
      <sz val="14"/>
      <color indexed="42"/>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indexed="12"/>
      <name val="ＭＳ Ｐゴシック"/>
      <family val="3"/>
      <charset val="128"/>
    </font>
    <font>
      <sz val="9"/>
      <name val="Times New Roman"/>
      <family val="1"/>
    </font>
    <font>
      <sz val="11"/>
      <name val="ＭＳ 明朝"/>
      <family val="1"/>
      <charset val="128"/>
    </font>
    <font>
      <sz val="14.6"/>
      <name val="ＭＳ ゴシック"/>
      <family val="3"/>
      <charset val="128"/>
    </font>
    <font>
      <sz val="11"/>
      <color indexed="63"/>
      <name val="ＭＳ Ｐゴシック"/>
      <family val="3"/>
      <charset val="128"/>
    </font>
    <font>
      <sz val="6"/>
      <name val="ＭＳ Ｐゴシック"/>
      <family val="3"/>
      <charset val="128"/>
    </font>
    <font>
      <sz val="10"/>
      <color indexed="12"/>
      <name val="ＭＳ Ｐゴシック"/>
      <family val="3"/>
      <charset val="128"/>
    </font>
    <font>
      <sz val="11"/>
      <color theme="1"/>
      <name val="ＭＳ Ｐゴシック"/>
      <family val="3"/>
      <charset val="128"/>
      <scheme val="minor"/>
    </font>
    <font>
      <sz val="12"/>
      <color rgb="FFFF0000"/>
      <name val="Arial"/>
      <family val="2"/>
    </font>
    <font>
      <b/>
      <sz val="10"/>
      <color indexed="63"/>
      <name val="Arial"/>
      <family val="2"/>
    </font>
    <font>
      <b/>
      <sz val="10"/>
      <color theme="1"/>
      <name val="ＭＳ Ｐゴシック"/>
      <family val="3"/>
      <charset val="128"/>
    </font>
    <font>
      <b/>
      <sz val="10"/>
      <color indexed="8"/>
      <name val="ＭＳ Ｐゴシック"/>
      <family val="3"/>
      <charset val="128"/>
    </font>
    <font>
      <b/>
      <sz val="12"/>
      <color theme="1"/>
      <name val="Arial"/>
      <family val="2"/>
    </font>
    <font>
      <b/>
      <sz val="12"/>
      <color theme="1"/>
      <name val="ＭＳ Ｐゴシック"/>
      <family val="3"/>
      <charset val="128"/>
    </font>
    <font>
      <b/>
      <sz val="10"/>
      <name val="ＭＳ Ｐゴシック"/>
      <family val="2"/>
      <charset val="128"/>
    </font>
    <font>
      <sz val="8"/>
      <color rgb="FFFF0000"/>
      <name val="ＭＳ Ｐゴシック"/>
      <family val="3"/>
      <charset val="128"/>
    </font>
    <font>
      <b/>
      <sz val="11"/>
      <color indexed="18"/>
      <name val="Arial"/>
      <family val="2"/>
    </font>
    <font>
      <b/>
      <sz val="10"/>
      <color rgb="FFFF0000"/>
      <name val="ＭＳ Ｐゴシック"/>
      <family val="3"/>
      <charset val="128"/>
    </font>
    <font>
      <sz val="14"/>
      <name val="Arial"/>
      <family val="2"/>
    </font>
    <font>
      <sz val="10"/>
      <name val="ＭＳ ゴシック"/>
      <family val="3"/>
      <charset val="128"/>
    </font>
    <font>
      <sz val="10"/>
      <name val="Arial"/>
      <family val="3"/>
      <charset val="128"/>
    </font>
    <font>
      <b/>
      <sz val="9"/>
      <color indexed="81"/>
      <name val="MS P ゴシック"/>
      <family val="3"/>
      <charset val="128"/>
    </font>
    <font>
      <b/>
      <sz val="10"/>
      <color indexed="18"/>
      <name val="Arial"/>
      <family val="2"/>
    </font>
    <font>
      <sz val="9"/>
      <color indexed="81"/>
      <name val="MS P ゴシック"/>
      <family val="3"/>
      <charset val="128"/>
    </font>
    <font>
      <b/>
      <vertAlign val="subscript"/>
      <sz val="9"/>
      <name val="ＭＳ Ｐゴシック"/>
      <family val="3"/>
      <charset val="128"/>
    </font>
    <font>
      <vertAlign val="subscript"/>
      <sz val="9"/>
      <name val="ＭＳ Ｐゴシック"/>
      <family val="3"/>
      <charset val="128"/>
    </font>
    <font>
      <b/>
      <i/>
      <sz val="9"/>
      <name val="Times New Roman"/>
      <family val="1"/>
    </font>
    <font>
      <sz val="11"/>
      <color indexed="22"/>
      <name val="Arial"/>
      <family val="2"/>
    </font>
    <font>
      <b/>
      <sz val="8"/>
      <color indexed="22"/>
      <name val="Arial"/>
      <family val="2"/>
    </font>
    <font>
      <i/>
      <sz val="10"/>
      <color indexed="22"/>
      <name val="ＭＳ Ｐゴシック"/>
      <family val="3"/>
      <charset val="128"/>
    </font>
    <font>
      <b/>
      <vertAlign val="subscript"/>
      <sz val="12"/>
      <color indexed="9"/>
      <name val="ＭＳ Ｐゴシック"/>
      <family val="3"/>
      <charset val="128"/>
    </font>
    <font>
      <b/>
      <sz val="11"/>
      <color indexed="10"/>
      <name val="Arial"/>
      <family val="2"/>
    </font>
    <font>
      <b/>
      <i/>
      <sz val="14"/>
      <color indexed="9"/>
      <name val="Arial"/>
      <family val="2"/>
    </font>
    <font>
      <b/>
      <i/>
      <sz val="14"/>
      <color indexed="9"/>
      <name val="ＭＳ Ｐゴシック"/>
      <family val="3"/>
      <charset val="128"/>
    </font>
    <font>
      <b/>
      <sz val="12"/>
      <color indexed="9"/>
      <name val="ＭＳ Ｐゴシック"/>
      <family val="3"/>
      <charset val="128"/>
      <scheme val="minor"/>
    </font>
    <font>
      <sz val="8"/>
      <name val="ＭＳ Ｐゴシック"/>
      <family val="3"/>
      <charset val="128"/>
      <scheme val="minor"/>
    </font>
    <font>
      <sz val="11"/>
      <name val="ＭＳ Ｐゴシック"/>
      <family val="2"/>
      <charset val="128"/>
    </font>
    <font>
      <b/>
      <sz val="12"/>
      <color indexed="63"/>
      <name val="Arial"/>
      <family val="2"/>
    </font>
    <font>
      <b/>
      <sz val="9"/>
      <color rgb="FFFFFFCC"/>
      <name val="Arial"/>
      <family val="2"/>
    </font>
    <font>
      <b/>
      <sz val="9"/>
      <color rgb="FFCCFFCC"/>
      <name val="Arial"/>
      <family val="2"/>
    </font>
    <font>
      <b/>
      <sz val="11"/>
      <color theme="8" tint="0.59999389629810485"/>
      <name val="ＭＳ Ｐゴシック"/>
      <family val="3"/>
      <charset val="128"/>
    </font>
    <font>
      <sz val="10"/>
      <name val="ＭＳ Ｐゴシック"/>
      <family val="2"/>
      <charset val="128"/>
    </font>
    <font>
      <b/>
      <i/>
      <sz val="11"/>
      <color rgb="FFFFFFFF"/>
      <name val="Arial"/>
      <family val="2"/>
    </font>
    <font>
      <b/>
      <sz val="12"/>
      <color theme="0"/>
      <name val="Arial"/>
      <family val="2"/>
    </font>
    <font>
      <sz val="10"/>
      <name val="Arial"/>
      <family val="3"/>
    </font>
    <font>
      <sz val="11"/>
      <color rgb="FFFF0000"/>
      <name val="ＭＳ Ｐゴシック"/>
      <family val="2"/>
      <charset val="128"/>
    </font>
    <font>
      <b/>
      <sz val="11"/>
      <color rgb="FFFF0000"/>
      <name val="Yu Gothic"/>
      <family val="2"/>
      <charset val="128"/>
    </font>
    <font>
      <b/>
      <sz val="12"/>
      <color theme="6" tint="-0.499984740745262"/>
      <name val="Arial"/>
      <family val="2"/>
    </font>
    <font>
      <sz val="9"/>
      <color rgb="FFFF0000"/>
      <name val="Arial"/>
      <family val="2"/>
    </font>
    <font>
      <sz val="9"/>
      <color rgb="FFFF0000"/>
      <name val="ＭＳ Ｐゴシック"/>
      <family val="3"/>
      <charset val="128"/>
    </font>
    <font>
      <sz val="9"/>
      <name val="ＭＳ Ｐゴシック"/>
      <family val="2"/>
      <charset val="128"/>
    </font>
    <font>
      <sz val="10"/>
      <color rgb="FF0000FF"/>
      <name val="ＭＳ Ｐゴシック"/>
      <family val="3"/>
      <charset val="128"/>
    </font>
    <font>
      <b/>
      <sz val="9"/>
      <color theme="1"/>
      <name val="ＭＳ Ｐゴシック"/>
      <family val="3"/>
      <charset val="128"/>
    </font>
    <font>
      <sz val="9"/>
      <name val="Microsoft YaHei"/>
      <family val="2"/>
      <charset val="134"/>
    </font>
    <font>
      <sz val="9"/>
      <color theme="1"/>
      <name val="ＭＳ Ｐゴシック"/>
      <family val="3"/>
      <charset val="128"/>
    </font>
    <font>
      <b/>
      <sz val="9"/>
      <color indexed="10"/>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9"/>
      <color rgb="FF000080"/>
      <name val="Yu Gothic"/>
      <family val="3"/>
      <charset val="128"/>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2"/>
      <color rgb="FFFFFFFF"/>
      <name val="ＭＳ Ｐゴシック"/>
      <family val="3"/>
      <charset val="128"/>
    </font>
    <font>
      <b/>
      <sz val="10"/>
      <name val="ＭＳ ゴシック"/>
      <family val="3"/>
      <charset val="128"/>
    </font>
    <font>
      <sz val="10"/>
      <name val="Arial"/>
      <family val="1"/>
    </font>
    <font>
      <sz val="10"/>
      <name val="Microsoft JhengHei"/>
      <family val="2"/>
      <charset val="136"/>
    </font>
    <font>
      <b/>
      <sz val="12"/>
      <color rgb="FF000000"/>
      <name val="Yu Gothic"/>
      <family val="2"/>
      <charset val="128"/>
    </font>
    <font>
      <b/>
      <sz val="12"/>
      <color rgb="FF000000"/>
      <name val="ＭＳ ゴシック"/>
      <family val="3"/>
      <charset val="128"/>
    </font>
    <font>
      <b/>
      <sz val="10"/>
      <color rgb="FFFF0000"/>
      <name val="Arial"/>
      <family val="2"/>
    </font>
    <font>
      <b/>
      <sz val="10"/>
      <name val="Arial"/>
      <family val="3"/>
      <charset val="128"/>
    </font>
    <font>
      <b/>
      <sz val="12"/>
      <name val="ＭＳ ゴシック"/>
      <family val="3"/>
      <charset val="128"/>
    </font>
    <font>
      <sz val="11"/>
      <color theme="1"/>
      <name val="Arial"/>
      <family val="2"/>
    </font>
    <font>
      <sz val="11"/>
      <color theme="1"/>
      <name val="ＭＳ Ｐゴシック"/>
      <family val="3"/>
      <charset val="128"/>
    </font>
    <font>
      <sz val="12"/>
      <color theme="1"/>
      <name val="ＭＳ Ｐゴシック"/>
      <family val="3"/>
      <charset val="128"/>
    </font>
    <font>
      <b/>
      <sz val="10"/>
      <color theme="0"/>
      <name val="ＭＳ Ｐゴシック"/>
      <family val="3"/>
      <charset val="128"/>
      <scheme val="minor"/>
    </font>
    <font>
      <b/>
      <vertAlign val="subscript"/>
      <sz val="10"/>
      <color theme="0"/>
      <name val="ＭＳ Ｐゴシック"/>
      <family val="3"/>
      <charset val="128"/>
      <scheme val="minor"/>
    </font>
    <font>
      <sz val="10"/>
      <color theme="1"/>
      <name val="ＭＳ Ｐゴシック"/>
      <family val="3"/>
      <charset val="128"/>
    </font>
    <font>
      <sz val="11"/>
      <color rgb="FFFF0000"/>
      <name val="ＭＳ Ｐゴシック"/>
      <family val="3"/>
      <charset val="128"/>
      <scheme val="minor"/>
    </font>
    <font>
      <sz val="10"/>
      <color theme="1"/>
      <name val="Wingdings"/>
      <charset val="2"/>
    </font>
    <font>
      <b/>
      <vertAlign val="subscript"/>
      <sz val="12"/>
      <color rgb="FFFFFFFF"/>
      <name val="ＭＳ Ｐゴシック"/>
      <family val="3"/>
      <charset val="128"/>
    </font>
    <font>
      <sz val="9"/>
      <color indexed="60"/>
      <name val="ＭＳ Ｐゴシック"/>
      <family val="3"/>
      <charset val="128"/>
    </font>
    <font>
      <sz val="11"/>
      <color indexed="48"/>
      <name val="ＭＳ Ｐゴシック"/>
      <family val="3"/>
      <charset val="128"/>
    </font>
    <font>
      <sz val="9"/>
      <color indexed="48"/>
      <name val="ＭＳ Ｐゴシック"/>
      <family val="3"/>
      <charset val="128"/>
    </font>
    <font>
      <sz val="11"/>
      <color indexed="16"/>
      <name val="ＭＳ Ｐゴシック"/>
      <family val="3"/>
      <charset val="128"/>
    </font>
    <font>
      <sz val="16"/>
      <name val="ＭＳ Ｐゴシック"/>
      <family val="3"/>
      <charset val="128"/>
    </font>
    <font>
      <b/>
      <sz val="10"/>
      <name val="Yu Gothic"/>
      <family val="2"/>
      <charset val="128"/>
    </font>
    <font>
      <b/>
      <sz val="12"/>
      <color rgb="FFFFFFFF"/>
      <name val="ＭＳ ゴシック"/>
      <family val="3"/>
      <charset val="128"/>
    </font>
    <font>
      <b/>
      <sz val="12"/>
      <color rgb="FFFFFFFF"/>
      <name val="Yu Gothic"/>
      <family val="3"/>
      <charset val="128"/>
    </font>
    <font>
      <b/>
      <sz val="11"/>
      <color theme="8" tint="0.59999389629810485"/>
      <name val="Arial"/>
      <family val="2"/>
    </font>
    <font>
      <sz val="11"/>
      <color rgb="FFFF0000"/>
      <name val="ＭＳ Ｐゴシック"/>
      <family val="3"/>
      <charset val="128"/>
    </font>
    <font>
      <sz val="9"/>
      <color rgb="FF000000"/>
      <name val="Meiryo UI"/>
      <family val="3"/>
      <charset val="128"/>
    </font>
    <font>
      <b/>
      <sz val="14"/>
      <name val="ＭＳ Ｐゴシック"/>
      <family val="3"/>
      <charset val="128"/>
    </font>
    <font>
      <b/>
      <sz val="24"/>
      <name val="ＭＳ Ｐゴシック"/>
      <family val="3"/>
      <charset val="128"/>
    </font>
    <font>
      <sz val="6"/>
      <name val="ＭＳ Ｐゴシック"/>
      <family val="2"/>
      <charset val="128"/>
      <scheme val="minor"/>
    </font>
    <font>
      <b/>
      <sz val="14"/>
      <color theme="0"/>
      <name val="ＭＳ Ｐゴシック"/>
      <family val="3"/>
      <charset val="128"/>
    </font>
    <font>
      <b/>
      <sz val="10"/>
      <color theme="0"/>
      <name val="ＭＳ Ｐゴシック"/>
      <family val="3"/>
      <charset val="128"/>
    </font>
    <font>
      <sz val="10"/>
      <color theme="0"/>
      <name val="ＭＳ Ｐゴシック"/>
      <family val="3"/>
      <charset val="128"/>
    </font>
    <font>
      <sz val="8"/>
      <color theme="0"/>
      <name val="ＭＳ Ｐゴシック"/>
      <family val="3"/>
      <charset val="128"/>
    </font>
    <font>
      <sz val="9"/>
      <color theme="0"/>
      <name val="ＭＳ Ｐゴシック"/>
      <family val="3"/>
      <charset val="128"/>
    </font>
    <font>
      <b/>
      <sz val="10"/>
      <color theme="1"/>
      <name val="游ゴシック"/>
      <family val="3"/>
      <charset val="128"/>
    </font>
    <font>
      <b/>
      <sz val="7"/>
      <color theme="1"/>
      <name val="游ゴシック"/>
      <family val="3"/>
      <charset val="128"/>
    </font>
    <font>
      <b/>
      <sz val="9"/>
      <color theme="1"/>
      <name val="游ゴシック"/>
      <family val="3"/>
      <charset val="128"/>
    </font>
    <font>
      <sz val="7"/>
      <name val="HG行書体"/>
      <family val="4"/>
      <charset val="128"/>
    </font>
    <font>
      <sz val="14"/>
      <color theme="1"/>
      <name val="ＭＳ Ｐゴシック"/>
      <family val="3"/>
      <charset val="128"/>
    </font>
    <font>
      <b/>
      <sz val="10"/>
      <name val="游ゴシック"/>
      <family val="3"/>
      <charset val="128"/>
    </font>
    <font>
      <b/>
      <sz val="7"/>
      <name val="游ゴシック"/>
      <family val="3"/>
      <charset val="128"/>
    </font>
    <font>
      <sz val="14"/>
      <color rgb="FF006600"/>
      <name val="ＭＳ Ｐゴシック"/>
      <family val="3"/>
      <charset val="128"/>
    </font>
    <font>
      <sz val="18"/>
      <name val="ＭＳ Ｐゴシック"/>
      <family val="3"/>
      <charset val="128"/>
    </font>
    <font>
      <sz val="9"/>
      <name val="游ゴシック"/>
      <family val="3"/>
      <charset val="128"/>
    </font>
    <font>
      <b/>
      <sz val="9"/>
      <color theme="0"/>
      <name val="游ゴシック"/>
      <family val="3"/>
      <charset val="128"/>
    </font>
    <font>
      <b/>
      <sz val="11"/>
      <color rgb="FFFFFFFF"/>
      <name val="ＭＳ ゴシック"/>
      <family val="3"/>
      <charset val="128"/>
    </font>
    <font>
      <b/>
      <sz val="11"/>
      <color rgb="FFFFFFFF"/>
      <name val="Arial"/>
      <family val="2"/>
    </font>
    <font>
      <b/>
      <sz val="11"/>
      <color rgb="FFFFFFFF"/>
      <name val="Yu Gothic"/>
      <family val="2"/>
      <charset val="128"/>
    </font>
    <font>
      <b/>
      <sz val="10"/>
      <name val="Arial"/>
      <family val="3"/>
    </font>
    <font>
      <b/>
      <sz val="10"/>
      <name val="Yu Gothic"/>
      <family val="3"/>
      <charset val="128"/>
    </font>
    <font>
      <b/>
      <sz val="7"/>
      <name val="Arial"/>
      <family val="2"/>
    </font>
    <font>
      <b/>
      <sz val="6"/>
      <name val="ＭＳ Ｐゴシック"/>
      <family val="3"/>
      <charset val="128"/>
    </font>
    <font>
      <b/>
      <sz val="6"/>
      <name val="游ゴシック"/>
      <family val="3"/>
      <charset val="128"/>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63"/>
        <bgColor indexed="64"/>
      </patternFill>
    </fill>
    <fill>
      <patternFill patternType="solid">
        <fgColor indexed="41"/>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17"/>
        <bgColor indexed="64"/>
      </patternFill>
    </fill>
    <fill>
      <patternFill patternType="solid">
        <fgColor indexed="27"/>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C0C0C0"/>
        <bgColor indexed="64"/>
      </patternFill>
    </fill>
    <fill>
      <patternFill patternType="solid">
        <fgColor indexed="40"/>
        <bgColor indexed="64"/>
      </patternFill>
    </fill>
    <fill>
      <patternFill patternType="solid">
        <fgColor theme="0" tint="-0.249977111117893"/>
        <bgColor indexed="64"/>
      </patternFill>
    </fill>
    <fill>
      <patternFill patternType="lightUp">
        <bgColor rgb="FFFFFFCC"/>
      </patternFill>
    </fill>
    <fill>
      <patternFill patternType="solid">
        <fgColor theme="0" tint="-0.14999847407452621"/>
        <bgColor indexed="64"/>
      </patternFill>
    </fill>
    <fill>
      <patternFill patternType="solid">
        <fgColor theme="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rgb="FF99CCFF"/>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6C6F"/>
        <bgColor theme="0"/>
      </patternFill>
    </fill>
    <fill>
      <patternFill patternType="solid">
        <fgColor theme="0" tint="-0.249977111117893"/>
        <bgColor theme="0"/>
      </patternFill>
    </fill>
    <fill>
      <patternFill patternType="solid">
        <fgColor rgb="FFFFE699"/>
        <bgColor indexed="64"/>
      </patternFill>
    </fill>
    <fill>
      <patternFill patternType="solid">
        <fgColor rgb="FF78C965"/>
        <bgColor indexed="64"/>
      </patternFill>
    </fill>
    <fill>
      <patternFill patternType="solid">
        <fgColor rgb="FFEE7281"/>
        <bgColor indexed="64"/>
      </patternFill>
    </fill>
    <fill>
      <patternFill patternType="solid">
        <fgColor rgb="FFFE8676"/>
        <bgColor indexed="64"/>
      </patternFill>
    </fill>
    <fill>
      <patternFill patternType="solid">
        <fgColor rgb="FF86DAEE"/>
        <bgColor indexed="64"/>
      </patternFill>
    </fill>
    <fill>
      <patternFill patternType="solid">
        <fgColor rgb="FFFDDD77"/>
        <bgColor indexed="64"/>
      </patternFill>
    </fill>
    <fill>
      <patternFill patternType="solid">
        <fgColor rgb="FFE44A7A"/>
        <bgColor indexed="64"/>
      </patternFill>
    </fill>
    <fill>
      <patternFill patternType="solid">
        <fgColor rgb="FFFD8C59"/>
        <bgColor indexed="64"/>
      </patternFill>
    </fill>
    <fill>
      <patternFill patternType="solid">
        <fgColor rgb="FFFF75AE"/>
        <bgColor indexed="64"/>
      </patternFill>
    </fill>
    <fill>
      <patternFill patternType="solid">
        <fgColor rgb="FFFDBB6B"/>
        <bgColor indexed="64"/>
      </patternFill>
    </fill>
    <fill>
      <patternFill patternType="solid">
        <fgColor rgb="FFDBB36B"/>
        <bgColor indexed="64"/>
      </patternFill>
    </fill>
    <fill>
      <patternFill patternType="solid">
        <fgColor rgb="FF77BB7C"/>
        <bgColor indexed="64"/>
      </patternFill>
    </fill>
    <fill>
      <patternFill patternType="solid">
        <fgColor rgb="FFB4C6E7"/>
        <bgColor indexed="64"/>
      </patternFill>
    </fill>
    <fill>
      <patternFill patternType="solid">
        <fgColor rgb="FF9BE27E"/>
        <bgColor indexed="64"/>
      </patternFill>
    </fill>
    <fill>
      <patternFill patternType="solid">
        <fgColor rgb="FF9BC2E6"/>
        <bgColor indexed="64"/>
      </patternFill>
    </fill>
    <fill>
      <patternFill patternType="solid">
        <fgColor rgb="FF6DADDD"/>
        <bgColor indexed="64"/>
      </patternFill>
    </fill>
    <fill>
      <patternFill patternType="solid">
        <fgColor theme="2" tint="-0.749992370372631"/>
        <bgColor indexed="64"/>
      </patternFill>
    </fill>
    <fill>
      <patternFill patternType="solid">
        <fgColor theme="5" tint="0.39997558519241921"/>
        <bgColor indexed="64"/>
      </patternFill>
    </fill>
  </fills>
  <borders count="2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17"/>
      </left>
      <right/>
      <top/>
      <bottom/>
      <diagonal/>
    </border>
    <border>
      <left/>
      <right style="medium">
        <color indexed="17"/>
      </right>
      <top/>
      <bottom/>
      <diagonal/>
    </border>
    <border>
      <left/>
      <right/>
      <top/>
      <bottom style="hair">
        <color indexed="64"/>
      </bottom>
      <diagonal/>
    </border>
    <border>
      <left/>
      <right/>
      <top style="hair">
        <color indexed="64"/>
      </top>
      <bottom style="medium">
        <color indexed="17"/>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hair">
        <color indexed="64"/>
      </right>
      <top style="medium">
        <color indexed="64"/>
      </top>
      <bottom/>
      <diagonal/>
    </border>
    <border>
      <left/>
      <right style="hair">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style="medium">
        <color indexed="17"/>
      </right>
      <top style="thin">
        <color indexed="57"/>
      </top>
      <bottom style="thin">
        <color indexed="57"/>
      </bottom>
      <diagonal/>
    </border>
    <border>
      <left style="thin">
        <color indexed="64"/>
      </left>
      <right style="medium">
        <color indexed="17"/>
      </right>
      <top style="thin">
        <color indexed="64"/>
      </top>
      <bottom style="thin">
        <color indexed="64"/>
      </bottom>
      <diagonal/>
    </border>
    <border>
      <left/>
      <right style="medium">
        <color indexed="17"/>
      </right>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right style="medium">
        <color indexed="17"/>
      </right>
      <top style="hair">
        <color indexed="64"/>
      </top>
      <bottom style="medium">
        <color indexed="17"/>
      </bottom>
      <diagonal/>
    </border>
    <border>
      <left style="medium">
        <color indexed="17"/>
      </left>
      <right/>
      <top/>
      <bottom style="medium">
        <color indexed="17"/>
      </bottom>
      <diagonal/>
    </border>
    <border>
      <left style="medium">
        <color indexed="17"/>
      </left>
      <right style="medium">
        <color indexed="17"/>
      </right>
      <top style="thin">
        <color indexed="17"/>
      </top>
      <bottom style="medium">
        <color indexed="17"/>
      </bottom>
      <diagonal/>
    </border>
    <border>
      <left/>
      <right style="medium">
        <color indexed="17"/>
      </right>
      <top style="thin">
        <color indexed="17"/>
      </top>
      <bottom style="medium">
        <color indexed="17"/>
      </bottom>
      <diagonal/>
    </border>
    <border>
      <left/>
      <right/>
      <top style="thin">
        <color indexed="17"/>
      </top>
      <bottom style="thin">
        <color indexed="17"/>
      </bottom>
      <diagonal/>
    </border>
    <border>
      <left/>
      <right style="medium">
        <color indexed="17"/>
      </right>
      <top style="thin">
        <color indexed="17"/>
      </top>
      <bottom style="thin">
        <color indexed="17"/>
      </bottom>
      <diagonal/>
    </border>
    <border>
      <left style="medium">
        <color indexed="17"/>
      </left>
      <right style="medium">
        <color indexed="17"/>
      </right>
      <top style="thin">
        <color indexed="17"/>
      </top>
      <bottom style="thin">
        <color indexed="17"/>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17"/>
      </bottom>
      <diagonal/>
    </border>
    <border>
      <left/>
      <right/>
      <top style="thin">
        <color indexed="17"/>
      </top>
      <bottom/>
      <diagonal/>
    </border>
    <border>
      <left style="thin">
        <color indexed="64"/>
      </left>
      <right/>
      <top/>
      <bottom style="medium">
        <color indexed="17"/>
      </bottom>
      <diagonal/>
    </border>
    <border>
      <left/>
      <right style="medium">
        <color indexed="17"/>
      </right>
      <top style="thin">
        <color indexed="64"/>
      </top>
      <bottom style="thin">
        <color indexed="64"/>
      </bottom>
      <diagonal/>
    </border>
    <border>
      <left/>
      <right style="medium">
        <color indexed="17"/>
      </right>
      <top/>
      <bottom style="thin">
        <color indexed="64"/>
      </bottom>
      <diagonal/>
    </border>
    <border>
      <left style="thin">
        <color indexed="64"/>
      </left>
      <right/>
      <top style="thin">
        <color indexed="17"/>
      </top>
      <bottom/>
      <diagonal/>
    </border>
    <border>
      <left/>
      <right style="medium">
        <color indexed="17"/>
      </right>
      <top style="thin">
        <color indexed="17"/>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bottom/>
      <diagonal/>
    </border>
    <border>
      <left style="thin">
        <color indexed="64"/>
      </left>
      <right/>
      <top style="thin">
        <color indexed="57"/>
      </top>
      <bottom style="thin">
        <color indexed="64"/>
      </bottom>
      <diagonal/>
    </border>
    <border>
      <left/>
      <right style="thin">
        <color indexed="64"/>
      </right>
      <top style="thin">
        <color indexed="57"/>
      </top>
      <bottom style="thin">
        <color indexed="64"/>
      </bottom>
      <diagonal/>
    </border>
    <border>
      <left style="thin">
        <color indexed="64"/>
      </left>
      <right/>
      <top style="medium">
        <color indexed="17"/>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medium">
        <color indexed="64"/>
      </top>
      <bottom/>
      <diagonal/>
    </border>
    <border>
      <left style="dotted">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dotted">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left>
      <right style="thick">
        <color theme="0"/>
      </right>
      <top style="thick">
        <color indexed="10"/>
      </top>
      <bottom style="thin">
        <color indexed="9"/>
      </bottom>
      <diagonal/>
    </border>
    <border>
      <left/>
      <right style="thin">
        <color indexed="9"/>
      </right>
      <top style="thin">
        <color indexed="9"/>
      </top>
      <bottom style="thin">
        <color indexed="9"/>
      </bottom>
      <diagonal/>
    </border>
    <border>
      <left style="thick">
        <color indexed="10"/>
      </left>
      <right style="thin">
        <color theme="0"/>
      </right>
      <top style="thick">
        <color indexed="9"/>
      </top>
      <bottom style="thin">
        <color theme="0"/>
      </bottom>
      <diagonal/>
    </border>
    <border>
      <left/>
      <right style="thick">
        <color indexed="10"/>
      </right>
      <top style="thick">
        <color indexed="9"/>
      </top>
      <bottom style="thick">
        <color indexed="10"/>
      </bottom>
      <diagonal/>
    </border>
    <border>
      <left/>
      <right/>
      <top/>
      <bottom style="thick">
        <color indexed="10"/>
      </bottom>
      <diagonal/>
    </border>
    <border>
      <left style="thick">
        <color indexed="10"/>
      </left>
      <right/>
      <top/>
      <bottom style="thick">
        <color indexed="10"/>
      </bottom>
      <diagonal/>
    </border>
    <border>
      <left style="thick">
        <color indexed="10"/>
      </left>
      <right style="thin">
        <color theme="0"/>
      </right>
      <top style="thin">
        <color theme="0"/>
      </top>
      <bottom style="thick">
        <color indexed="9"/>
      </bottom>
      <diagonal/>
    </border>
    <border>
      <left/>
      <right style="thick">
        <color indexed="10"/>
      </right>
      <top style="thick">
        <color indexed="10"/>
      </top>
      <bottom style="thick">
        <color indexed="9"/>
      </bottom>
      <diagonal/>
    </border>
    <border>
      <left/>
      <right/>
      <top style="thick">
        <color indexed="10"/>
      </top>
      <bottom/>
      <diagonal/>
    </border>
    <border>
      <left style="thick">
        <color indexed="10"/>
      </left>
      <right/>
      <top style="thick">
        <color indexed="10"/>
      </top>
      <bottom style="thick">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ck">
        <color indexed="10"/>
      </left>
      <right style="thick">
        <color indexed="10"/>
      </right>
      <top style="thick">
        <color indexed="10"/>
      </top>
      <bottom style="thick">
        <color indexed="10"/>
      </bottom>
      <diagonal/>
    </border>
    <border>
      <left style="thick">
        <color indexed="12"/>
      </left>
      <right style="thin">
        <color theme="0"/>
      </right>
      <top style="thick">
        <color indexed="9"/>
      </top>
      <bottom style="thin">
        <color theme="0"/>
      </bottom>
      <diagonal/>
    </border>
    <border>
      <left/>
      <right style="thick">
        <color indexed="12"/>
      </right>
      <top style="thick">
        <color indexed="9"/>
      </top>
      <bottom style="thick">
        <color indexed="12"/>
      </bottom>
      <diagonal/>
    </border>
    <border>
      <left/>
      <right/>
      <top/>
      <bottom style="thick">
        <color indexed="12"/>
      </bottom>
      <diagonal/>
    </border>
    <border>
      <left style="thick">
        <color indexed="12"/>
      </left>
      <right/>
      <top/>
      <bottom style="thick">
        <color indexed="12"/>
      </bottom>
      <diagonal/>
    </border>
    <border>
      <left style="thick">
        <color indexed="9"/>
      </left>
      <right style="thick">
        <color indexed="12"/>
      </right>
      <top style="thick">
        <color indexed="9"/>
      </top>
      <bottom style="thick">
        <color indexed="9"/>
      </bottom>
      <diagonal/>
    </border>
    <border>
      <left style="thin">
        <color indexed="9"/>
      </left>
      <right/>
      <top style="thin">
        <color indexed="9"/>
      </top>
      <bottom style="thin">
        <color indexed="9"/>
      </bottom>
      <diagonal/>
    </border>
    <border>
      <left style="thick">
        <color indexed="12"/>
      </left>
      <right style="thin">
        <color theme="0"/>
      </right>
      <top style="thin">
        <color theme="0"/>
      </top>
      <bottom style="thick">
        <color indexed="9"/>
      </bottom>
      <diagonal/>
    </border>
    <border>
      <left/>
      <right style="thick">
        <color indexed="12"/>
      </right>
      <top style="thick">
        <color indexed="12"/>
      </top>
      <bottom style="thick">
        <color indexed="9"/>
      </bottom>
      <diagonal/>
    </border>
    <border>
      <left/>
      <right/>
      <top style="thick">
        <color indexed="12"/>
      </top>
      <bottom/>
      <diagonal/>
    </border>
    <border>
      <left style="thick">
        <color indexed="12"/>
      </left>
      <right/>
      <top style="thick">
        <color indexed="12"/>
      </top>
      <bottom style="thick">
        <color indexed="9"/>
      </bottom>
      <diagonal/>
    </border>
    <border>
      <left style="thin">
        <color theme="0"/>
      </left>
      <right style="thin">
        <color theme="0"/>
      </right>
      <top style="thin">
        <color theme="0"/>
      </top>
      <bottom style="thin">
        <color theme="0"/>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right/>
      <top style="hair">
        <color indexed="64"/>
      </top>
      <bottom style="hair">
        <color indexed="64"/>
      </bottom>
      <diagonal/>
    </border>
    <border>
      <left style="double">
        <color indexed="64"/>
      </left>
      <right style="hair">
        <color indexed="64"/>
      </right>
      <top style="hair">
        <color indexed="64"/>
      </top>
      <bottom/>
      <diagonal/>
    </border>
    <border>
      <left style="thin">
        <color indexed="64"/>
      </left>
      <right/>
      <top style="hair">
        <color indexed="64"/>
      </top>
      <bottom/>
      <diagonal/>
    </border>
    <border>
      <left style="double">
        <color indexed="64"/>
      </left>
      <right style="hair">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uble">
        <color indexed="64"/>
      </left>
      <right style="hair">
        <color indexed="64"/>
      </right>
      <top/>
      <bottom style="thin">
        <color indexed="64"/>
      </bottom>
      <diagonal/>
    </border>
  </borders>
  <cellStyleXfs count="54">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14" fillId="0" borderId="0" applyNumberFormat="0" applyFill="0" applyBorder="0" applyAlignment="0" applyProtection="0">
      <alignment vertical="center"/>
    </xf>
    <xf numFmtId="0" fontId="13" fillId="20" borderId="1" applyNumberFormat="0" applyAlignment="0" applyProtection="0">
      <alignment vertical="center"/>
    </xf>
    <xf numFmtId="0" fontId="115" fillId="21" borderId="0" applyNumberFormat="0" applyBorder="0" applyAlignment="0" applyProtection="0">
      <alignment vertical="center"/>
    </xf>
    <xf numFmtId="9" fontId="1" fillId="0" borderId="0" applyFont="0" applyFill="0" applyBorder="0" applyAlignment="0" applyProtection="0">
      <alignment vertical="center"/>
    </xf>
    <xf numFmtId="0" fontId="70"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16" fillId="0" borderId="3" applyNumberFormat="0" applyFill="0" applyAlignment="0" applyProtection="0">
      <alignment vertical="center"/>
    </xf>
    <xf numFmtId="0" fontId="117" fillId="3" borderId="0" applyNumberFormat="0" applyBorder="0" applyAlignment="0" applyProtection="0">
      <alignment vertical="center"/>
    </xf>
    <xf numFmtId="0" fontId="118"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182" fontId="127" fillId="0" borderId="0" applyFill="0" applyBorder="0" applyProtection="0">
      <alignment horizontal="right" vertical="center"/>
    </xf>
    <xf numFmtId="0" fontId="119" fillId="0" borderId="5" applyNumberFormat="0" applyFill="0" applyAlignment="0" applyProtection="0">
      <alignment vertical="center"/>
    </xf>
    <xf numFmtId="0" fontId="120" fillId="0" borderId="6" applyNumberFormat="0" applyFill="0" applyAlignment="0" applyProtection="0">
      <alignment vertical="center"/>
    </xf>
    <xf numFmtId="0" fontId="121" fillId="0" borderId="7" applyNumberFormat="0" applyFill="0" applyAlignment="0" applyProtection="0">
      <alignment vertical="center"/>
    </xf>
    <xf numFmtId="0" fontId="121" fillId="0" borderId="0" applyNumberFormat="0" applyFill="0" applyBorder="0" applyAlignment="0" applyProtection="0">
      <alignment vertical="center"/>
    </xf>
    <xf numFmtId="0" fontId="128" fillId="0" borderId="0" applyFill="0" applyBorder="0">
      <alignment horizontal="center" vertical="center"/>
    </xf>
    <xf numFmtId="0" fontId="61" fillId="0" borderId="8" applyNumberFormat="0" applyFill="0" applyAlignment="0" applyProtection="0">
      <alignment vertical="center"/>
    </xf>
    <xf numFmtId="0" fontId="122" fillId="23" borderId="9" applyNumberFormat="0" applyAlignment="0" applyProtection="0">
      <alignment vertical="center"/>
    </xf>
    <xf numFmtId="0" fontId="123" fillId="0" borderId="0" applyNumberFormat="0" applyFill="0" applyBorder="0" applyAlignment="0" applyProtection="0">
      <alignment vertical="center"/>
    </xf>
    <xf numFmtId="0" fontId="124" fillId="7" borderId="4" applyNumberFormat="0" applyAlignment="0" applyProtection="0">
      <alignment vertical="center"/>
    </xf>
    <xf numFmtId="0" fontId="133" fillId="0" borderId="0">
      <alignment vertical="center"/>
    </xf>
    <xf numFmtId="0" fontId="1" fillId="0" borderId="0"/>
    <xf numFmtId="0" fontId="129" fillId="0" borderId="0" applyFill="0" applyBorder="0">
      <alignment horizontal="left" vertical="center"/>
    </xf>
    <xf numFmtId="0" fontId="125"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2035">
    <xf numFmtId="0" fontId="0" fillId="0" borderId="0" xfId="0">
      <alignment vertical="center"/>
    </xf>
    <xf numFmtId="178" fontId="6" fillId="24" borderId="0" xfId="0" applyNumberFormat="1" applyFont="1" applyFill="1" applyAlignment="1">
      <alignment horizontal="left"/>
    </xf>
    <xf numFmtId="0" fontId="0" fillId="25" borderId="0" xfId="0" applyFill="1">
      <alignment vertical="center"/>
    </xf>
    <xf numFmtId="0" fontId="12" fillId="25" borderId="0" xfId="0" applyFont="1" applyFill="1">
      <alignment vertical="center"/>
    </xf>
    <xf numFmtId="0" fontId="0" fillId="25" borderId="0" xfId="0" applyFill="1" applyAlignment="1"/>
    <xf numFmtId="0" fontId="5" fillId="25" borderId="0" xfId="0" applyFont="1" applyFill="1">
      <alignment vertical="center"/>
    </xf>
    <xf numFmtId="0" fontId="2" fillId="24" borderId="0" xfId="0" applyFont="1" applyFill="1" applyProtection="1">
      <alignment vertical="center"/>
      <protection hidden="1"/>
    </xf>
    <xf numFmtId="0" fontId="4" fillId="24" borderId="0" xfId="0" applyFont="1" applyFill="1" applyProtection="1">
      <alignment vertical="center"/>
      <protection hidden="1"/>
    </xf>
    <xf numFmtId="0" fontId="68" fillId="0" borderId="0" xfId="0" applyFont="1" applyProtection="1">
      <alignment vertical="center"/>
      <protection hidden="1"/>
    </xf>
    <xf numFmtId="0" fontId="1" fillId="24" borderId="0" xfId="0" applyFont="1" applyFill="1" applyProtection="1">
      <alignment vertical="center"/>
      <protection hidden="1"/>
    </xf>
    <xf numFmtId="0" fontId="0" fillId="25" borderId="0" xfId="0" applyFill="1" applyProtection="1">
      <alignment vertical="center"/>
      <protection hidden="1"/>
    </xf>
    <xf numFmtId="0" fontId="43" fillId="24" borderId="0" xfId="0" applyFont="1" applyFill="1" applyProtection="1">
      <alignment vertical="center"/>
      <protection hidden="1"/>
    </xf>
    <xf numFmtId="0" fontId="41" fillId="24" borderId="0" xfId="0" applyFont="1" applyFill="1" applyAlignment="1" applyProtection="1">
      <alignment horizontal="left" vertical="center"/>
      <protection hidden="1"/>
    </xf>
    <xf numFmtId="0" fontId="41" fillId="24" borderId="0" xfId="0" applyFont="1" applyFill="1" applyAlignment="1" applyProtection="1">
      <alignment horizontal="right" vertical="center"/>
      <protection hidden="1"/>
    </xf>
    <xf numFmtId="0" fontId="41" fillId="24" borderId="0" xfId="0" applyFont="1" applyFill="1" applyProtection="1">
      <alignment vertical="center"/>
      <protection hidden="1"/>
    </xf>
    <xf numFmtId="0" fontId="42" fillId="24" borderId="0" xfId="0" applyFont="1" applyFill="1" applyProtection="1">
      <alignment vertical="center"/>
      <protection hidden="1"/>
    </xf>
    <xf numFmtId="0" fontId="42" fillId="24" borderId="0" xfId="0" applyFont="1" applyFill="1" applyAlignment="1" applyProtection="1">
      <alignment horizontal="center" vertical="center"/>
      <protection hidden="1"/>
    </xf>
    <xf numFmtId="0" fontId="44" fillId="24" borderId="0" xfId="0" applyFont="1" applyFill="1" applyAlignment="1" applyProtection="1">
      <alignment horizontal="center" vertical="center"/>
      <protection hidden="1"/>
    </xf>
    <xf numFmtId="0" fontId="45" fillId="24" borderId="0" xfId="0" applyFont="1" applyFill="1" applyProtection="1">
      <alignment vertical="center"/>
      <protection hidden="1"/>
    </xf>
    <xf numFmtId="0" fontId="48" fillId="24" borderId="0" xfId="0" applyFont="1" applyFill="1" applyProtection="1">
      <alignment vertical="center"/>
      <protection hidden="1"/>
    </xf>
    <xf numFmtId="3" fontId="19" fillId="24" borderId="0" xfId="0" applyNumberFormat="1" applyFont="1" applyFill="1" applyAlignment="1" applyProtection="1">
      <alignment horizontal="left" vertical="center"/>
      <protection hidden="1"/>
    </xf>
    <xf numFmtId="0" fontId="12" fillId="24" borderId="10" xfId="0" applyFont="1" applyFill="1" applyBorder="1" applyProtection="1">
      <alignment vertical="center"/>
      <protection hidden="1"/>
    </xf>
    <xf numFmtId="3" fontId="12" fillId="24" borderId="0" xfId="0" applyNumberFormat="1" applyFont="1" applyFill="1" applyAlignment="1" applyProtection="1">
      <alignment horizontal="left" vertical="center"/>
      <protection hidden="1"/>
    </xf>
    <xf numFmtId="0" fontId="55" fillId="24" borderId="0" xfId="0" applyFont="1" applyFill="1" applyProtection="1">
      <alignment vertical="center"/>
      <protection hidden="1"/>
    </xf>
    <xf numFmtId="180" fontId="55" fillId="24" borderId="0" xfId="0" applyNumberFormat="1" applyFont="1" applyFill="1" applyAlignment="1" applyProtection="1">
      <alignment horizontal="left" vertical="center"/>
      <protection hidden="1"/>
    </xf>
    <xf numFmtId="0" fontId="35" fillId="24" borderId="0" xfId="0" applyFont="1" applyFill="1" applyProtection="1">
      <alignment vertical="center"/>
      <protection hidden="1"/>
    </xf>
    <xf numFmtId="0" fontId="55" fillId="24" borderId="0" xfId="0" applyFont="1" applyFill="1" applyAlignment="1" applyProtection="1">
      <alignment horizontal="left" vertical="center"/>
      <protection hidden="1"/>
    </xf>
    <xf numFmtId="0" fontId="35" fillId="24" borderId="11" xfId="0" applyFont="1" applyFill="1" applyBorder="1" applyProtection="1">
      <alignment vertical="center"/>
      <protection hidden="1"/>
    </xf>
    <xf numFmtId="0" fontId="56" fillId="24" borderId="0" xfId="0" applyFont="1" applyFill="1" applyProtection="1">
      <alignment vertical="center"/>
      <protection hidden="1"/>
    </xf>
    <xf numFmtId="0" fontId="57" fillId="24" borderId="0" xfId="0" applyFont="1" applyFill="1" applyAlignment="1" applyProtection="1">
      <alignment horizontal="left" vertical="center"/>
      <protection hidden="1"/>
    </xf>
    <xf numFmtId="0" fontId="58" fillId="24" borderId="0" xfId="0" applyFont="1" applyFill="1" applyAlignment="1" applyProtection="1">
      <alignment horizontal="right" vertical="center"/>
      <protection hidden="1"/>
    </xf>
    <xf numFmtId="0" fontId="59" fillId="24" borderId="0" xfId="0" applyFont="1" applyFill="1" applyAlignment="1" applyProtection="1">
      <alignment horizontal="right" vertical="center"/>
      <protection hidden="1"/>
    </xf>
    <xf numFmtId="0" fontId="60" fillId="24" borderId="0" xfId="0" applyFont="1" applyFill="1" applyProtection="1">
      <alignment vertical="center"/>
      <protection hidden="1"/>
    </xf>
    <xf numFmtId="180" fontId="19" fillId="24" borderId="0" xfId="0" applyNumberFormat="1" applyFont="1" applyFill="1" applyAlignment="1" applyProtection="1">
      <alignment horizontal="left" vertical="center"/>
      <protection hidden="1"/>
    </xf>
    <xf numFmtId="0" fontId="18" fillId="24" borderId="12" xfId="0" applyFont="1" applyFill="1" applyBorder="1" applyProtection="1">
      <alignment vertical="center"/>
      <protection hidden="1"/>
    </xf>
    <xf numFmtId="0" fontId="42" fillId="24" borderId="12" xfId="0" applyFont="1" applyFill="1" applyBorder="1" applyAlignment="1" applyProtection="1">
      <alignment horizontal="center" vertical="center"/>
      <protection hidden="1"/>
    </xf>
    <xf numFmtId="0" fontId="42" fillId="24" borderId="12" xfId="0" applyFont="1" applyFill="1" applyBorder="1" applyProtection="1">
      <alignment vertical="center"/>
      <protection hidden="1"/>
    </xf>
    <xf numFmtId="0" fontId="35" fillId="24" borderId="12" xfId="0" applyFont="1" applyFill="1" applyBorder="1" applyProtection="1">
      <alignment vertical="center"/>
      <protection hidden="1"/>
    </xf>
    <xf numFmtId="0" fontId="35" fillId="24" borderId="13" xfId="0" applyFont="1" applyFill="1" applyBorder="1" applyProtection="1">
      <alignment vertical="center"/>
      <protection hidden="1"/>
    </xf>
    <xf numFmtId="0" fontId="19" fillId="24" borderId="0" xfId="0" applyFont="1" applyFill="1" applyAlignment="1" applyProtection="1">
      <alignment horizontal="left" vertical="center"/>
      <protection hidden="1"/>
    </xf>
    <xf numFmtId="0" fontId="65" fillId="24" borderId="0" xfId="0" applyFont="1" applyFill="1" applyProtection="1">
      <alignment vertical="center"/>
      <protection hidden="1"/>
    </xf>
    <xf numFmtId="0" fontId="19" fillId="24" borderId="0" xfId="0" applyFont="1" applyFill="1" applyAlignment="1" applyProtection="1">
      <alignment horizontal="right" vertical="center"/>
      <protection hidden="1"/>
    </xf>
    <xf numFmtId="0" fontId="53" fillId="24" borderId="0" xfId="0" applyFont="1" applyFill="1" applyProtection="1">
      <alignment vertical="center"/>
      <protection hidden="1"/>
    </xf>
    <xf numFmtId="49" fontId="12" fillId="25" borderId="15" xfId="0" applyNumberFormat="1" applyFont="1" applyFill="1" applyBorder="1" applyAlignment="1" applyProtection="1">
      <protection hidden="1"/>
    </xf>
    <xf numFmtId="0" fontId="2" fillId="25" borderId="16" xfId="0" applyFont="1" applyFill="1" applyBorder="1" applyAlignment="1" applyProtection="1">
      <alignment horizontal="left" vertical="center"/>
      <protection hidden="1"/>
    </xf>
    <xf numFmtId="0" fontId="12" fillId="25" borderId="15" xfId="0" applyFont="1" applyFill="1" applyBorder="1" applyAlignment="1" applyProtection="1">
      <protection hidden="1"/>
    </xf>
    <xf numFmtId="0" fontId="25" fillId="25" borderId="18" xfId="29" applyFont="1" applyFill="1" applyBorder="1" applyAlignment="1" applyProtection="1">
      <alignment horizontal="left" vertical="center" indent="1"/>
      <protection hidden="1"/>
    </xf>
    <xf numFmtId="0" fontId="0" fillId="25" borderId="0" xfId="0" applyFill="1" applyAlignment="1" applyProtection="1">
      <protection hidden="1"/>
    </xf>
    <xf numFmtId="0" fontId="6" fillId="25" borderId="15" xfId="0" applyFont="1" applyFill="1" applyBorder="1" applyProtection="1">
      <alignment vertical="center"/>
      <protection hidden="1"/>
    </xf>
    <xf numFmtId="0" fontId="0" fillId="25" borderId="16" xfId="0" applyFill="1" applyBorder="1" applyAlignment="1" applyProtection="1">
      <protection hidden="1"/>
    </xf>
    <xf numFmtId="0" fontId="2" fillId="0" borderId="0" xfId="0" applyFont="1" applyProtection="1">
      <alignment vertical="center"/>
      <protection hidden="1"/>
    </xf>
    <xf numFmtId="0" fontId="36" fillId="0" borderId="0" xfId="0" applyFont="1" applyProtection="1">
      <alignment vertical="center"/>
      <protection hidden="1"/>
    </xf>
    <xf numFmtId="0" fontId="1" fillId="24" borderId="11" xfId="0" applyFont="1" applyFill="1" applyBorder="1" applyProtection="1">
      <alignment vertical="center"/>
      <protection hidden="1"/>
    </xf>
    <xf numFmtId="0" fontId="2" fillId="24" borderId="0" xfId="0" applyFont="1" applyFill="1" applyAlignment="1" applyProtection="1">
      <alignment horizontal="left" vertical="center"/>
      <protection hidden="1"/>
    </xf>
    <xf numFmtId="178" fontId="6" fillId="24" borderId="0" xfId="0" applyNumberFormat="1" applyFont="1" applyFill="1" applyAlignment="1" applyProtection="1">
      <alignment horizontal="left"/>
      <protection hidden="1"/>
    </xf>
    <xf numFmtId="181" fontId="12" fillId="24" borderId="0" xfId="0" applyNumberFormat="1" applyFont="1" applyFill="1" applyProtection="1">
      <alignment vertical="center"/>
      <protection hidden="1"/>
    </xf>
    <xf numFmtId="0" fontId="9" fillId="24" borderId="0" xfId="0" applyFont="1" applyFill="1" applyAlignment="1" applyProtection="1">
      <alignment horizontal="center" vertical="center"/>
      <protection hidden="1"/>
    </xf>
    <xf numFmtId="0" fontId="73" fillId="24" borderId="0" xfId="0" applyFont="1" applyFill="1" applyAlignment="1" applyProtection="1">
      <alignment horizontal="center" vertical="center"/>
      <protection hidden="1"/>
    </xf>
    <xf numFmtId="0" fontId="1" fillId="0" borderId="0" xfId="0" applyFont="1">
      <alignment vertical="center"/>
    </xf>
    <xf numFmtId="0" fontId="82" fillId="0" borderId="0" xfId="0" applyFont="1" applyProtection="1">
      <alignment vertical="center"/>
      <protection hidden="1"/>
    </xf>
    <xf numFmtId="0" fontId="63" fillId="0" borderId="0" xfId="0" applyFont="1" applyProtection="1">
      <alignment vertical="center"/>
      <protection hidden="1"/>
    </xf>
    <xf numFmtId="0" fontId="14" fillId="28" borderId="20" xfId="0" applyFont="1" applyFill="1" applyBorder="1" applyAlignment="1" applyProtection="1">
      <alignment horizontal="left" vertical="center"/>
      <protection hidden="1"/>
    </xf>
    <xf numFmtId="0" fontId="14" fillId="28" borderId="21" xfId="0" applyFont="1" applyFill="1" applyBorder="1" applyAlignment="1" applyProtection="1">
      <alignment horizontal="left" vertical="center"/>
      <protection hidden="1"/>
    </xf>
    <xf numFmtId="0" fontId="35" fillId="0" borderId="0" xfId="0" applyFont="1" applyProtection="1">
      <alignment vertical="center"/>
      <protection hidden="1"/>
    </xf>
    <xf numFmtId="0" fontId="48" fillId="0" borderId="0" xfId="0" applyFont="1" applyProtection="1">
      <alignment vertical="center"/>
      <protection hidden="1"/>
    </xf>
    <xf numFmtId="0" fontId="48" fillId="0" borderId="11" xfId="0" applyFont="1" applyBorder="1" applyProtection="1">
      <alignment vertical="center"/>
      <protection hidden="1"/>
    </xf>
    <xf numFmtId="0" fontId="42" fillId="0" borderId="0" xfId="0" applyFont="1" applyProtection="1">
      <alignment vertical="center"/>
      <protection hidden="1"/>
    </xf>
    <xf numFmtId="0" fontId="49" fillId="0" borderId="0" xfId="0" applyFont="1" applyAlignment="1" applyProtection="1">
      <alignment horizontal="center" vertical="center"/>
      <protection hidden="1"/>
    </xf>
    <xf numFmtId="3" fontId="12" fillId="0" borderId="10" xfId="0" applyNumberFormat="1" applyFont="1" applyBorder="1" applyAlignment="1" applyProtection="1">
      <alignment horizontal="left" vertical="center"/>
      <protection hidden="1"/>
    </xf>
    <xf numFmtId="0" fontId="0" fillId="24" borderId="30" xfId="0" applyFill="1" applyBorder="1" applyProtection="1">
      <alignment vertical="center"/>
      <protection hidden="1"/>
    </xf>
    <xf numFmtId="0" fontId="0" fillId="24" borderId="31" xfId="0" applyFill="1" applyBorder="1" applyProtection="1">
      <alignment vertical="center"/>
      <protection hidden="1"/>
    </xf>
    <xf numFmtId="0" fontId="55" fillId="0" borderId="10" xfId="0" applyFont="1" applyBorder="1" applyAlignment="1" applyProtection="1">
      <alignment horizontal="left" vertical="center"/>
      <protection hidden="1"/>
    </xf>
    <xf numFmtId="0" fontId="55" fillId="0" borderId="0" xfId="0" applyFont="1" applyAlignment="1" applyProtection="1">
      <alignment horizontal="left" vertical="center"/>
      <protection hidden="1"/>
    </xf>
    <xf numFmtId="0" fontId="55" fillId="0" borderId="11" xfId="0" applyFont="1" applyBorder="1" applyAlignment="1" applyProtection="1">
      <alignment horizontal="left" vertical="center"/>
      <protection hidden="1"/>
    </xf>
    <xf numFmtId="0" fontId="48" fillId="0" borderId="10" xfId="0" applyFont="1" applyBorder="1" applyProtection="1">
      <alignmen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180" fontId="59" fillId="0" borderId="0" xfId="0" applyNumberFormat="1" applyFont="1" applyAlignment="1" applyProtection="1">
      <alignment horizontal="left" vertical="center"/>
      <protection hidden="1"/>
    </xf>
    <xf numFmtId="0" fontId="59"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1" fontId="18" fillId="0" borderId="0" xfId="0" applyNumberFormat="1" applyFont="1" applyProtection="1">
      <alignment vertical="center"/>
      <protection hidden="1"/>
    </xf>
    <xf numFmtId="0" fontId="18" fillId="0" borderId="0" xfId="0" applyFont="1" applyProtection="1">
      <alignment vertical="center"/>
      <protection hidden="1"/>
    </xf>
    <xf numFmtId="0" fontId="42" fillId="0" borderId="0" xfId="0" applyFont="1" applyAlignment="1" applyProtection="1">
      <alignment horizontal="center" vertical="center"/>
      <protection hidden="1"/>
    </xf>
    <xf numFmtId="0" fontId="48" fillId="0" borderId="0" xfId="0" applyFont="1" applyAlignment="1" applyProtection="1">
      <alignment horizontal="right" vertical="center"/>
      <protection hidden="1"/>
    </xf>
    <xf numFmtId="0" fontId="41" fillId="0" borderId="0" xfId="0" applyFont="1" applyProtection="1">
      <alignment vertical="center"/>
      <protection hidden="1"/>
    </xf>
    <xf numFmtId="0" fontId="19" fillId="0" borderId="0" xfId="0" applyFont="1" applyAlignment="1" applyProtection="1">
      <alignment horizontal="left" vertical="center"/>
      <protection hidden="1"/>
    </xf>
    <xf numFmtId="0" fontId="41" fillId="0" borderId="0" xfId="0" applyFont="1" applyAlignment="1" applyProtection="1">
      <alignment horizontal="left" vertical="center"/>
      <protection hidden="1"/>
    </xf>
    <xf numFmtId="0" fontId="41" fillId="0" borderId="0" xfId="0" applyFont="1" applyAlignment="1" applyProtection="1">
      <alignment horizontal="right" vertical="center"/>
      <protection hidden="1"/>
    </xf>
    <xf numFmtId="0" fontId="18" fillId="0" borderId="10" xfId="0" applyFont="1" applyBorder="1" applyProtection="1">
      <alignment vertical="center"/>
      <protection hidden="1"/>
    </xf>
    <xf numFmtId="0" fontId="18" fillId="0" borderId="25" xfId="0" applyFont="1" applyBorder="1" applyProtection="1">
      <alignment vertical="center"/>
      <protection hidden="1"/>
    </xf>
    <xf numFmtId="0" fontId="18" fillId="0" borderId="26" xfId="0" applyFont="1" applyBorder="1" applyProtection="1">
      <alignment vertical="center"/>
      <protection hidden="1"/>
    </xf>
    <xf numFmtId="0" fontId="18" fillId="0" borderId="26" xfId="0" applyFont="1" applyBorder="1" applyAlignment="1" applyProtection="1">
      <alignment horizontal="right" vertical="center"/>
      <protection hidden="1"/>
    </xf>
    <xf numFmtId="0" fontId="42" fillId="0" borderId="26" xfId="0" applyFont="1" applyBorder="1" applyProtection="1">
      <alignment vertical="center"/>
      <protection hidden="1"/>
    </xf>
    <xf numFmtId="0" fontId="19" fillId="0" borderId="26" xfId="0" applyFont="1" applyBorder="1" applyAlignment="1" applyProtection="1">
      <alignment horizontal="left" vertical="center"/>
      <protection hidden="1"/>
    </xf>
    <xf numFmtId="0" fontId="35" fillId="0" borderId="26" xfId="0" applyFont="1" applyBorder="1" applyProtection="1">
      <alignment vertical="center"/>
      <protection hidden="1"/>
    </xf>
    <xf numFmtId="0" fontId="48" fillId="0" borderId="26" xfId="0" applyFont="1" applyBorder="1" applyProtection="1">
      <alignment vertical="center"/>
      <protection hidden="1"/>
    </xf>
    <xf numFmtId="0" fontId="48" fillId="0" borderId="27" xfId="0" applyFont="1" applyBorder="1" applyProtection="1">
      <alignment vertical="center"/>
      <protection hidden="1"/>
    </xf>
    <xf numFmtId="0" fontId="0" fillId="0" borderId="0" xfId="0" applyProtection="1">
      <alignment vertical="center"/>
      <protection hidden="1"/>
    </xf>
    <xf numFmtId="0" fontId="14" fillId="28" borderId="22" xfId="0" applyFont="1" applyFill="1" applyBorder="1" applyProtection="1">
      <alignment vertical="center"/>
      <protection hidden="1"/>
    </xf>
    <xf numFmtId="0" fontId="51" fillId="28" borderId="23" xfId="0" applyFont="1" applyFill="1" applyBorder="1" applyProtection="1">
      <alignment vertical="center"/>
      <protection hidden="1"/>
    </xf>
    <xf numFmtId="0" fontId="51" fillId="28" borderId="23" xfId="0" applyFont="1" applyFill="1" applyBorder="1" applyAlignment="1" applyProtection="1">
      <alignment horizontal="right" vertical="center"/>
      <protection hidden="1"/>
    </xf>
    <xf numFmtId="0" fontId="47" fillId="28" borderId="23" xfId="0" applyFont="1" applyFill="1" applyBorder="1" applyAlignment="1" applyProtection="1">
      <alignment horizontal="right" vertical="top"/>
      <protection hidden="1"/>
    </xf>
    <xf numFmtId="0" fontId="42" fillId="28" borderId="23" xfId="0" applyFont="1" applyFill="1" applyBorder="1" applyAlignment="1" applyProtection="1">
      <alignment horizontal="center" vertical="center"/>
      <protection hidden="1"/>
    </xf>
    <xf numFmtId="0" fontId="48" fillId="28" borderId="23" xfId="0" applyFont="1" applyFill="1" applyBorder="1" applyProtection="1">
      <alignment vertical="center"/>
      <protection hidden="1"/>
    </xf>
    <xf numFmtId="0" fontId="14" fillId="28" borderId="14" xfId="0" applyFont="1" applyFill="1" applyBorder="1" applyProtection="1">
      <alignment vertical="center"/>
      <protection hidden="1"/>
    </xf>
    <xf numFmtId="0" fontId="51" fillId="28" borderId="20" xfId="0" applyFont="1" applyFill="1" applyBorder="1" applyProtection="1">
      <alignment vertical="center"/>
      <protection hidden="1"/>
    </xf>
    <xf numFmtId="0" fontId="51" fillId="28" borderId="20" xfId="0" applyFont="1" applyFill="1" applyBorder="1" applyAlignment="1" applyProtection="1">
      <alignment horizontal="right" vertical="center"/>
      <protection hidden="1"/>
    </xf>
    <xf numFmtId="0" fontId="30" fillId="28" borderId="20" xfId="0" applyFont="1" applyFill="1" applyBorder="1" applyAlignment="1" applyProtection="1">
      <alignment horizontal="right" vertical="top"/>
      <protection hidden="1"/>
    </xf>
    <xf numFmtId="0" fontId="42" fillId="28" borderId="20" xfId="0" applyFont="1" applyFill="1" applyBorder="1" applyAlignment="1" applyProtection="1">
      <alignment horizontal="center" vertical="center"/>
      <protection hidden="1"/>
    </xf>
    <xf numFmtId="0" fontId="48" fillId="28" borderId="20" xfId="0" applyFont="1" applyFill="1" applyBorder="1" applyProtection="1">
      <alignment vertical="center"/>
      <protection hidden="1"/>
    </xf>
    <xf numFmtId="0" fontId="30" fillId="28" borderId="21" xfId="0" applyFont="1" applyFill="1" applyBorder="1" applyAlignment="1" applyProtection="1">
      <alignment horizontal="right" vertical="center"/>
      <protection hidden="1"/>
    </xf>
    <xf numFmtId="0" fontId="12" fillId="25" borderId="15" xfId="0" applyFont="1" applyFill="1" applyBorder="1" applyAlignment="1" applyProtection="1">
      <alignment horizontal="right"/>
      <protection hidden="1"/>
    </xf>
    <xf numFmtId="0" fontId="14" fillId="28" borderId="23" xfId="0" applyFont="1" applyFill="1" applyBorder="1" applyAlignment="1" applyProtection="1">
      <alignment horizontal="left" vertical="center"/>
      <protection hidden="1"/>
    </xf>
    <xf numFmtId="0" fontId="50" fillId="28" borderId="23" xfId="0" applyFont="1" applyFill="1" applyBorder="1" applyAlignment="1" applyProtection="1">
      <alignment horizontal="right" vertical="top"/>
      <protection hidden="1"/>
    </xf>
    <xf numFmtId="0" fontId="37" fillId="24" borderId="0" xfId="0" applyFont="1" applyFill="1" applyProtection="1">
      <alignment vertical="center"/>
      <protection hidden="1"/>
    </xf>
    <xf numFmtId="0" fontId="37" fillId="24" borderId="0" xfId="0" applyFont="1" applyFill="1" applyAlignment="1" applyProtection="1">
      <alignment horizontal="left" vertical="center"/>
      <protection hidden="1"/>
    </xf>
    <xf numFmtId="0" fontId="38" fillId="24" borderId="0" xfId="0" applyFont="1" applyFill="1" applyAlignment="1" applyProtection="1">
      <alignment horizontal="left" vertical="center"/>
      <protection hidden="1"/>
    </xf>
    <xf numFmtId="0" fontId="37" fillId="24" borderId="0" xfId="0" applyFont="1" applyFill="1" applyAlignment="1" applyProtection="1">
      <alignment horizontal="right" vertical="center"/>
      <protection hidden="1"/>
    </xf>
    <xf numFmtId="0" fontId="39" fillId="24" borderId="0" xfId="0" applyFont="1" applyFill="1" applyProtection="1">
      <alignment vertical="center"/>
      <protection hidden="1"/>
    </xf>
    <xf numFmtId="0" fontId="39" fillId="24" borderId="0" xfId="0" applyFont="1" applyFill="1" applyAlignment="1" applyProtection="1">
      <alignment horizontal="center" vertical="center"/>
      <protection hidden="1"/>
    </xf>
    <xf numFmtId="14" fontId="35" fillId="24" borderId="0" xfId="0" applyNumberFormat="1" applyFont="1" applyFill="1" applyAlignment="1" applyProtection="1">
      <alignment horizontal="center" vertical="center"/>
      <protection hidden="1"/>
    </xf>
    <xf numFmtId="0" fontId="37" fillId="0" borderId="0" xfId="0" applyFont="1" applyProtection="1">
      <alignment vertical="center"/>
      <protection hidden="1"/>
    </xf>
    <xf numFmtId="0" fontId="48" fillId="0" borderId="0" xfId="0" applyFont="1" applyAlignment="1" applyProtection="1">
      <alignment horizontal="left" vertical="center"/>
      <protection hidden="1"/>
    </xf>
    <xf numFmtId="0" fontId="63" fillId="0" borderId="26" xfId="0" applyFont="1" applyBorder="1" applyProtection="1">
      <alignment vertical="center"/>
      <protection hidden="1"/>
    </xf>
    <xf numFmtId="0" fontId="63" fillId="0" borderId="10" xfId="0" applyFont="1" applyBorder="1" applyProtection="1">
      <alignment vertical="center"/>
      <protection hidden="1"/>
    </xf>
    <xf numFmtId="0" fontId="63" fillId="0" borderId="11" xfId="0" applyFont="1" applyBorder="1" applyProtection="1">
      <alignment vertical="center"/>
      <protection hidden="1"/>
    </xf>
    <xf numFmtId="0" fontId="63" fillId="0" borderId="27" xfId="0" applyFont="1" applyBorder="1" applyProtection="1">
      <alignment vertical="center"/>
      <protection hidden="1"/>
    </xf>
    <xf numFmtId="0" fontId="63" fillId="24" borderId="10" xfId="0" applyFont="1" applyFill="1" applyBorder="1" applyProtection="1">
      <alignment vertical="center"/>
      <protection hidden="1"/>
    </xf>
    <xf numFmtId="0" fontId="63" fillId="0" borderId="32" xfId="0" applyFont="1" applyBorder="1" applyProtection="1">
      <alignment vertical="center"/>
      <protection hidden="1"/>
    </xf>
    <xf numFmtId="0" fontId="63" fillId="0" borderId="12" xfId="0" applyFont="1" applyBorder="1" applyProtection="1">
      <alignment vertical="center"/>
      <protection hidden="1"/>
    </xf>
    <xf numFmtId="0" fontId="63" fillId="0" borderId="0" xfId="0" applyFont="1" applyAlignment="1" applyProtection="1">
      <alignment horizontal="centerContinuous" vertical="center"/>
      <protection hidden="1"/>
    </xf>
    <xf numFmtId="0" fontId="48" fillId="0" borderId="0" xfId="0" quotePrefix="1" applyFont="1" applyAlignment="1" applyProtection="1">
      <alignment horizontal="left" vertical="center"/>
      <protection hidden="1"/>
    </xf>
    <xf numFmtId="0" fontId="49" fillId="0" borderId="0" xfId="0" quotePrefix="1" applyFont="1" applyAlignment="1" applyProtection="1">
      <alignment horizontal="center" vertical="center"/>
      <protection hidden="1"/>
    </xf>
    <xf numFmtId="0" fontId="49" fillId="0" borderId="0" xfId="0" applyFont="1" applyProtection="1">
      <alignment vertical="center"/>
      <protection hidden="1"/>
    </xf>
    <xf numFmtId="0" fontId="66" fillId="0" borderId="0" xfId="0" quotePrefix="1" applyFont="1" applyAlignment="1" applyProtection="1">
      <alignment horizontal="left" vertical="center"/>
      <protection hidden="1"/>
    </xf>
    <xf numFmtId="0" fontId="86" fillId="0" borderId="0" xfId="0" quotePrefix="1" applyFont="1" applyAlignment="1" applyProtection="1">
      <alignment horizontal="left" vertical="center"/>
      <protection hidden="1"/>
    </xf>
    <xf numFmtId="0" fontId="86" fillId="0" borderId="0" xfId="0" quotePrefix="1" applyFont="1" applyAlignment="1" applyProtection="1">
      <alignment horizontal="right" vertical="center"/>
      <protection hidden="1"/>
    </xf>
    <xf numFmtId="0" fontId="66" fillId="0" borderId="0" xfId="0" quotePrefix="1" applyFont="1" applyAlignment="1" applyProtection="1">
      <alignment horizontal="right" vertical="center"/>
      <protection hidden="1"/>
    </xf>
    <xf numFmtId="0" fontId="12" fillId="0" borderId="0" xfId="0" applyFont="1" applyProtection="1">
      <alignment vertical="center"/>
      <protection hidden="1"/>
    </xf>
    <xf numFmtId="0" fontId="34" fillId="0" borderId="0" xfId="0" applyFont="1" applyProtection="1">
      <alignment vertical="center"/>
      <protection hidden="1"/>
    </xf>
    <xf numFmtId="0" fontId="40" fillId="0" borderId="0" xfId="0" applyFont="1" applyAlignment="1" applyProtection="1">
      <alignment horizontal="center" vertical="center"/>
      <protection hidden="1"/>
    </xf>
    <xf numFmtId="0" fontId="1" fillId="0" borderId="0" xfId="0" applyFont="1" applyProtection="1">
      <alignment vertical="center"/>
      <protection hidden="1"/>
    </xf>
    <xf numFmtId="0" fontId="4" fillId="0" borderId="0" xfId="0" applyFont="1" applyAlignment="1" applyProtection="1">
      <alignment horizontal="right" vertical="center"/>
      <protection hidden="1"/>
    </xf>
    <xf numFmtId="49" fontId="79" fillId="25" borderId="33" xfId="0" applyNumberFormat="1" applyFont="1" applyFill="1" applyBorder="1" applyProtection="1">
      <alignment vertical="center"/>
      <protection hidden="1"/>
    </xf>
    <xf numFmtId="0" fontId="12" fillId="25" borderId="34" xfId="0" applyFont="1" applyFill="1" applyBorder="1" applyAlignment="1" applyProtection="1">
      <alignment horizontal="left" vertical="center"/>
      <protection hidden="1"/>
    </xf>
    <xf numFmtId="0" fontId="79" fillId="25" borderId="35" xfId="0" applyFont="1" applyFill="1" applyBorder="1" applyAlignment="1" applyProtection="1">
      <alignment horizontal="left" vertical="center"/>
      <protection hidden="1"/>
    </xf>
    <xf numFmtId="0" fontId="79" fillId="25" borderId="34" xfId="0" applyFont="1" applyFill="1" applyBorder="1" applyAlignment="1" applyProtection="1">
      <alignment horizontal="left" vertical="center"/>
      <protection hidden="1"/>
    </xf>
    <xf numFmtId="31" fontId="18" fillId="25" borderId="34" xfId="0" applyNumberFormat="1" applyFont="1" applyFill="1" applyBorder="1" applyAlignment="1" applyProtection="1">
      <alignment horizontal="left" vertical="center"/>
      <protection hidden="1"/>
    </xf>
    <xf numFmtId="0" fontId="12" fillId="25" borderId="12" xfId="0" applyFont="1" applyFill="1" applyBorder="1" applyProtection="1">
      <alignment vertical="center"/>
      <protection hidden="1"/>
    </xf>
    <xf numFmtId="0" fontId="12" fillId="0" borderId="35" xfId="0" applyFont="1" applyBorder="1" applyProtection="1">
      <alignment vertical="center"/>
      <protection hidden="1"/>
    </xf>
    <xf numFmtId="0" fontId="12" fillId="0" borderId="35" xfId="0" applyFont="1" applyBorder="1" applyAlignment="1" applyProtection="1">
      <alignment horizontal="left" vertical="top" wrapText="1"/>
      <protection hidden="1"/>
    </xf>
    <xf numFmtId="0" fontId="12" fillId="0" borderId="0" xfId="0" applyFont="1" applyAlignment="1" applyProtection="1">
      <alignment horizontal="left" vertical="top" wrapText="1"/>
      <protection hidden="1"/>
    </xf>
    <xf numFmtId="3" fontId="19" fillId="0" borderId="0" xfId="0" applyNumberFormat="1" applyFont="1" applyAlignment="1" applyProtection="1">
      <alignment horizontal="left" vertical="center"/>
      <protection hidden="1"/>
    </xf>
    <xf numFmtId="0" fontId="0" fillId="30" borderId="36" xfId="0" applyFill="1" applyBorder="1" applyAlignment="1" applyProtection="1">
      <alignment horizontal="center" vertical="center"/>
      <protection hidden="1"/>
    </xf>
    <xf numFmtId="0" fontId="0" fillId="30" borderId="37" xfId="0" applyFill="1" applyBorder="1" applyAlignment="1" applyProtection="1">
      <alignment horizontal="center" vertical="center"/>
      <protection hidden="1"/>
    </xf>
    <xf numFmtId="0" fontId="0" fillId="30" borderId="38" xfId="0" applyFill="1" applyBorder="1" applyProtection="1">
      <alignment vertical="center"/>
      <protection hidden="1"/>
    </xf>
    <xf numFmtId="0" fontId="0" fillId="25" borderId="39" xfId="0" applyFill="1" applyBorder="1" applyAlignment="1" applyProtection="1">
      <alignment horizontal="center" vertical="center"/>
      <protection hidden="1"/>
    </xf>
    <xf numFmtId="0" fontId="0" fillId="25" borderId="40" xfId="0" applyFill="1" applyBorder="1" applyAlignment="1" applyProtection="1">
      <alignment horizontal="center" vertical="center" wrapText="1"/>
      <protection hidden="1"/>
    </xf>
    <xf numFmtId="0" fontId="0" fillId="25" borderId="41" xfId="0" applyFill="1" applyBorder="1" applyAlignment="1" applyProtection="1">
      <alignment horizontal="center" vertical="center" wrapText="1"/>
      <protection hidden="1"/>
    </xf>
    <xf numFmtId="0" fontId="0" fillId="25" borderId="42" xfId="0" applyFill="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14" fillId="28" borderId="22" xfId="0" applyFont="1" applyFill="1" applyBorder="1" applyAlignment="1" applyProtection="1">
      <alignment horizontal="left" vertical="center"/>
      <protection hidden="1"/>
    </xf>
    <xf numFmtId="49" fontId="12" fillId="24" borderId="22" xfId="0" applyNumberFormat="1" applyFont="1" applyFill="1" applyBorder="1" applyAlignment="1" applyProtection="1">
      <alignment horizontal="left" vertical="center"/>
      <protection hidden="1"/>
    </xf>
    <xf numFmtId="3" fontId="19" fillId="24" borderId="23" xfId="0" applyNumberFormat="1" applyFont="1" applyFill="1" applyBorder="1" applyAlignment="1" applyProtection="1">
      <alignment horizontal="left" vertical="center"/>
      <protection hidden="1"/>
    </xf>
    <xf numFmtId="56" fontId="19" fillId="0" borderId="0" xfId="0" applyNumberFormat="1" applyFont="1" applyAlignment="1" applyProtection="1">
      <alignment horizontal="left" vertical="center"/>
      <protection hidden="1"/>
    </xf>
    <xf numFmtId="0" fontId="67" fillId="0" borderId="0" xfId="0" applyFont="1" applyProtection="1">
      <alignment vertical="center"/>
      <protection hidden="1"/>
    </xf>
    <xf numFmtId="0" fontId="9" fillId="24" borderId="0" xfId="0" applyFont="1" applyFill="1" applyAlignment="1" applyProtection="1">
      <protection hidden="1"/>
    </xf>
    <xf numFmtId="0" fontId="99" fillId="24" borderId="0" xfId="0" applyFont="1" applyFill="1" applyAlignment="1" applyProtection="1">
      <alignment horizontal="left" vertical="center"/>
      <protection hidden="1"/>
    </xf>
    <xf numFmtId="0" fontId="100" fillId="24" borderId="0" xfId="0" applyFont="1" applyFill="1" applyAlignment="1" applyProtection="1">
      <alignment horizontal="right" vertical="center"/>
      <protection hidden="1"/>
    </xf>
    <xf numFmtId="0" fontId="100" fillId="24" borderId="0" xfId="0" applyFont="1" applyFill="1" applyProtection="1">
      <alignment vertical="center"/>
      <protection hidden="1"/>
    </xf>
    <xf numFmtId="0" fontId="72" fillId="0" borderId="0" xfId="0" applyFont="1" applyProtection="1">
      <alignment vertical="center"/>
      <protection hidden="1"/>
    </xf>
    <xf numFmtId="0" fontId="101" fillId="24" borderId="0" xfId="0" applyFont="1" applyFill="1" applyProtection="1">
      <alignment vertical="center"/>
      <protection hidden="1"/>
    </xf>
    <xf numFmtId="0" fontId="102" fillId="24" borderId="0" xfId="0" applyFont="1" applyFill="1" applyAlignment="1" applyProtection="1">
      <alignment horizontal="center" vertical="center"/>
      <protection hidden="1"/>
    </xf>
    <xf numFmtId="0" fontId="2" fillId="0" borderId="0" xfId="0" applyFont="1" applyAlignment="1" applyProtection="1">
      <alignment horizontal="left" vertical="center"/>
      <protection hidden="1"/>
    </xf>
    <xf numFmtId="0" fontId="102" fillId="24" borderId="0" xfId="0" applyFont="1" applyFill="1" applyAlignment="1" applyProtection="1">
      <alignment horizontal="right" vertical="center"/>
      <protection hidden="1"/>
    </xf>
    <xf numFmtId="0" fontId="2" fillId="0" borderId="0" xfId="0" applyFont="1" applyAlignment="1" applyProtection="1">
      <alignment horizontal="right" vertical="center"/>
      <protection hidden="1"/>
    </xf>
    <xf numFmtId="0" fontId="14" fillId="28" borderId="43" xfId="0" applyFont="1" applyFill="1" applyBorder="1" applyProtection="1">
      <alignment vertical="center"/>
      <protection hidden="1"/>
    </xf>
    <xf numFmtId="0" fontId="28" fillId="28" borderId="20" xfId="0" applyFont="1" applyFill="1" applyBorder="1" applyAlignment="1" applyProtection="1">
      <alignment horizontal="left" vertical="center"/>
      <protection hidden="1"/>
    </xf>
    <xf numFmtId="0" fontId="87" fillId="28" borderId="20" xfId="0" applyFont="1" applyFill="1" applyBorder="1" applyAlignment="1" applyProtection="1">
      <alignment horizontal="right" vertical="center"/>
      <protection hidden="1"/>
    </xf>
    <xf numFmtId="0" fontId="53" fillId="28" borderId="20" xfId="0" applyFont="1" applyFill="1" applyBorder="1" applyAlignment="1" applyProtection="1">
      <alignment horizontal="right" vertical="center"/>
      <protection hidden="1"/>
    </xf>
    <xf numFmtId="0" fontId="53" fillId="28" borderId="21" xfId="0" applyFont="1" applyFill="1" applyBorder="1" applyAlignment="1" applyProtection="1">
      <alignment horizontal="right" vertical="center"/>
      <protection hidden="1"/>
    </xf>
    <xf numFmtId="182" fontId="39" fillId="0" borderId="0" xfId="36" applyNumberFormat="1" applyFont="1" applyFill="1" applyBorder="1" applyAlignment="1" applyProtection="1">
      <alignment horizontal="right" vertical="center"/>
      <protection hidden="1"/>
    </xf>
    <xf numFmtId="0" fontId="63" fillId="0" borderId="25" xfId="0" applyFont="1" applyBorder="1" applyProtection="1">
      <alignment vertical="center"/>
      <protection hidden="1"/>
    </xf>
    <xf numFmtId="0" fontId="47" fillId="28" borderId="24" xfId="0" applyFont="1" applyFill="1" applyBorder="1" applyAlignment="1" applyProtection="1">
      <alignment horizontal="right" vertical="center"/>
      <protection hidden="1"/>
    </xf>
    <xf numFmtId="0" fontId="13" fillId="31" borderId="44" xfId="0" applyFont="1" applyFill="1" applyBorder="1" applyProtection="1">
      <alignment vertical="center"/>
      <protection hidden="1"/>
    </xf>
    <xf numFmtId="0" fontId="18" fillId="31" borderId="35" xfId="0" applyFont="1" applyFill="1" applyBorder="1" applyProtection="1">
      <alignment vertical="center"/>
      <protection hidden="1"/>
    </xf>
    <xf numFmtId="0" fontId="18" fillId="31" borderId="35" xfId="0" applyFont="1" applyFill="1" applyBorder="1" applyAlignment="1" applyProtection="1">
      <alignment horizontal="right" vertical="center"/>
      <protection hidden="1"/>
    </xf>
    <xf numFmtId="0" fontId="19" fillId="31" borderId="45" xfId="0" applyFont="1" applyFill="1" applyBorder="1" applyProtection="1">
      <alignment vertical="center"/>
      <protection hidden="1"/>
    </xf>
    <xf numFmtId="0" fontId="13" fillId="31" borderId="35" xfId="0" applyFont="1" applyFill="1" applyBorder="1" applyProtection="1">
      <alignment vertical="center"/>
      <protection hidden="1"/>
    </xf>
    <xf numFmtId="0" fontId="19" fillId="31" borderId="35" xfId="0" applyFont="1" applyFill="1" applyBorder="1" applyAlignment="1" applyProtection="1">
      <alignment horizontal="center" vertical="center"/>
      <protection hidden="1"/>
    </xf>
    <xf numFmtId="0" fontId="19" fillId="31" borderId="46" xfId="0" applyFont="1" applyFill="1" applyBorder="1" applyAlignment="1" applyProtection="1">
      <alignment horizontal="center" vertical="center"/>
      <protection hidden="1"/>
    </xf>
    <xf numFmtId="0" fontId="104" fillId="31" borderId="44" xfId="0" applyFont="1" applyFill="1" applyBorder="1" applyProtection="1">
      <alignment vertical="center"/>
      <protection hidden="1"/>
    </xf>
    <xf numFmtId="0" fontId="19" fillId="31" borderId="45" xfId="0" applyFont="1" applyFill="1" applyBorder="1" applyAlignment="1" applyProtection="1">
      <alignment horizontal="center" vertical="center"/>
      <protection hidden="1"/>
    </xf>
    <xf numFmtId="0" fontId="19" fillId="31" borderId="0" xfId="0" applyFont="1" applyFill="1" applyAlignment="1" applyProtection="1">
      <alignment horizontal="center" vertical="center"/>
      <protection hidden="1"/>
    </xf>
    <xf numFmtId="0" fontId="19" fillId="31" borderId="47" xfId="0" applyFont="1" applyFill="1" applyBorder="1" applyAlignment="1" applyProtection="1">
      <alignment horizontal="center" vertical="center"/>
      <protection hidden="1"/>
    </xf>
    <xf numFmtId="0" fontId="19" fillId="31" borderId="0" xfId="0" applyFont="1" applyFill="1" applyAlignment="1" applyProtection="1">
      <alignment horizontal="left" vertical="center"/>
      <protection hidden="1"/>
    </xf>
    <xf numFmtId="0" fontId="18" fillId="31" borderId="0" xfId="0" applyFont="1" applyFill="1" applyAlignment="1" applyProtection="1">
      <alignment horizontal="right" vertical="center"/>
      <protection hidden="1"/>
    </xf>
    <xf numFmtId="0" fontId="18" fillId="31" borderId="11" xfId="0" applyFont="1" applyFill="1" applyBorder="1" applyAlignment="1" applyProtection="1">
      <alignment horizontal="right" vertical="center"/>
      <protection hidden="1"/>
    </xf>
    <xf numFmtId="0" fontId="19" fillId="31" borderId="35" xfId="0" applyFont="1" applyFill="1" applyBorder="1" applyAlignment="1" applyProtection="1">
      <alignment horizontal="left" vertical="center"/>
      <protection hidden="1"/>
    </xf>
    <xf numFmtId="0" fontId="18" fillId="31" borderId="45" xfId="0" applyFont="1" applyFill="1" applyBorder="1" applyAlignment="1" applyProtection="1">
      <alignment horizontal="right" vertical="center"/>
      <protection hidden="1"/>
    </xf>
    <xf numFmtId="0" fontId="18" fillId="31" borderId="46" xfId="0" applyFont="1" applyFill="1" applyBorder="1" applyAlignment="1" applyProtection="1">
      <alignment horizontal="right" vertical="center"/>
      <protection hidden="1"/>
    </xf>
    <xf numFmtId="0" fontId="85" fillId="0" borderId="10" xfId="0" applyFont="1" applyBorder="1" applyProtection="1">
      <alignment vertical="center"/>
      <protection hidden="1"/>
    </xf>
    <xf numFmtId="0" fontId="63" fillId="0" borderId="24" xfId="0" applyFont="1" applyBorder="1" applyProtection="1">
      <alignment vertical="center"/>
      <protection hidden="1"/>
    </xf>
    <xf numFmtId="3" fontId="19" fillId="24" borderId="48" xfId="0" applyNumberFormat="1" applyFont="1" applyFill="1" applyBorder="1" applyAlignment="1" applyProtection="1">
      <alignment horizontal="left" vertical="center"/>
      <protection hidden="1"/>
    </xf>
    <xf numFmtId="3" fontId="19" fillId="24" borderId="49" xfId="0" applyNumberFormat="1" applyFont="1" applyFill="1" applyBorder="1" applyAlignment="1" applyProtection="1">
      <alignment horizontal="left" vertical="center"/>
      <protection hidden="1"/>
    </xf>
    <xf numFmtId="3" fontId="18" fillId="24" borderId="49" xfId="0" applyNumberFormat="1" applyFont="1" applyFill="1" applyBorder="1" applyAlignment="1" applyProtection="1">
      <alignment horizontal="left" vertical="center"/>
      <protection hidden="1"/>
    </xf>
    <xf numFmtId="0" fontId="63" fillId="0" borderId="49" xfId="0" applyFont="1" applyBorder="1" applyProtection="1">
      <alignment vertical="center"/>
      <protection hidden="1"/>
    </xf>
    <xf numFmtId="0" fontId="35" fillId="0" borderId="49" xfId="0" applyFont="1" applyBorder="1" applyProtection="1">
      <alignment vertical="center"/>
      <protection hidden="1"/>
    </xf>
    <xf numFmtId="2" fontId="18" fillId="24" borderId="49" xfId="0" applyNumberFormat="1" applyFont="1" applyFill="1" applyBorder="1" applyAlignment="1" applyProtection="1">
      <alignment horizontal="left" vertical="center"/>
      <protection hidden="1"/>
    </xf>
    <xf numFmtId="3" fontId="84" fillId="24" borderId="49" xfId="0" applyNumberFormat="1" applyFont="1" applyFill="1" applyBorder="1" applyAlignment="1" applyProtection="1">
      <alignment horizontal="left" vertical="center"/>
      <protection hidden="1"/>
    </xf>
    <xf numFmtId="0" fontId="12" fillId="24" borderId="10" xfId="0" applyFont="1" applyFill="1" applyBorder="1" applyAlignment="1" applyProtection="1">
      <alignment horizontal="left" vertical="center"/>
      <protection hidden="1"/>
    </xf>
    <xf numFmtId="0" fontId="64" fillId="0" borderId="11" xfId="0" applyFont="1" applyBorder="1" applyAlignment="1" applyProtection="1">
      <alignment horizontal="right" vertical="center"/>
      <protection hidden="1"/>
    </xf>
    <xf numFmtId="49" fontId="12" fillId="24" borderId="10" xfId="0" applyNumberFormat="1" applyFont="1" applyFill="1" applyBorder="1" applyAlignment="1" applyProtection="1">
      <alignment horizontal="left" vertical="center"/>
      <protection hidden="1"/>
    </xf>
    <xf numFmtId="0" fontId="18" fillId="24" borderId="0" xfId="0" applyFont="1" applyFill="1" applyAlignment="1" applyProtection="1">
      <alignment horizontal="left" vertical="center"/>
      <protection hidden="1"/>
    </xf>
    <xf numFmtId="37" fontId="18" fillId="24" borderId="0" xfId="0" applyNumberFormat="1" applyFont="1" applyFill="1" applyAlignment="1" applyProtection="1">
      <alignment horizontal="left" vertical="center"/>
      <protection hidden="1"/>
    </xf>
    <xf numFmtId="0" fontId="12" fillId="24" borderId="32" xfId="0" applyFont="1" applyFill="1" applyBorder="1" applyProtection="1">
      <alignment vertical="center"/>
      <protection hidden="1"/>
    </xf>
    <xf numFmtId="3" fontId="18" fillId="24" borderId="12" xfId="0" applyNumberFormat="1" applyFont="1" applyFill="1" applyBorder="1" applyAlignment="1" applyProtection="1">
      <alignment horizontal="left" vertical="center"/>
      <protection hidden="1"/>
    </xf>
    <xf numFmtId="180" fontId="59" fillId="0" borderId="0" xfId="0" applyNumberFormat="1" applyFont="1" applyAlignment="1" applyProtection="1">
      <alignment horizontal="right" vertical="center"/>
      <protection hidden="1"/>
    </xf>
    <xf numFmtId="180" fontId="59" fillId="24" borderId="11" xfId="0" applyNumberFormat="1" applyFont="1" applyFill="1" applyBorder="1" applyAlignment="1" applyProtection="1">
      <alignment horizontal="center" vertical="center"/>
      <protection hidden="1"/>
    </xf>
    <xf numFmtId="180" fontId="59" fillId="0" borderId="11" xfId="0" applyNumberFormat="1" applyFont="1" applyBorder="1" applyAlignment="1" applyProtection="1">
      <alignment horizontal="center" vertical="center"/>
      <protection hidden="1"/>
    </xf>
    <xf numFmtId="0" fontId="39" fillId="0" borderId="0" xfId="0" applyFont="1" applyAlignment="1" applyProtection="1">
      <protection hidden="1"/>
    </xf>
    <xf numFmtId="0" fontId="14" fillId="28" borderId="43" xfId="0" applyFont="1" applyFill="1" applyBorder="1" applyAlignment="1" applyProtection="1">
      <alignment horizontal="left" vertical="center"/>
      <protection hidden="1"/>
    </xf>
    <xf numFmtId="0" fontId="12" fillId="0" borderId="25" xfId="0" applyFont="1" applyBorder="1" applyProtection="1">
      <alignment vertical="center"/>
      <protection hidden="1"/>
    </xf>
    <xf numFmtId="0" fontId="22" fillId="0" borderId="0" xfId="0" applyFont="1" applyAlignment="1" applyProtection="1">
      <alignment horizontal="center" vertical="center"/>
      <protection hidden="1"/>
    </xf>
    <xf numFmtId="0" fontId="2" fillId="0" borderId="34" xfId="0" applyFont="1" applyBorder="1" applyAlignment="1" applyProtection="1">
      <alignment horizontal="right" vertical="center"/>
      <protection hidden="1"/>
    </xf>
    <xf numFmtId="0" fontId="77" fillId="25" borderId="0" xfId="0" applyFont="1" applyFill="1" applyAlignment="1" applyProtection="1">
      <alignment horizontal="left" vertical="center"/>
      <protection hidden="1"/>
    </xf>
    <xf numFmtId="0" fontId="81" fillId="25" borderId="0" xfId="0" applyFont="1" applyFill="1" applyAlignment="1" applyProtection="1">
      <alignment vertical="top"/>
      <protection hidden="1"/>
    </xf>
    <xf numFmtId="0" fontId="106" fillId="25" borderId="0" xfId="0" applyFont="1" applyFill="1" applyAlignment="1" applyProtection="1">
      <alignment horizontal="right"/>
      <protection hidden="1"/>
    </xf>
    <xf numFmtId="0" fontId="107" fillId="32" borderId="0" xfId="0" applyFont="1" applyFill="1" applyAlignment="1" applyProtection="1">
      <alignment horizontal="centerContinuous" vertical="center"/>
      <protection hidden="1"/>
    </xf>
    <xf numFmtId="0" fontId="108" fillId="32" borderId="0" xfId="0" applyFont="1" applyFill="1" applyAlignment="1" applyProtection="1">
      <alignment horizontal="centerContinuous" vertical="center"/>
      <protection hidden="1"/>
    </xf>
    <xf numFmtId="0" fontId="107" fillId="32" borderId="0" xfId="0" applyFont="1" applyFill="1" applyAlignment="1" applyProtection="1">
      <alignment horizontal="centerContinuous" vertical="top"/>
      <protection hidden="1"/>
    </xf>
    <xf numFmtId="0" fontId="9" fillId="25" borderId="0" xfId="0" applyFont="1" applyFill="1" applyAlignment="1">
      <alignment horizontal="left" vertical="center"/>
    </xf>
    <xf numFmtId="0" fontId="19" fillId="25" borderId="0" xfId="0" applyFont="1" applyFill="1" applyAlignment="1">
      <alignment horizontal="left" vertical="center"/>
    </xf>
    <xf numFmtId="0" fontId="81" fillId="25" borderId="0" xfId="0" applyFont="1" applyFill="1" applyAlignment="1" applyProtection="1">
      <alignment horizontal="left" vertical="top"/>
      <protection hidden="1"/>
    </xf>
    <xf numFmtId="0" fontId="2" fillId="25" borderId="0" xfId="0" applyFont="1" applyFill="1" applyAlignment="1">
      <alignment horizontal="left" vertical="center"/>
    </xf>
    <xf numFmtId="0" fontId="11" fillId="0" borderId="50" xfId="0" applyFont="1" applyBorder="1" applyProtection="1">
      <alignment vertical="center"/>
      <protection hidden="1"/>
    </xf>
    <xf numFmtId="0" fontId="0" fillId="24" borderId="51" xfId="0" applyFill="1" applyBorder="1" applyProtection="1">
      <alignment vertical="center"/>
      <protection hidden="1"/>
    </xf>
    <xf numFmtId="0" fontId="0" fillId="24" borderId="52" xfId="0" applyFill="1" applyBorder="1" applyProtection="1">
      <alignment vertical="center"/>
      <protection hidden="1"/>
    </xf>
    <xf numFmtId="0" fontId="17" fillId="32" borderId="53" xfId="0" applyFont="1" applyFill="1" applyBorder="1" applyProtection="1">
      <alignment vertical="center"/>
      <protection hidden="1"/>
    </xf>
    <xf numFmtId="0" fontId="109" fillId="32" borderId="54" xfId="0" applyFont="1" applyFill="1" applyBorder="1" applyProtection="1">
      <alignment vertical="center"/>
      <protection hidden="1"/>
    </xf>
    <xf numFmtId="0" fontId="20" fillId="24" borderId="55" xfId="0" applyFont="1" applyFill="1" applyBorder="1" applyAlignment="1" applyProtection="1">
      <alignment horizontal="center" vertical="center"/>
      <protection locked="0"/>
    </xf>
    <xf numFmtId="3" fontId="19" fillId="25" borderId="0" xfId="0" applyNumberFormat="1" applyFont="1" applyFill="1" applyAlignment="1" applyProtection="1">
      <alignment horizontal="left" vertical="center"/>
      <protection hidden="1"/>
    </xf>
    <xf numFmtId="0" fontId="0" fillId="25" borderId="0" xfId="0" applyFill="1" applyAlignment="1" applyProtection="1">
      <alignment horizontal="left"/>
      <protection hidden="1"/>
    </xf>
    <xf numFmtId="3" fontId="18" fillId="25" borderId="0" xfId="0" applyNumberFormat="1" applyFont="1" applyFill="1" applyAlignment="1" applyProtection="1">
      <alignment horizontal="left" vertical="center"/>
      <protection hidden="1"/>
    </xf>
    <xf numFmtId="180" fontId="2" fillId="25" borderId="0" xfId="0" applyNumberFormat="1" applyFont="1" applyFill="1" applyAlignment="1" applyProtection="1">
      <alignment horizontal="left" vertical="center"/>
      <protection hidden="1"/>
    </xf>
    <xf numFmtId="0" fontId="12" fillId="25" borderId="0" xfId="0" applyFont="1" applyFill="1" applyProtection="1">
      <alignment vertical="center"/>
      <protection hidden="1"/>
    </xf>
    <xf numFmtId="0" fontId="0" fillId="25" borderId="56" xfId="0" applyFill="1" applyBorder="1" applyAlignment="1" applyProtection="1">
      <protection hidden="1"/>
    </xf>
    <xf numFmtId="0" fontId="17" fillId="32" borderId="57" xfId="0" applyFont="1" applyFill="1" applyBorder="1" applyProtection="1">
      <alignment vertical="center"/>
      <protection hidden="1"/>
    </xf>
    <xf numFmtId="0" fontId="17" fillId="32" borderId="58" xfId="0" applyFont="1" applyFill="1" applyBorder="1" applyProtection="1">
      <alignment vertical="center"/>
      <protection hidden="1"/>
    </xf>
    <xf numFmtId="0" fontId="6" fillId="25" borderId="60" xfId="0" applyFont="1" applyFill="1" applyBorder="1" applyProtection="1">
      <alignment vertical="center"/>
      <protection hidden="1"/>
    </xf>
    <xf numFmtId="0" fontId="109" fillId="32" borderId="61" xfId="0" applyFont="1" applyFill="1" applyBorder="1" applyProtection="1">
      <alignment vertical="center"/>
      <protection hidden="1"/>
    </xf>
    <xf numFmtId="0" fontId="109" fillId="32" borderId="62" xfId="0" applyFont="1" applyFill="1" applyBorder="1" applyProtection="1">
      <alignment vertical="center"/>
      <protection hidden="1"/>
    </xf>
    <xf numFmtId="0" fontId="109" fillId="32" borderId="63" xfId="0" applyFont="1" applyFill="1" applyBorder="1" applyProtection="1">
      <alignment vertical="center"/>
      <protection hidden="1"/>
    </xf>
    <xf numFmtId="0" fontId="109" fillId="32" borderId="64" xfId="0" applyFont="1" applyFill="1" applyBorder="1" applyProtection="1">
      <alignment vertical="center"/>
      <protection hidden="1"/>
    </xf>
    <xf numFmtId="0" fontId="17" fillId="32" borderId="65" xfId="0" applyFont="1" applyFill="1" applyBorder="1" applyProtection="1">
      <alignment vertical="center"/>
      <protection hidden="1"/>
    </xf>
    <xf numFmtId="0" fontId="63" fillId="0" borderId="66" xfId="0" applyFont="1" applyBorder="1" applyProtection="1">
      <alignment vertical="center"/>
      <protection hidden="1"/>
    </xf>
    <xf numFmtId="0" fontId="12" fillId="0" borderId="32" xfId="0" applyFont="1" applyBorder="1" applyProtection="1">
      <alignment vertical="center"/>
      <protection hidden="1"/>
    </xf>
    <xf numFmtId="55" fontId="12" fillId="24" borderId="0" xfId="0" applyNumberFormat="1" applyFont="1" applyFill="1" applyAlignment="1" applyProtection="1">
      <alignment horizontal="left" vertical="center"/>
      <protection hidden="1"/>
    </xf>
    <xf numFmtId="187" fontId="12" fillId="24" borderId="11" xfId="0" applyNumberFormat="1" applyFont="1" applyFill="1" applyBorder="1" applyAlignment="1" applyProtection="1">
      <alignment horizontal="centerContinuous" vertical="center"/>
      <protection hidden="1"/>
    </xf>
    <xf numFmtId="0" fontId="12" fillId="24" borderId="32" xfId="0" applyFont="1" applyFill="1" applyBorder="1" applyAlignment="1" applyProtection="1">
      <alignment horizontal="left" vertical="center"/>
      <protection hidden="1"/>
    </xf>
    <xf numFmtId="37" fontId="18" fillId="24" borderId="12" xfId="0" applyNumberFormat="1" applyFont="1" applyFill="1" applyBorder="1" applyAlignment="1" applyProtection="1">
      <alignment horizontal="left" vertical="center"/>
      <protection hidden="1"/>
    </xf>
    <xf numFmtId="3" fontId="12" fillId="0" borderId="25" xfId="0" applyNumberFormat="1" applyFont="1" applyBorder="1" applyAlignment="1" applyProtection="1">
      <alignment horizontal="left" vertical="center"/>
      <protection hidden="1"/>
    </xf>
    <xf numFmtId="0" fontId="35" fillId="0" borderId="67" xfId="0" applyFont="1" applyBorder="1" applyProtection="1">
      <alignment vertical="center"/>
      <protection hidden="1"/>
    </xf>
    <xf numFmtId="0" fontId="87" fillId="28" borderId="20" xfId="0" applyFont="1" applyFill="1" applyBorder="1" applyProtection="1">
      <alignment vertical="center"/>
      <protection hidden="1"/>
    </xf>
    <xf numFmtId="0" fontId="88" fillId="28" borderId="20" xfId="0" applyFont="1" applyFill="1" applyBorder="1" applyProtection="1">
      <alignment vertical="center"/>
      <protection hidden="1"/>
    </xf>
    <xf numFmtId="55" fontId="12" fillId="24" borderId="11" xfId="0" applyNumberFormat="1" applyFont="1" applyFill="1" applyBorder="1" applyAlignment="1" applyProtection="1">
      <alignment horizontal="left" vertical="center"/>
      <protection hidden="1"/>
    </xf>
    <xf numFmtId="0" fontId="12" fillId="24" borderId="49" xfId="0" applyFont="1" applyFill="1" applyBorder="1" applyAlignment="1" applyProtection="1">
      <alignment horizontal="left" vertical="center" shrinkToFit="1"/>
      <protection hidden="1"/>
    </xf>
    <xf numFmtId="0" fontId="12" fillId="24" borderId="13" xfId="0" applyFont="1" applyFill="1" applyBorder="1" applyAlignment="1" applyProtection="1">
      <alignment horizontal="centerContinuous" vertical="center"/>
      <protection hidden="1"/>
    </xf>
    <xf numFmtId="31" fontId="12" fillId="0" borderId="27" xfId="0" applyNumberFormat="1" applyFont="1" applyBorder="1" applyAlignment="1" applyProtection="1">
      <alignment horizontal="centerContinuous" vertical="center"/>
      <protection hidden="1"/>
    </xf>
    <xf numFmtId="3" fontId="12" fillId="24" borderId="0" xfId="0" applyNumberFormat="1" applyFont="1" applyFill="1" applyAlignment="1" applyProtection="1">
      <alignment horizontal="centerContinuous" vertical="center"/>
      <protection hidden="1"/>
    </xf>
    <xf numFmtId="3" fontId="12" fillId="24" borderId="11" xfId="0" applyNumberFormat="1" applyFont="1" applyFill="1" applyBorder="1" applyAlignment="1" applyProtection="1">
      <alignment horizontal="centerContinuous" vertical="center"/>
      <protection hidden="1"/>
    </xf>
    <xf numFmtId="176" fontId="12" fillId="24" borderId="0" xfId="0" applyNumberFormat="1" applyFont="1" applyFill="1" applyAlignment="1" applyProtection="1">
      <alignment horizontal="left" vertical="center"/>
      <protection hidden="1"/>
    </xf>
    <xf numFmtId="0" fontId="12" fillId="0" borderId="10" xfId="0" applyFont="1" applyBorder="1" applyProtection="1">
      <alignment vertical="center"/>
      <protection hidden="1"/>
    </xf>
    <xf numFmtId="3" fontId="26" fillId="24" borderId="49" xfId="0" applyNumberFormat="1" applyFont="1" applyFill="1" applyBorder="1" applyAlignment="1" applyProtection="1">
      <alignment horizontal="left" vertical="center"/>
      <protection hidden="1"/>
    </xf>
    <xf numFmtId="0" fontId="63" fillId="0" borderId="13" xfId="0" applyFont="1" applyBorder="1" applyAlignment="1" applyProtection="1">
      <alignment horizontal="centerContinuous" vertical="center"/>
      <protection hidden="1"/>
    </xf>
    <xf numFmtId="0" fontId="0" fillId="0" borderId="11" xfId="0" applyBorder="1" applyAlignment="1" applyProtection="1">
      <alignment horizontal="left" vertical="center"/>
      <protection hidden="1"/>
    </xf>
    <xf numFmtId="0" fontId="104" fillId="31" borderId="68" xfId="0" applyFont="1" applyFill="1" applyBorder="1" applyProtection="1">
      <alignment vertical="center"/>
      <protection hidden="1"/>
    </xf>
    <xf numFmtId="0" fontId="104" fillId="31" borderId="69" xfId="0" applyFont="1" applyFill="1" applyBorder="1" applyProtection="1">
      <alignment vertical="center"/>
      <protection hidden="1"/>
    </xf>
    <xf numFmtId="0" fontId="104" fillId="31" borderId="0" xfId="0" applyFont="1" applyFill="1" applyProtection="1">
      <alignment vertical="center"/>
      <protection hidden="1"/>
    </xf>
    <xf numFmtId="0" fontId="104" fillId="31" borderId="35" xfId="0" applyFont="1" applyFill="1" applyBorder="1" applyProtection="1">
      <alignment vertical="center"/>
      <protection hidden="1"/>
    </xf>
    <xf numFmtId="0" fontId="64" fillId="0" borderId="10" xfId="0" applyFont="1" applyBorder="1" applyProtection="1">
      <alignment vertical="center"/>
      <protection locked="0"/>
    </xf>
    <xf numFmtId="0" fontId="64" fillId="0" borderId="0" xfId="0" applyFont="1" applyProtection="1">
      <alignment vertical="center"/>
      <protection locked="0"/>
    </xf>
    <xf numFmtId="0" fontId="24" fillId="0" borderId="0" xfId="0" applyFont="1" applyAlignment="1" applyProtection="1">
      <alignment horizontal="center" vertical="center"/>
      <protection locked="0"/>
    </xf>
    <xf numFmtId="0" fontId="63" fillId="0" borderId="0" xfId="0" applyFont="1" applyProtection="1">
      <alignment vertical="center"/>
      <protection locked="0"/>
    </xf>
    <xf numFmtId="0" fontId="63" fillId="0" borderId="11" xfId="0" applyFont="1" applyBorder="1" applyProtection="1">
      <alignment vertical="center"/>
      <protection locked="0"/>
    </xf>
    <xf numFmtId="0" fontId="24" fillId="0" borderId="11" xfId="0" applyFont="1" applyBorder="1" applyAlignment="1" applyProtection="1">
      <alignment horizontal="center" vertical="center"/>
      <protection locked="0"/>
    </xf>
    <xf numFmtId="3" fontId="74" fillId="24" borderId="0" xfId="0" applyNumberFormat="1" applyFont="1" applyFill="1" applyAlignment="1" applyProtection="1">
      <alignment horizontal="left" vertical="center"/>
      <protection locked="0"/>
    </xf>
    <xf numFmtId="3" fontId="23" fillId="24" borderId="0" xfId="0" applyNumberFormat="1" applyFont="1" applyFill="1" applyAlignment="1" applyProtection="1">
      <alignment horizontal="left" vertical="center"/>
      <protection locked="0"/>
    </xf>
    <xf numFmtId="0" fontId="64" fillId="0" borderId="25" xfId="0" applyFont="1" applyBorder="1" applyProtection="1">
      <alignment vertical="center"/>
      <protection locked="0"/>
    </xf>
    <xf numFmtId="0" fontId="64" fillId="0" borderId="26" xfId="0" applyFont="1" applyBorder="1" applyProtection="1">
      <alignment vertical="center"/>
      <protection locked="0"/>
    </xf>
    <xf numFmtId="0" fontId="64" fillId="0" borderId="26" xfId="0" applyFont="1" applyBorder="1" applyAlignment="1" applyProtection="1">
      <alignment horizontal="center" vertical="center"/>
      <protection locked="0"/>
    </xf>
    <xf numFmtId="0" fontId="63" fillId="0" borderId="23" xfId="0" applyFont="1" applyBorder="1" applyProtection="1">
      <alignment vertical="center"/>
      <protection locked="0"/>
    </xf>
    <xf numFmtId="0" fontId="63" fillId="0" borderId="24" xfId="0" applyFont="1" applyBorder="1" applyProtection="1">
      <alignment vertical="center"/>
      <protection locked="0"/>
    </xf>
    <xf numFmtId="0" fontId="85" fillId="0" borderId="0" xfId="0" applyFont="1" applyProtection="1">
      <alignment vertical="center"/>
      <protection locked="0"/>
    </xf>
    <xf numFmtId="3" fontId="83" fillId="0" borderId="0" xfId="0" applyNumberFormat="1" applyFont="1" applyAlignment="1" applyProtection="1">
      <alignment horizontal="left" vertical="center"/>
      <protection locked="0"/>
    </xf>
    <xf numFmtId="0" fontId="35" fillId="0" borderId="0" xfId="0" applyFont="1" applyProtection="1">
      <alignment vertical="center"/>
      <protection locked="0"/>
    </xf>
    <xf numFmtId="0" fontId="35" fillId="0" borderId="11" xfId="0" applyFont="1" applyBorder="1" applyProtection="1">
      <alignment vertical="center"/>
      <protection locked="0"/>
    </xf>
    <xf numFmtId="0" fontId="85" fillId="0" borderId="26" xfId="0" applyFont="1" applyBorder="1" applyProtection="1">
      <alignment vertical="center"/>
      <protection locked="0"/>
    </xf>
    <xf numFmtId="3" fontId="83" fillId="0" borderId="26" xfId="0" applyNumberFormat="1" applyFont="1" applyBorder="1" applyAlignment="1" applyProtection="1">
      <alignment horizontal="left" vertical="center"/>
      <protection locked="0"/>
    </xf>
    <xf numFmtId="0" fontId="35" fillId="0" borderId="26" xfId="0" applyFont="1" applyBorder="1" applyProtection="1">
      <alignment vertical="center"/>
      <protection locked="0"/>
    </xf>
    <xf numFmtId="0" fontId="35" fillId="0" borderId="27" xfId="0" applyFont="1" applyBorder="1" applyProtection="1">
      <alignment vertical="center"/>
      <protection locked="0"/>
    </xf>
    <xf numFmtId="0" fontId="12" fillId="0" borderId="0" xfId="0" applyFont="1" applyAlignment="1" applyProtection="1">
      <alignment horizontal="left" vertical="center"/>
      <protection hidden="1"/>
    </xf>
    <xf numFmtId="0" fontId="2" fillId="25" borderId="0" xfId="0" applyFont="1" applyFill="1" applyAlignment="1" applyProtection="1">
      <alignment horizontal="right" vertical="center"/>
      <protection hidden="1"/>
    </xf>
    <xf numFmtId="0" fontId="12" fillId="24" borderId="34" xfId="0" applyFont="1" applyFill="1" applyBorder="1" applyAlignment="1" applyProtection="1">
      <alignment horizontal="right" vertical="center"/>
      <protection locked="0"/>
    </xf>
    <xf numFmtId="31" fontId="12" fillId="24" borderId="34" xfId="0" applyNumberFormat="1"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7" fillId="24" borderId="0" xfId="0" applyFont="1" applyFill="1" applyAlignment="1" applyProtection="1">
      <alignment horizontal="right"/>
      <protection hidden="1"/>
    </xf>
    <xf numFmtId="0" fontId="12" fillId="0" borderId="0" xfId="0" applyFont="1">
      <alignment vertical="center"/>
    </xf>
    <xf numFmtId="0" fontId="1" fillId="0" borderId="0" xfId="0" applyFont="1" applyAlignment="1">
      <alignment horizontal="left" vertical="center"/>
    </xf>
    <xf numFmtId="0" fontId="12" fillId="0" borderId="0" xfId="0" applyFont="1" applyAlignment="1" applyProtection="1">
      <protection hidden="1"/>
    </xf>
    <xf numFmtId="0" fontId="0" fillId="0" borderId="0" xfId="0" applyAlignment="1"/>
    <xf numFmtId="0" fontId="12"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12" fillId="0" borderId="0" xfId="0" applyFont="1" applyAlignment="1">
      <alignment vertical="center" shrinkToFit="1"/>
    </xf>
    <xf numFmtId="0" fontId="0" fillId="25" borderId="16" xfId="0" applyFill="1" applyBorder="1">
      <alignment vertical="center"/>
    </xf>
    <xf numFmtId="31" fontId="12" fillId="24" borderId="72" xfId="0" applyNumberFormat="1" applyFont="1" applyFill="1" applyBorder="1" applyAlignment="1" applyProtection="1">
      <alignment horizontal="right" vertical="center"/>
      <protection locked="0"/>
    </xf>
    <xf numFmtId="0" fontId="109" fillId="32" borderId="73" xfId="0" applyFont="1" applyFill="1" applyBorder="1" applyProtection="1">
      <alignment vertical="center"/>
      <protection hidden="1"/>
    </xf>
    <xf numFmtId="0" fontId="64" fillId="24" borderId="0" xfId="0" applyFont="1" applyFill="1" applyAlignment="1" applyProtection="1">
      <alignment horizontal="right" vertical="center"/>
      <protection hidden="1"/>
    </xf>
    <xf numFmtId="0" fontId="64" fillId="24" borderId="0" xfId="0" applyFont="1" applyFill="1" applyProtection="1">
      <alignment vertical="center"/>
      <protection hidden="1"/>
    </xf>
    <xf numFmtId="0" fontId="64" fillId="0" borderId="0" xfId="0" applyFont="1" applyProtection="1">
      <alignment vertical="center"/>
      <protection hidden="1"/>
    </xf>
    <xf numFmtId="0" fontId="24" fillId="24" borderId="0" xfId="0" applyFont="1" applyFill="1" applyProtection="1">
      <alignment vertical="center"/>
      <protection hidden="1"/>
    </xf>
    <xf numFmtId="0" fontId="9" fillId="24" borderId="0" xfId="0" applyFont="1" applyFill="1" applyAlignment="1" applyProtection="1">
      <alignment horizontal="right" vertical="center"/>
      <protection hidden="1"/>
    </xf>
    <xf numFmtId="0" fontId="9" fillId="24" borderId="0" xfId="0" applyFont="1" applyFill="1" applyAlignment="1" applyProtection="1">
      <alignment horizontal="left" vertical="center"/>
      <protection hidden="1"/>
    </xf>
    <xf numFmtId="0" fontId="9" fillId="0" borderId="0" xfId="0" applyFont="1" applyAlignment="1" applyProtection="1">
      <alignment horizontal="right" vertical="center"/>
      <protection hidden="1"/>
    </xf>
    <xf numFmtId="0" fontId="0" fillId="25" borderId="74" xfId="0" applyFill="1" applyBorder="1" applyAlignment="1" applyProtection="1">
      <protection hidden="1"/>
    </xf>
    <xf numFmtId="37" fontId="18" fillId="24" borderId="0" xfId="0" quotePrefix="1" applyNumberFormat="1" applyFont="1" applyFill="1" applyAlignment="1" applyProtection="1">
      <alignment horizontal="right" vertical="center"/>
      <protection hidden="1"/>
    </xf>
    <xf numFmtId="37" fontId="18" fillId="0" borderId="66" xfId="0" quotePrefix="1" applyNumberFormat="1" applyFont="1" applyBorder="1" applyAlignment="1" applyProtection="1">
      <alignment horizontal="right" vertical="center"/>
      <protection hidden="1"/>
    </xf>
    <xf numFmtId="49" fontId="12" fillId="25" borderId="15" xfId="0" applyNumberFormat="1" applyFont="1" applyFill="1" applyBorder="1" applyAlignment="1" applyProtection="1">
      <alignment horizontal="left" vertical="center"/>
      <protection hidden="1"/>
    </xf>
    <xf numFmtId="0" fontId="12" fillId="24" borderId="55" xfId="0" applyFont="1" applyFill="1" applyBorder="1" applyAlignment="1" applyProtection="1">
      <alignment horizontal="right" vertical="center"/>
      <protection locked="0"/>
    </xf>
    <xf numFmtId="49" fontId="12" fillId="25" borderId="71" xfId="0" applyNumberFormat="1" applyFont="1" applyFill="1" applyBorder="1" applyAlignment="1" applyProtection="1">
      <alignment horizontal="right" vertical="center"/>
      <protection hidden="1"/>
    </xf>
    <xf numFmtId="49" fontId="12" fillId="25" borderId="75" xfId="0" applyNumberFormat="1" applyFont="1" applyFill="1" applyBorder="1" applyAlignment="1" applyProtection="1">
      <alignment horizontal="right" vertical="center"/>
      <protection hidden="1"/>
    </xf>
    <xf numFmtId="0" fontId="12" fillId="24" borderId="75" xfId="0" applyFont="1" applyFill="1" applyBorder="1" applyAlignment="1" applyProtection="1">
      <alignment horizontal="right" vertical="center"/>
      <protection locked="0"/>
    </xf>
    <xf numFmtId="49" fontId="12" fillId="25" borderId="69" xfId="0" applyNumberFormat="1" applyFont="1" applyFill="1" applyBorder="1" applyAlignment="1" applyProtection="1">
      <alignment horizontal="right" vertical="center"/>
      <protection hidden="1"/>
    </xf>
    <xf numFmtId="49" fontId="12" fillId="25" borderId="12" xfId="0" applyNumberFormat="1" applyFont="1" applyFill="1" applyBorder="1" applyAlignment="1" applyProtection="1">
      <alignment horizontal="right" vertical="center"/>
      <protection hidden="1"/>
    </xf>
    <xf numFmtId="49" fontId="12" fillId="25" borderId="76" xfId="0" applyNumberFormat="1" applyFont="1" applyFill="1" applyBorder="1" applyAlignment="1" applyProtection="1">
      <alignment horizontal="right" vertical="center"/>
      <protection hidden="1"/>
    </xf>
    <xf numFmtId="31" fontId="12" fillId="25" borderId="77" xfId="0" applyNumberFormat="1" applyFont="1" applyFill="1" applyBorder="1" applyProtection="1">
      <alignment vertical="center"/>
      <protection hidden="1"/>
    </xf>
    <xf numFmtId="0" fontId="0" fillId="25" borderId="78" xfId="0" applyFill="1" applyBorder="1" applyAlignment="1" applyProtection="1">
      <protection hidden="1"/>
    </xf>
    <xf numFmtId="0" fontId="12" fillId="0" borderId="0" xfId="0" applyFont="1" applyAlignment="1" applyProtection="1">
      <alignment horizontal="left" vertical="center" shrinkToFit="1"/>
      <protection hidden="1"/>
    </xf>
    <xf numFmtId="0" fontId="2" fillId="0" borderId="0" xfId="0" applyFont="1">
      <alignment vertical="center"/>
    </xf>
    <xf numFmtId="0" fontId="0" fillId="0" borderId="34" xfId="0" applyBorder="1">
      <alignment vertical="center"/>
    </xf>
    <xf numFmtId="0" fontId="0" fillId="0" borderId="0" xfId="0" applyAlignment="1">
      <alignment horizontal="left" vertical="center"/>
    </xf>
    <xf numFmtId="0" fontId="0" fillId="0" borderId="86" xfId="0" applyBorder="1">
      <alignment vertical="center"/>
    </xf>
    <xf numFmtId="0" fontId="0" fillId="0" borderId="71" xfId="0" applyBorder="1">
      <alignment vertical="center"/>
    </xf>
    <xf numFmtId="180" fontId="59" fillId="24" borderId="0" xfId="0" applyNumberFormat="1" applyFont="1" applyFill="1" applyAlignment="1" applyProtection="1">
      <alignment horizontal="center" vertical="center"/>
      <protection hidden="1"/>
    </xf>
    <xf numFmtId="0" fontId="82" fillId="0" borderId="0" xfId="0" applyFont="1" applyAlignment="1" applyProtection="1">
      <alignment vertical="center" shrinkToFit="1"/>
      <protection hidden="1"/>
    </xf>
    <xf numFmtId="177" fontId="82" fillId="0" borderId="0" xfId="0" applyNumberFormat="1" applyFont="1" applyAlignment="1" applyProtection="1">
      <alignment vertical="center" shrinkToFit="1"/>
      <protection hidden="1"/>
    </xf>
    <xf numFmtId="0" fontId="63" fillId="0" borderId="0" xfId="0" applyFont="1" applyAlignment="1" applyProtection="1">
      <alignment vertical="center" shrinkToFit="1"/>
      <protection hidden="1"/>
    </xf>
    <xf numFmtId="0" fontId="35" fillId="0" borderId="0" xfId="0" applyFont="1" applyAlignment="1" applyProtection="1">
      <alignment vertical="center" shrinkToFit="1"/>
      <protection hidden="1"/>
    </xf>
    <xf numFmtId="0" fontId="55" fillId="0" borderId="0" xfId="0" applyFont="1" applyAlignment="1" applyProtection="1">
      <alignment vertical="center" shrinkToFit="1"/>
      <protection hidden="1"/>
    </xf>
    <xf numFmtId="0" fontId="35" fillId="0" borderId="34" xfId="0" applyFont="1" applyBorder="1" applyAlignment="1" applyProtection="1">
      <alignment vertical="center" shrinkToFit="1"/>
      <protection hidden="1"/>
    </xf>
    <xf numFmtId="0" fontId="1" fillId="0" borderId="34" xfId="47" applyFont="1" applyBorder="1" applyAlignment="1" applyProtection="1">
      <alignment vertical="center" shrinkToFit="1"/>
      <protection hidden="1"/>
    </xf>
    <xf numFmtId="0" fontId="105" fillId="0" borderId="34" xfId="47" applyFont="1" applyBorder="1" applyAlignment="1" applyProtection="1">
      <alignment vertical="center" shrinkToFit="1"/>
      <protection hidden="1"/>
    </xf>
    <xf numFmtId="0" fontId="130" fillId="0" borderId="34" xfId="47" applyFont="1" applyBorder="1" applyAlignment="1" applyProtection="1">
      <alignment vertical="center" shrinkToFit="1"/>
      <protection hidden="1"/>
    </xf>
    <xf numFmtId="0" fontId="35" fillId="0" borderId="34" xfId="47" applyFont="1" applyBorder="1" applyAlignment="1" applyProtection="1">
      <alignment horizontal="right" vertical="center" shrinkToFit="1"/>
      <protection hidden="1"/>
    </xf>
    <xf numFmtId="0" fontId="35" fillId="0" borderId="34" xfId="47" applyFont="1" applyBorder="1" applyAlignment="1" applyProtection="1">
      <alignment horizontal="left" vertical="center" shrinkToFit="1"/>
      <protection hidden="1"/>
    </xf>
    <xf numFmtId="176" fontId="35" fillId="0" borderId="34" xfId="47" applyNumberFormat="1" applyFont="1" applyBorder="1" applyAlignment="1" applyProtection="1">
      <alignment shrinkToFit="1"/>
      <protection hidden="1"/>
    </xf>
    <xf numFmtId="0" fontId="35" fillId="0" borderId="34" xfId="47" applyFont="1" applyBorder="1" applyAlignment="1" applyProtection="1">
      <alignment vertical="center" shrinkToFit="1"/>
      <protection hidden="1"/>
    </xf>
    <xf numFmtId="182" fontId="62" fillId="0" borderId="34" xfId="36" applyNumberFormat="1" applyFont="1" applyFill="1" applyBorder="1" applyAlignment="1" applyProtection="1">
      <alignment horizontal="center" vertical="center" shrinkToFit="1"/>
      <protection hidden="1"/>
    </xf>
    <xf numFmtId="182" fontId="62" fillId="0" borderId="0" xfId="36" applyNumberFormat="1" applyFont="1" applyFill="1" applyBorder="1" applyAlignment="1" applyProtection="1">
      <alignment horizontal="center" vertical="center" shrinkToFit="1"/>
      <protection hidden="1"/>
    </xf>
    <xf numFmtId="182" fontId="35" fillId="0" borderId="34" xfId="0" applyNumberFormat="1" applyFont="1" applyBorder="1" applyAlignment="1" applyProtection="1">
      <alignment vertical="center" shrinkToFit="1"/>
      <protection hidden="1"/>
    </xf>
    <xf numFmtId="0" fontId="18" fillId="24" borderId="0" xfId="0" applyFont="1" applyFill="1" applyAlignment="1" applyProtection="1">
      <alignment horizontal="left" vertical="center" shrinkToFit="1"/>
      <protection hidden="1"/>
    </xf>
    <xf numFmtId="0" fontId="48" fillId="24" borderId="0" xfId="0" applyFont="1" applyFill="1" applyAlignment="1" applyProtection="1">
      <alignment vertical="center" shrinkToFit="1"/>
      <protection hidden="1"/>
    </xf>
    <xf numFmtId="0" fontId="1" fillId="0" borderId="34" xfId="0" applyFont="1" applyBorder="1" applyAlignment="1" applyProtection="1">
      <alignment vertical="center" shrinkToFit="1"/>
      <protection hidden="1"/>
    </xf>
    <xf numFmtId="0" fontId="35" fillId="0" borderId="34" xfId="36" applyNumberFormat="1" applyFont="1" applyFill="1" applyBorder="1" applyAlignment="1" applyProtection="1">
      <alignment shrinkToFit="1"/>
      <protection hidden="1"/>
    </xf>
    <xf numFmtId="38" fontId="35" fillId="0" borderId="34" xfId="36" applyFont="1" applyFill="1" applyBorder="1" applyAlignment="1" applyProtection="1">
      <alignment shrinkToFit="1"/>
      <protection hidden="1"/>
    </xf>
    <xf numFmtId="38" fontId="1" fillId="0" borderId="34" xfId="0" applyNumberFormat="1" applyFont="1" applyBorder="1" applyAlignment="1" applyProtection="1">
      <alignment vertical="center" shrinkToFit="1"/>
      <protection hidden="1"/>
    </xf>
    <xf numFmtId="38" fontId="1" fillId="0" borderId="34" xfId="36" applyFont="1" applyFill="1" applyBorder="1" applyAlignment="1" applyProtection="1">
      <alignment vertical="center" shrinkToFit="1"/>
      <protection hidden="1"/>
    </xf>
    <xf numFmtId="0" fontId="1" fillId="0" borderId="34" xfId="0" applyFont="1" applyBorder="1" applyAlignment="1" applyProtection="1">
      <alignment horizontal="center" shrinkToFit="1"/>
      <protection hidden="1"/>
    </xf>
    <xf numFmtId="0" fontId="1" fillId="0" borderId="34" xfId="36" applyNumberFormat="1" applyFont="1" applyFill="1" applyBorder="1" applyAlignment="1" applyProtection="1">
      <alignment shrinkToFit="1"/>
      <protection hidden="1"/>
    </xf>
    <xf numFmtId="0" fontId="1" fillId="0" borderId="34" xfId="36" quotePrefix="1" applyNumberFormat="1" applyFont="1" applyFill="1" applyBorder="1" applyAlignment="1" applyProtection="1">
      <alignment shrinkToFit="1"/>
      <protection hidden="1"/>
    </xf>
    <xf numFmtId="0" fontId="35" fillId="0" borderId="34" xfId="0" applyFont="1" applyBorder="1" applyAlignment="1" applyProtection="1">
      <alignment horizontal="left" vertical="center" shrinkToFit="1"/>
      <protection hidden="1"/>
    </xf>
    <xf numFmtId="183" fontId="35" fillId="0" borderId="34" xfId="0" applyNumberFormat="1" applyFont="1" applyBorder="1" applyAlignment="1" applyProtection="1">
      <alignment horizontal="left" shrinkToFit="1"/>
      <protection hidden="1"/>
    </xf>
    <xf numFmtId="0" fontId="0" fillId="0" borderId="34" xfId="0" applyBorder="1" applyAlignment="1" applyProtection="1">
      <alignment vertical="center" shrinkToFit="1"/>
      <protection hidden="1"/>
    </xf>
    <xf numFmtId="176" fontId="35" fillId="0" borderId="34" xfId="0" applyNumberFormat="1" applyFont="1" applyBorder="1" applyAlignment="1" applyProtection="1">
      <alignment horizontal="right" shrinkToFit="1"/>
      <protection hidden="1"/>
    </xf>
    <xf numFmtId="0" fontId="0" fillId="0" borderId="34" xfId="0" applyBorder="1" applyAlignment="1" applyProtection="1">
      <alignment horizontal="left" vertical="center" shrinkToFit="1"/>
      <protection hidden="1"/>
    </xf>
    <xf numFmtId="0" fontId="1" fillId="0" borderId="0" xfId="0" applyFont="1" applyAlignment="1" applyProtection="1">
      <alignment horizontal="left" vertical="center" shrinkToFit="1"/>
      <protection hidden="1"/>
    </xf>
    <xf numFmtId="183" fontId="35" fillId="0" borderId="0" xfId="0" applyNumberFormat="1" applyFont="1" applyAlignment="1" applyProtection="1">
      <alignment horizontal="left" shrinkToFit="1"/>
      <protection hidden="1"/>
    </xf>
    <xf numFmtId="0" fontId="1" fillId="0" borderId="0" xfId="0" applyFont="1" applyAlignment="1" applyProtection="1">
      <alignment vertical="center" shrinkToFit="1"/>
      <protection hidden="1"/>
    </xf>
    <xf numFmtId="176" fontId="35" fillId="0" borderId="0" xfId="0" applyNumberFormat="1" applyFont="1" applyAlignment="1" applyProtection="1">
      <alignment vertical="center" shrinkToFit="1"/>
      <protection hidden="1"/>
    </xf>
    <xf numFmtId="176" fontId="35" fillId="0" borderId="0" xfId="0" applyNumberFormat="1" applyFont="1" applyAlignment="1" applyProtection="1">
      <alignment horizontal="right" shrinkToFit="1"/>
      <protection hidden="1"/>
    </xf>
    <xf numFmtId="176" fontId="35" fillId="0" borderId="34" xfId="0" applyNumberFormat="1" applyFont="1" applyBorder="1" applyAlignment="1" applyProtection="1">
      <alignment vertical="center" shrinkToFit="1"/>
      <protection hidden="1"/>
    </xf>
    <xf numFmtId="182" fontId="35" fillId="0" borderId="34" xfId="36" applyNumberFormat="1" applyFont="1" applyFill="1" applyBorder="1" applyAlignment="1" applyProtection="1">
      <alignment horizontal="right" shrinkToFit="1"/>
      <protection hidden="1"/>
    </xf>
    <xf numFmtId="0" fontId="0" fillId="0" borderId="86" xfId="0" applyBorder="1" applyAlignment="1" applyProtection="1">
      <alignment horizontal="left" shrinkToFit="1"/>
      <protection hidden="1"/>
    </xf>
    <xf numFmtId="177" fontId="63" fillId="0" borderId="0" xfId="0" applyNumberFormat="1" applyFont="1" applyAlignment="1" applyProtection="1">
      <alignment vertical="center" shrinkToFit="1"/>
      <protection hidden="1"/>
    </xf>
    <xf numFmtId="0" fontId="0" fillId="0" borderId="0" xfId="0" applyAlignment="1" applyProtection="1">
      <alignment vertical="center" shrinkToFit="1"/>
      <protection hidden="1"/>
    </xf>
    <xf numFmtId="180" fontId="59" fillId="0" borderId="0" xfId="0" applyNumberFormat="1" applyFont="1" applyAlignment="1" applyProtection="1">
      <alignment horizontal="center" vertical="center"/>
      <protection hidden="1"/>
    </xf>
    <xf numFmtId="188" fontId="35" fillId="0" borderId="34" xfId="0" applyNumberFormat="1" applyFont="1" applyBorder="1" applyAlignment="1" applyProtection="1">
      <alignment vertical="center" shrinkToFit="1"/>
      <protection hidden="1"/>
    </xf>
    <xf numFmtId="188" fontId="35" fillId="0" borderId="34" xfId="0" applyNumberFormat="1" applyFont="1" applyBorder="1" applyProtection="1">
      <alignment vertical="center"/>
      <protection hidden="1"/>
    </xf>
    <xf numFmtId="0" fontId="1" fillId="37" borderId="0" xfId="0" applyFont="1" applyFill="1" applyProtection="1">
      <alignment vertical="center"/>
      <protection hidden="1"/>
    </xf>
    <xf numFmtId="0" fontId="36" fillId="37" borderId="0" xfId="0" applyFont="1" applyFill="1" applyProtection="1">
      <alignment vertical="center"/>
      <protection hidden="1"/>
    </xf>
    <xf numFmtId="0" fontId="35" fillId="0" borderId="34" xfId="0" applyFont="1" applyBorder="1" applyAlignment="1" applyProtection="1">
      <alignment horizontal="right" vertical="center" shrinkToFit="1"/>
      <protection hidden="1"/>
    </xf>
    <xf numFmtId="185" fontId="12" fillId="24" borderId="70" xfId="36" applyNumberFormat="1" applyFont="1" applyFill="1" applyBorder="1" applyAlignment="1" applyProtection="1">
      <alignment horizontal="right" vertical="center"/>
      <protection locked="0"/>
    </xf>
    <xf numFmtId="185" fontId="12" fillId="24" borderId="34" xfId="36" applyNumberFormat="1" applyFont="1" applyFill="1" applyBorder="1" applyAlignment="1" applyProtection="1">
      <alignment horizontal="right" vertical="center"/>
      <protection locked="0"/>
    </xf>
    <xf numFmtId="0" fontId="132" fillId="25" borderId="18" xfId="30" applyFont="1" applyFill="1" applyBorder="1" applyAlignment="1" applyProtection="1">
      <alignment horizontal="left" vertical="center" indent="1"/>
      <protection hidden="1"/>
    </xf>
    <xf numFmtId="0" fontId="1" fillId="25" borderId="59" xfId="0" applyFont="1" applyFill="1" applyBorder="1" applyAlignment="1" applyProtection="1">
      <alignment horizontal="left" vertical="center" indent="1"/>
      <protection hidden="1"/>
    </xf>
    <xf numFmtId="0" fontId="132" fillId="25" borderId="31" xfId="30" applyFont="1" applyFill="1" applyBorder="1" applyAlignment="1" applyProtection="1">
      <alignment horizontal="left" vertical="center" indent="1"/>
      <protection hidden="1"/>
    </xf>
    <xf numFmtId="188" fontId="55" fillId="0" borderId="0" xfId="0" applyNumberFormat="1" applyFont="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5" fillId="0" borderId="23"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93" fillId="29" borderId="92" xfId="0" applyFont="1" applyFill="1" applyBorder="1" applyProtection="1">
      <alignment vertical="center"/>
      <protection hidden="1"/>
    </xf>
    <xf numFmtId="0" fontId="51" fillId="29" borderId="71" xfId="0" applyFont="1" applyFill="1" applyBorder="1" applyProtection="1">
      <alignment vertical="center"/>
      <protection hidden="1"/>
    </xf>
    <xf numFmtId="0" fontId="51" fillId="29" borderId="71" xfId="0" applyFont="1" applyFill="1" applyBorder="1" applyAlignment="1" applyProtection="1">
      <alignment horizontal="right" vertical="center"/>
      <protection hidden="1"/>
    </xf>
    <xf numFmtId="0" fontId="103" fillId="29" borderId="71" xfId="0" applyFont="1" applyFill="1" applyBorder="1" applyAlignment="1" applyProtection="1">
      <alignment horizontal="right" vertical="center"/>
      <protection hidden="1"/>
    </xf>
    <xf numFmtId="0" fontId="54" fillId="29" borderId="71" xfId="0" applyFont="1" applyFill="1" applyBorder="1" applyAlignment="1" applyProtection="1">
      <alignment horizontal="right" vertical="center"/>
      <protection hidden="1"/>
    </xf>
    <xf numFmtId="0" fontId="112" fillId="29" borderId="71" xfId="0" applyFont="1" applyFill="1" applyBorder="1" applyAlignment="1" applyProtection="1">
      <alignment horizontal="right" vertical="center"/>
      <protection hidden="1"/>
    </xf>
    <xf numFmtId="180" fontId="112" fillId="29" borderId="71" xfId="0" applyNumberFormat="1" applyFont="1" applyFill="1" applyBorder="1" applyAlignment="1" applyProtection="1">
      <alignment horizontal="right" vertical="center"/>
      <protection hidden="1"/>
    </xf>
    <xf numFmtId="0" fontId="30" fillId="29" borderId="88" xfId="0" applyFont="1" applyFill="1" applyBorder="1" applyAlignment="1" applyProtection="1">
      <alignment horizontal="right" vertical="center"/>
      <protection hidden="1"/>
    </xf>
    <xf numFmtId="0" fontId="91" fillId="29" borderId="28" xfId="0" applyFont="1" applyFill="1" applyBorder="1" applyProtection="1">
      <alignment vertical="center"/>
      <protection hidden="1"/>
    </xf>
    <xf numFmtId="0" fontId="51" fillId="29" borderId="29" xfId="0" applyFont="1" applyFill="1" applyBorder="1" applyProtection="1">
      <alignment vertical="center"/>
      <protection hidden="1"/>
    </xf>
    <xf numFmtId="0" fontId="42" fillId="29" borderId="29" xfId="0" applyFont="1" applyFill="1" applyBorder="1" applyAlignment="1" applyProtection="1">
      <alignment horizontal="center" vertical="center"/>
      <protection hidden="1"/>
    </xf>
    <xf numFmtId="0" fontId="103" fillId="29" borderId="29" xfId="0" applyFont="1" applyFill="1" applyBorder="1" applyAlignment="1" applyProtection="1">
      <alignment horizontal="right" vertical="center"/>
      <protection hidden="1"/>
    </xf>
    <xf numFmtId="0" fontId="54" fillId="29" borderId="29" xfId="0" applyFont="1" applyFill="1" applyBorder="1" applyAlignment="1" applyProtection="1">
      <alignment horizontal="right" vertical="center"/>
      <protection hidden="1"/>
    </xf>
    <xf numFmtId="0" fontId="110" fillId="29" borderId="29" xfId="0" applyFont="1" applyFill="1" applyBorder="1" applyAlignment="1" applyProtection="1">
      <alignment horizontal="right" vertical="center"/>
      <protection hidden="1"/>
    </xf>
    <xf numFmtId="176" fontId="110" fillId="29" borderId="29" xfId="0" applyNumberFormat="1" applyFont="1" applyFill="1" applyBorder="1" applyAlignment="1" applyProtection="1">
      <alignment horizontal="right" vertical="center"/>
      <protection hidden="1"/>
    </xf>
    <xf numFmtId="0" fontId="30" fillId="29" borderId="95" xfId="0" applyFont="1" applyFill="1" applyBorder="1" applyAlignment="1" applyProtection="1">
      <alignment horizontal="right" vertical="center"/>
      <protection hidden="1"/>
    </xf>
    <xf numFmtId="177" fontId="134" fillId="0" borderId="27" xfId="0" applyNumberFormat="1" applyFont="1" applyBorder="1" applyAlignment="1" applyProtection="1">
      <alignment horizontal="left" vertical="center"/>
      <protection locked="0"/>
    </xf>
    <xf numFmtId="3" fontId="12" fillId="24" borderId="26" xfId="0" applyNumberFormat="1" applyFont="1" applyFill="1" applyBorder="1" applyAlignment="1" applyProtection="1">
      <alignment horizontal="left" vertical="center"/>
      <protection hidden="1"/>
    </xf>
    <xf numFmtId="0" fontId="12" fillId="0" borderId="26" xfId="0" applyFont="1" applyBorder="1" applyAlignment="1" applyProtection="1">
      <alignment horizontal="left" vertical="center" shrinkToFit="1"/>
      <protection hidden="1"/>
    </xf>
    <xf numFmtId="3" fontId="12" fillId="24" borderId="26" xfId="0" applyNumberFormat="1" applyFont="1" applyFill="1" applyBorder="1" applyAlignment="1" applyProtection="1">
      <alignment horizontal="left" vertical="center" shrinkToFit="1"/>
      <protection hidden="1"/>
    </xf>
    <xf numFmtId="3" fontId="12" fillId="0" borderId="26" xfId="0" applyNumberFormat="1" applyFont="1" applyBorder="1" applyAlignment="1" applyProtection="1">
      <alignment horizontal="left" vertical="center"/>
      <protection hidden="1"/>
    </xf>
    <xf numFmtId="0" fontId="39" fillId="0" borderId="0" xfId="0" applyFont="1" applyProtection="1">
      <alignment vertical="center"/>
      <protection hidden="1"/>
    </xf>
    <xf numFmtId="0" fontId="12" fillId="0" borderId="12" xfId="0" applyFont="1" applyBorder="1" applyAlignment="1" applyProtection="1">
      <alignment horizontal="left" vertical="center"/>
      <protection hidden="1"/>
    </xf>
    <xf numFmtId="31" fontId="12" fillId="0" borderId="96" xfId="0" applyNumberFormat="1" applyFont="1" applyBorder="1" applyAlignment="1" applyProtection="1">
      <alignment horizontal="left" vertical="center" shrinkToFit="1"/>
      <protection hidden="1"/>
    </xf>
    <xf numFmtId="31" fontId="12" fillId="0" borderId="97" xfId="0" applyNumberFormat="1" applyFont="1" applyBorder="1" applyAlignment="1" applyProtection="1">
      <alignment horizontal="left" vertical="center"/>
      <protection hidden="1"/>
    </xf>
    <xf numFmtId="0" fontId="12" fillId="0" borderId="0" xfId="0" quotePrefix="1" applyFont="1" applyAlignment="1" applyProtection="1">
      <alignment horizontal="left" vertical="center"/>
      <protection hidden="1"/>
    </xf>
    <xf numFmtId="3" fontId="12" fillId="24" borderId="23" xfId="0" applyNumberFormat="1" applyFont="1" applyFill="1" applyBorder="1" applyAlignment="1" applyProtection="1">
      <alignment horizontal="left" vertical="center"/>
      <protection hidden="1"/>
    </xf>
    <xf numFmtId="3" fontId="12" fillId="24" borderId="98" xfId="0" applyNumberFormat="1" applyFont="1" applyFill="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63" fillId="0" borderId="0" xfId="0" applyFont="1" applyAlignment="1" applyProtection="1">
      <alignment horizontal="left" vertical="center"/>
      <protection hidden="1"/>
    </xf>
    <xf numFmtId="0" fontId="2" fillId="24" borderId="34" xfId="0" applyFont="1" applyFill="1" applyBorder="1" applyProtection="1">
      <alignment vertical="center"/>
      <protection hidden="1"/>
    </xf>
    <xf numFmtId="187" fontId="12" fillId="24" borderId="98" xfId="0" applyNumberFormat="1" applyFont="1" applyFill="1" applyBorder="1" applyAlignment="1" applyProtection="1">
      <alignment horizontal="left" vertical="center"/>
      <protection hidden="1"/>
    </xf>
    <xf numFmtId="176" fontId="35" fillId="0" borderId="34" xfId="0" applyNumberFormat="1" applyFont="1" applyBorder="1" applyAlignment="1" applyProtection="1">
      <alignment horizontal="right" vertical="center" shrinkToFit="1"/>
      <protection hidden="1"/>
    </xf>
    <xf numFmtId="185" fontId="12" fillId="24" borderId="86" xfId="36" applyNumberFormat="1" applyFont="1" applyFill="1" applyBorder="1" applyAlignment="1" applyProtection="1">
      <alignment horizontal="right" vertical="center"/>
      <protection locked="0"/>
    </xf>
    <xf numFmtId="0" fontId="12" fillId="34" borderId="71" xfId="0" applyFont="1" applyFill="1" applyBorder="1" applyAlignment="1" applyProtection="1">
      <alignment horizontal="left" vertical="center"/>
      <protection hidden="1"/>
    </xf>
    <xf numFmtId="191" fontId="26" fillId="35" borderId="19" xfId="0" applyNumberFormat="1" applyFont="1" applyFill="1" applyBorder="1" applyAlignment="1" applyProtection="1">
      <alignment horizontal="center" vertical="center"/>
      <protection locked="0" hidden="1"/>
    </xf>
    <xf numFmtId="0" fontId="9" fillId="25" borderId="114" xfId="0" applyFont="1" applyFill="1" applyBorder="1" applyAlignment="1" applyProtection="1">
      <alignment horizontal="center" vertical="center"/>
      <protection hidden="1"/>
    </xf>
    <xf numFmtId="0" fontId="9" fillId="25" borderId="118" xfId="0" applyFont="1" applyFill="1" applyBorder="1" applyAlignment="1" applyProtection="1">
      <alignment horizontal="center" vertical="center"/>
      <protection hidden="1"/>
    </xf>
    <xf numFmtId="0" fontId="9" fillId="25" borderId="122" xfId="0" applyFont="1" applyFill="1" applyBorder="1" applyAlignment="1" applyProtection="1">
      <alignment horizontal="center" vertical="center"/>
      <protection hidden="1"/>
    </xf>
    <xf numFmtId="0" fontId="9" fillId="0" borderId="0" xfId="0" applyFont="1" applyAlignment="1">
      <alignment horizontal="right" vertical="center"/>
    </xf>
    <xf numFmtId="0" fontId="12" fillId="0" borderId="0" xfId="0" applyFont="1" applyAlignment="1" applyProtection="1">
      <alignment horizontal="right" vertical="center"/>
      <protection hidden="1"/>
    </xf>
    <xf numFmtId="0" fontId="2" fillId="35" borderId="94" xfId="0" applyFont="1" applyFill="1" applyBorder="1" applyAlignment="1" applyProtection="1">
      <alignment horizontal="center" vertical="center"/>
      <protection locked="0" hidden="1"/>
    </xf>
    <xf numFmtId="0" fontId="2" fillId="35" borderId="84" xfId="0" applyFont="1" applyFill="1" applyBorder="1" applyAlignment="1" applyProtection="1">
      <alignment horizontal="center" vertical="center"/>
      <protection locked="0" hidden="1"/>
    </xf>
    <xf numFmtId="0" fontId="2" fillId="35" borderId="93" xfId="0" applyFont="1" applyFill="1" applyBorder="1" applyAlignment="1" applyProtection="1">
      <alignment horizontal="center" vertical="center"/>
      <protection locked="0" hidden="1"/>
    </xf>
    <xf numFmtId="0" fontId="142" fillId="24" borderId="0" xfId="0" applyFont="1" applyFill="1" applyAlignment="1" applyProtection="1">
      <alignment horizontal="center" vertical="center"/>
      <protection hidden="1"/>
    </xf>
    <xf numFmtId="0" fontId="0" fillId="0" borderId="34" xfId="0" applyBorder="1" applyProtection="1">
      <alignment vertical="center"/>
      <protection hidden="1"/>
    </xf>
    <xf numFmtId="191" fontId="26" fillId="40" borderId="19" xfId="0" applyNumberFormat="1" applyFont="1" applyFill="1" applyBorder="1" applyAlignment="1">
      <alignment horizontal="center" vertical="center"/>
    </xf>
    <xf numFmtId="0" fontId="12" fillId="34" borderId="70" xfId="0" applyFont="1" applyFill="1" applyBorder="1" applyProtection="1">
      <alignment vertical="center"/>
      <protection hidden="1"/>
    </xf>
    <xf numFmtId="0" fontId="35" fillId="0" borderId="0" xfId="0" applyFont="1">
      <alignment vertical="center"/>
    </xf>
    <xf numFmtId="0" fontId="35" fillId="0" borderId="34" xfId="0" applyFont="1" applyBorder="1">
      <alignment vertical="center"/>
    </xf>
    <xf numFmtId="0" fontId="35" fillId="0" borderId="34" xfId="0" applyFont="1" applyBorder="1" applyAlignment="1" applyProtection="1">
      <alignment horizontal="right" vertical="center"/>
      <protection hidden="1"/>
    </xf>
    <xf numFmtId="0" fontId="35" fillId="24" borderId="34" xfId="0" applyFont="1" applyFill="1" applyBorder="1" applyProtection="1">
      <alignment vertical="center"/>
      <protection hidden="1"/>
    </xf>
    <xf numFmtId="191" fontId="35" fillId="0" borderId="34" xfId="0" applyNumberFormat="1" applyFont="1" applyBorder="1" applyProtection="1">
      <alignment vertical="center"/>
      <protection hidden="1"/>
    </xf>
    <xf numFmtId="0" fontId="35" fillId="0" borderId="34" xfId="0" applyFont="1" applyBorder="1" applyProtection="1">
      <alignment vertical="center"/>
      <protection hidden="1"/>
    </xf>
    <xf numFmtId="0" fontId="18" fillId="30" borderId="71" xfId="0"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Continuous" vertical="center" shrinkToFit="1"/>
      <protection hidden="1"/>
    </xf>
    <xf numFmtId="0" fontId="18" fillId="30" borderId="71" xfId="0" applyFont="1" applyFill="1" applyBorder="1" applyAlignment="1" applyProtection="1">
      <alignment horizontal="center" vertical="center" shrinkToFit="1"/>
      <protection hidden="1"/>
    </xf>
    <xf numFmtId="0" fontId="18" fillId="40" borderId="70"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horizontal="centerContinuous" vertical="center" shrinkToFit="1"/>
      <protection hidden="1"/>
    </xf>
    <xf numFmtId="0" fontId="18" fillId="40" borderId="86" xfId="0" applyFont="1" applyFill="1" applyBorder="1" applyAlignment="1" applyProtection="1">
      <alignment horizontal="centerContinuous" vertical="center" shrinkToFit="1"/>
      <protection hidden="1"/>
    </xf>
    <xf numFmtId="0" fontId="143" fillId="0" borderId="0" xfId="0" applyFont="1">
      <alignment vertical="center"/>
    </xf>
    <xf numFmtId="0" fontId="12" fillId="25" borderId="115" xfId="0" applyFont="1" applyFill="1" applyBorder="1" applyProtection="1">
      <alignment vertical="center"/>
      <protection hidden="1"/>
    </xf>
    <xf numFmtId="0" fontId="18" fillId="25" borderId="116" xfId="0" applyFont="1" applyFill="1" applyBorder="1" applyProtection="1">
      <alignment vertical="center"/>
      <protection hidden="1"/>
    </xf>
    <xf numFmtId="0" fontId="18" fillId="25" borderId="117" xfId="0" applyFont="1" applyFill="1" applyBorder="1" applyProtection="1">
      <alignment vertical="center"/>
      <protection hidden="1"/>
    </xf>
    <xf numFmtId="0" fontId="12" fillId="25" borderId="119" xfId="0" applyFont="1" applyFill="1" applyBorder="1" applyProtection="1">
      <alignment vertical="center"/>
      <protection hidden="1"/>
    </xf>
    <xf numFmtId="0" fontId="18" fillId="25" borderId="120" xfId="0" applyFont="1" applyFill="1" applyBorder="1" applyProtection="1">
      <alignment vertical="center"/>
      <protection hidden="1"/>
    </xf>
    <xf numFmtId="0" fontId="18" fillId="25" borderId="121" xfId="0" applyFont="1" applyFill="1" applyBorder="1" applyProtection="1">
      <alignment vertical="center"/>
      <protection hidden="1"/>
    </xf>
    <xf numFmtId="0" fontId="12" fillId="34" borderId="119" xfId="0" applyFont="1" applyFill="1" applyBorder="1" applyProtection="1">
      <alignment vertical="center"/>
      <protection hidden="1"/>
    </xf>
    <xf numFmtId="0" fontId="18" fillId="34" borderId="120" xfId="0" applyFont="1" applyFill="1" applyBorder="1" applyProtection="1">
      <alignment vertical="center"/>
      <protection hidden="1"/>
    </xf>
    <xf numFmtId="0" fontId="18" fillId="34" borderId="121" xfId="0" applyFont="1" applyFill="1" applyBorder="1" applyProtection="1">
      <alignment vertical="center"/>
      <protection hidden="1"/>
    </xf>
    <xf numFmtId="0" fontId="12" fillId="34" borderId="91" xfId="0" applyFont="1" applyFill="1" applyBorder="1" applyProtection="1">
      <alignment vertical="center"/>
      <protection hidden="1"/>
    </xf>
    <xf numFmtId="0" fontId="18" fillId="34" borderId="12" xfId="0" applyFont="1" applyFill="1" applyBorder="1" applyProtection="1">
      <alignment vertical="center"/>
      <protection hidden="1"/>
    </xf>
    <xf numFmtId="0" fontId="18" fillId="34" borderId="90" xfId="0" applyFont="1" applyFill="1" applyBorder="1" applyProtection="1">
      <alignment vertical="center"/>
      <protection hidden="1"/>
    </xf>
    <xf numFmtId="0" fontId="55" fillId="40" borderId="33" xfId="0" applyFont="1" applyFill="1" applyBorder="1" applyAlignment="1" applyProtection="1">
      <alignment horizontal="center" vertical="center"/>
      <protection hidden="1"/>
    </xf>
    <xf numFmtId="0" fontId="12" fillId="34" borderId="71" xfId="0" applyFont="1" applyFill="1" applyBorder="1" applyProtection="1">
      <alignment vertical="center"/>
      <protection hidden="1"/>
    </xf>
    <xf numFmtId="0" fontId="0" fillId="34" borderId="71" xfId="0" applyFill="1" applyBorder="1" applyAlignment="1" applyProtection="1">
      <alignment vertical="center" wrapText="1"/>
      <protection hidden="1"/>
    </xf>
    <xf numFmtId="0" fontId="0" fillId="34" borderId="86" xfId="0" applyFill="1" applyBorder="1" applyAlignment="1" applyProtection="1">
      <alignment vertical="center" wrapText="1"/>
      <protection hidden="1"/>
    </xf>
    <xf numFmtId="0" fontId="12" fillId="34" borderId="35" xfId="0" applyFont="1" applyFill="1" applyBorder="1" applyAlignment="1" applyProtection="1">
      <alignment horizontal="center" vertical="top" wrapText="1"/>
      <protection hidden="1"/>
    </xf>
    <xf numFmtId="0" fontId="12" fillId="34" borderId="86" xfId="0" applyFont="1" applyFill="1" applyBorder="1" applyProtection="1">
      <alignment vertical="center"/>
      <protection hidden="1"/>
    </xf>
    <xf numFmtId="0" fontId="12" fillId="34" borderId="12" xfId="0" applyFont="1" applyFill="1" applyBorder="1" applyAlignment="1" applyProtection="1">
      <alignment horizontal="center" vertical="center" wrapText="1"/>
      <protection hidden="1"/>
    </xf>
    <xf numFmtId="0" fontId="12" fillId="34" borderId="47" xfId="0" applyFont="1" applyFill="1" applyBorder="1" applyAlignment="1" applyProtection="1">
      <alignment horizontal="center" vertical="center" wrapText="1"/>
      <protection hidden="1"/>
    </xf>
    <xf numFmtId="0" fontId="12" fillId="34" borderId="12" xfId="0" applyFont="1" applyFill="1" applyBorder="1" applyProtection="1">
      <alignment vertical="center"/>
      <protection hidden="1"/>
    </xf>
    <xf numFmtId="0" fontId="2" fillId="35" borderId="113" xfId="0" applyFont="1" applyFill="1" applyBorder="1" applyAlignment="1" applyProtection="1">
      <alignment horizontal="center" vertical="center"/>
      <protection locked="0" hidden="1"/>
    </xf>
    <xf numFmtId="0" fontId="0" fillId="34" borderId="70" xfId="0" applyFill="1" applyBorder="1" applyAlignment="1" applyProtection="1">
      <alignment vertical="center" wrapText="1"/>
      <protection hidden="1"/>
    </xf>
    <xf numFmtId="0" fontId="18" fillId="0" borderId="12" xfId="0" applyFont="1" applyBorder="1" applyAlignment="1">
      <alignment horizontal="center" vertical="center"/>
    </xf>
    <xf numFmtId="0" fontId="18" fillId="0" borderId="12" xfId="0" applyFont="1" applyBorder="1">
      <alignment vertical="center"/>
    </xf>
    <xf numFmtId="0" fontId="64" fillId="0" borderId="12" xfId="0" applyFont="1" applyBorder="1" applyProtection="1">
      <alignment vertical="center"/>
      <protection hidden="1"/>
    </xf>
    <xf numFmtId="0" fontId="64" fillId="35" borderId="94" xfId="0" applyFont="1" applyFill="1" applyBorder="1" applyAlignment="1" applyProtection="1">
      <alignment horizontal="center" vertical="center"/>
      <protection locked="0" hidden="1"/>
    </xf>
    <xf numFmtId="0" fontId="18" fillId="34" borderId="71" xfId="0" applyFont="1" applyFill="1" applyBorder="1" applyProtection="1">
      <alignment vertical="center"/>
      <protection hidden="1"/>
    </xf>
    <xf numFmtId="0" fontId="18" fillId="34" borderId="70" xfId="0" applyFont="1" applyFill="1" applyBorder="1" applyProtection="1">
      <alignment vertical="center"/>
      <protection hidden="1"/>
    </xf>
    <xf numFmtId="0" fontId="35" fillId="34" borderId="71" xfId="0" applyFont="1" applyFill="1" applyBorder="1" applyProtection="1">
      <alignment vertical="center"/>
      <protection hidden="1"/>
    </xf>
    <xf numFmtId="0" fontId="35" fillId="34" borderId="86" xfId="0" applyFont="1" applyFill="1" applyBorder="1" applyProtection="1">
      <alignment vertical="center"/>
      <protection hidden="1"/>
    </xf>
    <xf numFmtId="0" fontId="64" fillId="35" borderId="93" xfId="0" applyFont="1" applyFill="1" applyBorder="1" applyAlignment="1" applyProtection="1">
      <alignment horizontal="center" vertical="center"/>
      <protection locked="0" hidden="1"/>
    </xf>
    <xf numFmtId="0" fontId="64" fillId="35" borderId="84" xfId="0" applyFont="1" applyFill="1" applyBorder="1" applyAlignment="1" applyProtection="1">
      <alignment horizontal="center" vertical="center"/>
      <protection locked="0" hidden="1"/>
    </xf>
    <xf numFmtId="0" fontId="55" fillId="40" borderId="33" xfId="0" applyFont="1" applyFill="1" applyBorder="1" applyAlignment="1">
      <alignment horizontal="center" vertical="center"/>
    </xf>
    <xf numFmtId="0" fontId="18" fillId="0" borderId="71" xfId="0" applyFont="1" applyBorder="1">
      <alignment vertical="center"/>
    </xf>
    <xf numFmtId="0" fontId="18" fillId="0" borderId="0" xfId="0" applyFont="1">
      <alignment vertical="center"/>
    </xf>
    <xf numFmtId="0" fontId="18" fillId="27" borderId="19" xfId="0" applyFont="1" applyFill="1" applyBorder="1" applyProtection="1">
      <alignment vertical="center"/>
      <protection hidden="1"/>
    </xf>
    <xf numFmtId="0" fontId="18" fillId="34" borderId="71" xfId="0" applyFont="1" applyFill="1" applyBorder="1" applyAlignment="1" applyProtection="1">
      <alignment vertical="center" wrapText="1"/>
      <protection hidden="1"/>
    </xf>
    <xf numFmtId="0" fontId="145" fillId="30" borderId="71" xfId="0" applyFont="1" applyFill="1" applyBorder="1" applyAlignment="1" applyProtection="1">
      <alignment horizontal="center" vertical="center" shrinkToFit="1"/>
      <protection hidden="1"/>
    </xf>
    <xf numFmtId="0" fontId="12" fillId="25" borderId="34" xfId="0" applyFont="1" applyFill="1" applyBorder="1" applyProtection="1">
      <alignment vertical="center"/>
      <protection hidden="1"/>
    </xf>
    <xf numFmtId="0" fontId="12" fillId="25" borderId="116" xfId="0" applyFont="1" applyFill="1" applyBorder="1" applyProtection="1">
      <alignment vertical="center"/>
      <protection hidden="1"/>
    </xf>
    <xf numFmtId="0" fontId="12" fillId="25" borderId="120" xfId="0" applyFont="1" applyFill="1" applyBorder="1" applyProtection="1">
      <alignment vertical="center"/>
      <protection hidden="1"/>
    </xf>
    <xf numFmtId="0" fontId="12" fillId="34" borderId="120" xfId="0" applyFont="1" applyFill="1" applyBorder="1" applyProtection="1">
      <alignment vertical="center"/>
      <protection hidden="1"/>
    </xf>
    <xf numFmtId="186" fontId="12" fillId="35" borderId="34" xfId="0" applyNumberFormat="1" applyFont="1" applyFill="1" applyBorder="1" applyProtection="1">
      <alignment vertical="center"/>
      <protection locked="0"/>
    </xf>
    <xf numFmtId="0" fontId="12" fillId="30" borderId="71" xfId="0" applyFont="1" applyFill="1" applyBorder="1" applyAlignment="1" applyProtection="1">
      <alignment horizontal="centerContinuous" vertical="center" shrinkToFit="1"/>
      <protection hidden="1"/>
    </xf>
    <xf numFmtId="38" fontId="12" fillId="35" borderId="34" xfId="36" applyFont="1" applyFill="1" applyBorder="1" applyProtection="1">
      <alignment vertical="center"/>
      <protection locked="0"/>
    </xf>
    <xf numFmtId="0" fontId="2" fillId="25" borderId="34" xfId="0" applyFont="1" applyFill="1" applyBorder="1" applyProtection="1">
      <alignment vertical="center"/>
      <protection hidden="1"/>
    </xf>
    <xf numFmtId="0" fontId="12" fillId="25" borderId="117" xfId="0" applyFont="1" applyFill="1" applyBorder="1" applyProtection="1">
      <alignment vertical="center"/>
      <protection hidden="1"/>
    </xf>
    <xf numFmtId="0" fontId="12" fillId="25" borderId="121" xfId="0" applyFont="1" applyFill="1" applyBorder="1" applyProtection="1">
      <alignment vertical="center"/>
      <protection hidden="1"/>
    </xf>
    <xf numFmtId="0" fontId="12" fillId="34" borderId="121" xfId="0" applyFont="1" applyFill="1" applyBorder="1" applyProtection="1">
      <alignment vertical="center"/>
      <protection hidden="1"/>
    </xf>
    <xf numFmtId="0" fontId="12" fillId="34" borderId="90" xfId="0" applyFont="1" applyFill="1" applyBorder="1" applyProtection="1">
      <alignment vertical="center"/>
      <protection hidden="1"/>
    </xf>
    <xf numFmtId="0" fontId="145" fillId="30" borderId="86" xfId="0" applyFont="1" applyFill="1" applyBorder="1" applyAlignment="1" applyProtection="1">
      <alignment horizontal="center" vertical="center" shrinkToFit="1"/>
      <protection hidden="1"/>
    </xf>
    <xf numFmtId="0" fontId="9" fillId="0" borderId="0" xfId="0" applyFont="1">
      <alignment vertical="center"/>
    </xf>
    <xf numFmtId="0" fontId="2" fillId="0" borderId="0" xfId="0" applyFont="1" applyAlignment="1" applyProtection="1">
      <protection hidden="1"/>
    </xf>
    <xf numFmtId="0" fontId="39" fillId="0" borderId="0" xfId="0" applyFont="1" applyAlignment="1" applyProtection="1">
      <alignment horizontal="right" vertical="center"/>
      <protection hidden="1"/>
    </xf>
    <xf numFmtId="0" fontId="2" fillId="30" borderId="34" xfId="0" applyFont="1" applyFill="1" applyBorder="1" applyAlignment="1">
      <alignment horizontal="center" vertical="center"/>
    </xf>
    <xf numFmtId="0" fontId="12" fillId="30" borderId="70" xfId="48" applyFont="1" applyFill="1" applyBorder="1" applyAlignment="1" applyProtection="1">
      <alignment horizontal="center" vertical="center"/>
      <protection hidden="1"/>
    </xf>
    <xf numFmtId="0" fontId="6" fillId="30" borderId="34" xfId="48" applyFont="1" applyFill="1" applyBorder="1" applyAlignment="1" applyProtection="1">
      <alignment horizontal="center" vertical="center"/>
      <protection hidden="1"/>
    </xf>
    <xf numFmtId="0" fontId="12" fillId="30" borderId="34" xfId="48" applyFont="1" applyFill="1" applyBorder="1" applyAlignment="1" applyProtection="1">
      <alignment horizontal="center" vertical="center"/>
      <protection hidden="1"/>
    </xf>
    <xf numFmtId="0" fontId="2" fillId="30" borderId="34" xfId="0" applyFont="1" applyFill="1" applyBorder="1">
      <alignment vertical="center"/>
    </xf>
    <xf numFmtId="177" fontId="2" fillId="25" borderId="34" xfId="0" applyNumberFormat="1" applyFont="1" applyFill="1" applyBorder="1">
      <alignment vertical="center"/>
    </xf>
    <xf numFmtId="177" fontId="2" fillId="25" borderId="70" xfId="0" applyNumberFormat="1" applyFont="1" applyFill="1" applyBorder="1">
      <alignment vertical="center"/>
    </xf>
    <xf numFmtId="9" fontId="2" fillId="25" borderId="34" xfId="0" applyNumberFormat="1" applyFont="1" applyFill="1" applyBorder="1">
      <alignment vertical="center"/>
    </xf>
    <xf numFmtId="176" fontId="26" fillId="25" borderId="19" xfId="0" applyNumberFormat="1" applyFont="1" applyFill="1" applyBorder="1">
      <alignment vertical="center"/>
    </xf>
    <xf numFmtId="9" fontId="9" fillId="25" borderId="34" xfId="28" applyFont="1" applyFill="1" applyBorder="1" applyAlignment="1" applyProtection="1">
      <alignment vertical="center"/>
    </xf>
    <xf numFmtId="0" fontId="9" fillId="0" borderId="0" xfId="0" applyFont="1" applyAlignment="1">
      <alignment horizontal="left" vertical="center"/>
    </xf>
    <xf numFmtId="0" fontId="12" fillId="30" borderId="91" xfId="48" applyFont="1" applyFill="1" applyBorder="1" applyAlignment="1" applyProtection="1">
      <alignment horizontal="center" vertical="center"/>
      <protection hidden="1"/>
    </xf>
    <xf numFmtId="0" fontId="6" fillId="30" borderId="82" xfId="48" applyFont="1" applyFill="1" applyBorder="1" applyAlignment="1" applyProtection="1">
      <alignment horizontal="center" vertical="center"/>
      <protection hidden="1"/>
    </xf>
    <xf numFmtId="0" fontId="12" fillId="30" borderId="82" xfId="48" applyFont="1" applyFill="1" applyBorder="1" applyAlignment="1" applyProtection="1">
      <alignment horizontal="center" vertical="center"/>
      <protection hidden="1"/>
    </xf>
    <xf numFmtId="0" fontId="2" fillId="34" borderId="34" xfId="0" applyFont="1" applyFill="1" applyBorder="1" applyProtection="1">
      <alignment vertical="center"/>
      <protection hidden="1"/>
    </xf>
    <xf numFmtId="0" fontId="2" fillId="30" borderId="70" xfId="0" applyFont="1" applyFill="1" applyBorder="1">
      <alignment vertical="center"/>
    </xf>
    <xf numFmtId="0" fontId="2" fillId="30" borderId="71" xfId="0" applyFont="1" applyFill="1" applyBorder="1">
      <alignment vertical="center"/>
    </xf>
    <xf numFmtId="0" fontId="2" fillId="30" borderId="86" xfId="0" applyFont="1" applyFill="1" applyBorder="1">
      <alignment vertical="center"/>
    </xf>
    <xf numFmtId="0" fontId="12" fillId="30" borderId="12" xfId="48" applyFont="1" applyFill="1" applyBorder="1" applyAlignment="1" applyProtection="1">
      <alignment horizontal="center" vertical="center"/>
      <protection hidden="1"/>
    </xf>
    <xf numFmtId="0" fontId="2" fillId="34" borderId="82" xfId="0" applyFont="1" applyFill="1" applyBorder="1" applyProtection="1">
      <alignment vertical="center"/>
      <protection hidden="1"/>
    </xf>
    <xf numFmtId="0" fontId="2" fillId="30" borderId="82" xfId="0" applyFont="1" applyFill="1" applyBorder="1" applyAlignment="1">
      <alignment horizontal="center" vertical="center"/>
    </xf>
    <xf numFmtId="0" fontId="2" fillId="40" borderId="33" xfId="0" applyFont="1" applyFill="1" applyBorder="1" applyProtection="1">
      <alignment vertical="center"/>
      <protection hidden="1"/>
    </xf>
    <xf numFmtId="191" fontId="2" fillId="34" borderId="34" xfId="0" applyNumberFormat="1" applyFont="1" applyFill="1" applyBorder="1" applyAlignment="1" applyProtection="1">
      <alignment horizontal="center" vertical="center" wrapText="1"/>
      <protection hidden="1"/>
    </xf>
    <xf numFmtId="0" fontId="2" fillId="25" borderId="35" xfId="0" applyFont="1" applyFill="1" applyBorder="1" applyProtection="1">
      <alignment vertical="center"/>
      <protection hidden="1"/>
    </xf>
    <xf numFmtId="0" fontId="2" fillId="25" borderId="70" xfId="0" applyFont="1" applyFill="1" applyBorder="1" applyProtection="1">
      <alignment vertical="center"/>
      <protection hidden="1"/>
    </xf>
    <xf numFmtId="0" fontId="2" fillId="25" borderId="86" xfId="0" applyFont="1" applyFill="1" applyBorder="1" applyProtection="1">
      <alignment vertical="center"/>
      <protection hidden="1"/>
    </xf>
    <xf numFmtId="0" fontId="2" fillId="25" borderId="71" xfId="0" applyFont="1" applyFill="1" applyBorder="1" applyProtection="1">
      <alignment vertical="center"/>
      <protection hidden="1"/>
    </xf>
    <xf numFmtId="0" fontId="2" fillId="35" borderId="85" xfId="0" applyFont="1" applyFill="1" applyBorder="1" applyAlignment="1" applyProtection="1">
      <alignment horizontal="center" vertical="center"/>
      <protection locked="0" hidden="1"/>
    </xf>
    <xf numFmtId="0" fontId="2" fillId="35" borderId="94" xfId="0" applyFont="1" applyFill="1" applyBorder="1" applyAlignment="1" applyProtection="1">
      <alignment horizontal="center" vertical="center"/>
      <protection locked="0"/>
    </xf>
    <xf numFmtId="0" fontId="2" fillId="35" borderId="93" xfId="0" applyFont="1" applyFill="1" applyBorder="1" applyAlignment="1" applyProtection="1">
      <alignment horizontal="center" vertical="center"/>
      <protection locked="0"/>
    </xf>
    <xf numFmtId="0" fontId="100" fillId="0" borderId="0" xfId="0" applyFont="1" applyAlignment="1" applyProtection="1">
      <alignment horizontal="right" vertical="center"/>
      <protection hidden="1"/>
    </xf>
    <xf numFmtId="0" fontId="100" fillId="0" borderId="0" xfId="0" applyFont="1" applyProtection="1">
      <alignment vertical="center"/>
      <protection hidden="1"/>
    </xf>
    <xf numFmtId="0" fontId="152" fillId="0" borderId="0" xfId="0" applyFont="1" applyAlignment="1" applyProtection="1">
      <alignment horizontal="left" vertical="top"/>
      <protection hidden="1"/>
    </xf>
    <xf numFmtId="0" fontId="100" fillId="0" borderId="0" xfId="0" applyFont="1" applyAlignment="1" applyProtection="1">
      <alignment horizontal="left" vertical="center"/>
      <protection hidden="1"/>
    </xf>
    <xf numFmtId="0" fontId="101" fillId="0" borderId="0" xfId="0" applyFont="1" applyAlignment="1" applyProtection="1">
      <alignment horizontal="center" vertical="center"/>
      <protection hidden="1"/>
    </xf>
    <xf numFmtId="0" fontId="55" fillId="0" borderId="0" xfId="0" applyFont="1" applyProtection="1">
      <alignment vertical="center"/>
      <protection hidden="1"/>
    </xf>
    <xf numFmtId="0" fontId="43" fillId="0" borderId="0" xfId="0" applyFont="1" applyProtection="1">
      <alignment vertical="center"/>
      <protection hidden="1"/>
    </xf>
    <xf numFmtId="0" fontId="44" fillId="0" borderId="0" xfId="0" applyFont="1" applyAlignment="1" applyProtection="1">
      <alignment horizontal="center" vertical="center"/>
      <protection hidden="1"/>
    </xf>
    <xf numFmtId="0" fontId="45" fillId="0" borderId="0" xfId="0" applyFont="1" applyProtection="1">
      <alignment vertical="center"/>
      <protection hidden="1"/>
    </xf>
    <xf numFmtId="0" fontId="63" fillId="0" borderId="34" xfId="0" applyFont="1" applyBorder="1" applyProtection="1">
      <alignment vertical="center"/>
      <protection hidden="1"/>
    </xf>
    <xf numFmtId="0" fontId="1" fillId="0" borderId="34" xfId="0" applyFont="1" applyBorder="1" applyProtection="1">
      <alignment vertical="center"/>
      <protection hidden="1"/>
    </xf>
    <xf numFmtId="0" fontId="35" fillId="0" borderId="34" xfId="36" applyNumberFormat="1" applyFont="1" applyFill="1" applyBorder="1" applyAlignment="1" applyProtection="1">
      <protection hidden="1"/>
    </xf>
    <xf numFmtId="0" fontId="18" fillId="0" borderId="12" xfId="0" applyFont="1" applyBorder="1" applyProtection="1">
      <alignment vertical="center"/>
      <protection hidden="1"/>
    </xf>
    <xf numFmtId="182" fontId="62" fillId="0" borderId="34" xfId="36" applyNumberFormat="1" applyFont="1" applyFill="1" applyBorder="1" applyAlignment="1" applyProtection="1">
      <alignment horizontal="center" vertical="center"/>
      <protection hidden="1"/>
    </xf>
    <xf numFmtId="182" fontId="0" fillId="0" borderId="34" xfId="0" applyNumberFormat="1" applyBorder="1" applyProtection="1">
      <alignment vertical="center"/>
      <protection hidden="1"/>
    </xf>
    <xf numFmtId="182" fontId="35" fillId="0" borderId="34" xfId="0" applyNumberFormat="1" applyFont="1" applyBorder="1" applyProtection="1">
      <alignment vertical="center"/>
      <protection hidden="1"/>
    </xf>
    <xf numFmtId="0" fontId="35" fillId="0" borderId="11" xfId="0" applyFont="1" applyBorder="1" applyProtection="1">
      <alignment vertical="center"/>
      <protection hidden="1"/>
    </xf>
    <xf numFmtId="0" fontId="153" fillId="0" borderId="23" xfId="0" applyFont="1" applyBorder="1" applyProtection="1">
      <alignment vertical="center"/>
      <protection hidden="1"/>
    </xf>
    <xf numFmtId="0" fontId="154" fillId="0" borderId="23" xfId="0" applyFont="1" applyBorder="1" applyProtection="1">
      <alignment vertical="center"/>
      <protection hidden="1"/>
    </xf>
    <xf numFmtId="0" fontId="63" fillId="0" borderId="23" xfId="0" applyFont="1" applyBorder="1" applyProtection="1">
      <alignment vertical="center"/>
      <protection hidden="1"/>
    </xf>
    <xf numFmtId="3" fontId="155" fillId="0" borderId="23" xfId="0" applyNumberFormat="1" applyFont="1" applyBorder="1" applyAlignment="1" applyProtection="1">
      <alignment horizontal="left" vertical="center"/>
      <protection hidden="1"/>
    </xf>
    <xf numFmtId="0" fontId="65" fillId="0" borderId="23" xfId="0" applyFont="1" applyBorder="1" applyProtection="1">
      <alignment vertical="center"/>
      <protection hidden="1"/>
    </xf>
    <xf numFmtId="37" fontId="12" fillId="0" borderId="23" xfId="0" applyNumberFormat="1" applyFont="1" applyBorder="1" applyAlignment="1" applyProtection="1">
      <alignment horizontal="left" vertical="center"/>
      <protection hidden="1"/>
    </xf>
    <xf numFmtId="56" fontId="14" fillId="28" borderId="43" xfId="0" applyNumberFormat="1" applyFont="1" applyFill="1" applyBorder="1" applyProtection="1">
      <alignment vertical="center"/>
      <protection hidden="1"/>
    </xf>
    <xf numFmtId="0" fontId="64" fillId="0" borderId="22" xfId="0" applyFont="1" applyBorder="1" applyProtection="1">
      <alignment vertical="center"/>
      <protection hidden="1"/>
    </xf>
    <xf numFmtId="0" fontId="64" fillId="0" borderId="23" xfId="0" applyFont="1" applyBorder="1" applyProtection="1">
      <alignment vertical="center"/>
      <protection hidden="1"/>
    </xf>
    <xf numFmtId="0" fontId="157" fillId="0" borderId="24" xfId="0" applyFont="1" applyBorder="1" applyAlignment="1" applyProtection="1">
      <alignment horizontal="right" vertical="center"/>
      <protection hidden="1"/>
    </xf>
    <xf numFmtId="38" fontId="35" fillId="0" borderId="34" xfId="36" applyFont="1" applyFill="1" applyBorder="1" applyAlignment="1" applyProtection="1">
      <protection hidden="1"/>
    </xf>
    <xf numFmtId="0" fontId="39" fillId="0" borderId="10" xfId="0" applyFont="1" applyBorder="1" applyProtection="1">
      <alignment vertical="center"/>
      <protection hidden="1"/>
    </xf>
    <xf numFmtId="182" fontId="62" fillId="0" borderId="0" xfId="0" applyNumberFormat="1" applyFont="1" applyAlignment="1" applyProtection="1">
      <alignment horizontal="center" vertical="center"/>
      <protection hidden="1"/>
    </xf>
    <xf numFmtId="0" fontId="64" fillId="0" borderId="10" xfId="0" applyFont="1" applyBorder="1" applyProtection="1">
      <alignment vertical="center"/>
      <protection hidden="1"/>
    </xf>
    <xf numFmtId="0" fontId="24" fillId="0" borderId="0" xfId="0" applyFont="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39" fillId="0" borderId="10" xfId="0" applyFont="1" applyBorder="1" applyAlignment="1" applyProtection="1">
      <alignment horizontal="right" vertical="center"/>
      <protection hidden="1"/>
    </xf>
    <xf numFmtId="38" fontId="1" fillId="0" borderId="34" xfId="0" applyNumberFormat="1" applyFont="1" applyBorder="1" applyProtection="1">
      <alignment vertical="center"/>
      <protection hidden="1"/>
    </xf>
    <xf numFmtId="0" fontId="63" fillId="0" borderId="123" xfId="0" applyFont="1" applyBorder="1" applyProtection="1">
      <alignment vertical="center"/>
      <protection hidden="1"/>
    </xf>
    <xf numFmtId="0" fontId="63" fillId="0" borderId="17" xfId="0" applyFont="1" applyBorder="1" applyProtection="1">
      <alignment vertical="center"/>
      <protection hidden="1"/>
    </xf>
    <xf numFmtId="0" fontId="64" fillId="0" borderId="123" xfId="0" applyFont="1" applyBorder="1" applyProtection="1">
      <alignment vertical="center"/>
      <protection hidden="1"/>
    </xf>
    <xf numFmtId="0" fontId="64" fillId="0" borderId="17" xfId="0" applyFont="1" applyBorder="1" applyProtection="1">
      <alignment vertical="center"/>
      <protection hidden="1"/>
    </xf>
    <xf numFmtId="0" fontId="24" fillId="0" borderId="17" xfId="0" applyFont="1" applyBorder="1" applyAlignment="1" applyProtection="1">
      <alignment horizontal="center" vertical="center"/>
      <protection hidden="1"/>
    </xf>
    <xf numFmtId="0" fontId="24" fillId="0" borderId="124" xfId="0" applyFont="1" applyBorder="1" applyAlignment="1" applyProtection="1">
      <alignment horizontal="center" vertical="center"/>
      <protection hidden="1"/>
    </xf>
    <xf numFmtId="38" fontId="1" fillId="0" borderId="34" xfId="36" applyFont="1" applyFill="1" applyBorder="1" applyProtection="1">
      <alignment vertical="center"/>
      <protection hidden="1"/>
    </xf>
    <xf numFmtId="0" fontId="157" fillId="0" borderId="10" xfId="0" applyFont="1" applyBorder="1" applyProtection="1">
      <alignment vertical="center"/>
      <protection hidden="1"/>
    </xf>
    <xf numFmtId="0" fontId="39" fillId="0" borderId="10" xfId="0" applyFont="1" applyBorder="1" applyAlignment="1" applyProtection="1">
      <alignment horizontal="left" vertical="center"/>
      <protection hidden="1"/>
    </xf>
    <xf numFmtId="0" fontId="7" fillId="0" borderId="0" xfId="0" applyFont="1" applyAlignment="1" applyProtection="1">
      <alignment horizontal="center" vertical="center"/>
      <protection hidden="1"/>
    </xf>
    <xf numFmtId="0" fontId="63" fillId="0" borderId="0" xfId="0" applyFont="1">
      <alignment vertical="center"/>
    </xf>
    <xf numFmtId="0" fontId="2" fillId="0" borderId="11" xfId="0" applyFont="1" applyBorder="1" applyAlignment="1" applyProtection="1">
      <alignment horizontal="right" vertical="center"/>
      <protection hidden="1"/>
    </xf>
    <xf numFmtId="0" fontId="1" fillId="0" borderId="34" xfId="0" applyFont="1" applyBorder="1" applyAlignment="1" applyProtection="1">
      <alignment horizontal="center"/>
      <protection hidden="1"/>
    </xf>
    <xf numFmtId="0" fontId="1" fillId="0" borderId="34" xfId="36" applyNumberFormat="1" applyFont="1" applyFill="1" applyBorder="1" applyAlignment="1" applyProtection="1">
      <protection hidden="1"/>
    </xf>
    <xf numFmtId="0" fontId="1" fillId="0" borderId="34" xfId="36" quotePrefix="1" applyNumberFormat="1" applyFont="1" applyFill="1" applyBorder="1" applyAlignment="1" applyProtection="1">
      <protection hidden="1"/>
    </xf>
    <xf numFmtId="0" fontId="1" fillId="0" borderId="0" xfId="0" applyFont="1" applyAlignment="1" applyProtection="1">
      <alignment horizontal="center"/>
      <protection hidden="1"/>
    </xf>
    <xf numFmtId="0" fontId="1" fillId="0" borderId="0" xfId="36" applyNumberFormat="1" applyFont="1" applyFill="1" applyBorder="1" applyAlignment="1" applyProtection="1">
      <protection hidden="1"/>
    </xf>
    <xf numFmtId="0" fontId="48" fillId="0" borderId="10" xfId="0" applyFont="1" applyBorder="1" applyAlignment="1" applyProtection="1">
      <alignment vertical="center" wrapText="1"/>
      <protection hidden="1"/>
    </xf>
    <xf numFmtId="0" fontId="48" fillId="0" borderId="0" xfId="0" applyFont="1" applyAlignment="1" applyProtection="1">
      <alignment vertical="center" wrapText="1"/>
      <protection hidden="1"/>
    </xf>
    <xf numFmtId="0" fontId="48" fillId="0" borderId="11" xfId="0" applyFont="1" applyBorder="1" applyAlignment="1" applyProtection="1">
      <alignment vertical="center" wrapText="1"/>
      <protection hidden="1"/>
    </xf>
    <xf numFmtId="0" fontId="21" fillId="0" borderId="0" xfId="0" applyFont="1" applyProtection="1">
      <alignment vertical="center"/>
      <protection hidden="1"/>
    </xf>
    <xf numFmtId="0" fontId="1" fillId="0" borderId="0" xfId="36" applyNumberFormat="1" applyFont="1" applyFill="1" applyBorder="1" applyAlignment="1" applyProtection="1">
      <alignment wrapText="1"/>
      <protection hidden="1"/>
    </xf>
    <xf numFmtId="182" fontId="39" fillId="0" borderId="0" xfId="36" applyNumberFormat="1" applyFont="1" applyFill="1" applyBorder="1" applyAlignment="1" applyProtection="1">
      <alignment horizontal="right" vertical="top"/>
      <protection hidden="1"/>
    </xf>
    <xf numFmtId="0" fontId="48" fillId="0" borderId="0" xfId="0" applyFont="1" applyAlignment="1" applyProtection="1">
      <alignment horizontal="left"/>
      <protection hidden="1"/>
    </xf>
    <xf numFmtId="0" fontId="48" fillId="0" borderId="26" xfId="0" applyFont="1" applyBorder="1" applyAlignment="1" applyProtection="1">
      <alignment horizontal="left" vertical="top"/>
      <protection hidden="1"/>
    </xf>
    <xf numFmtId="0" fontId="157" fillId="0" borderId="34" xfId="0" applyFont="1" applyBorder="1" applyProtection="1">
      <alignment vertical="center"/>
      <protection hidden="1"/>
    </xf>
    <xf numFmtId="0" fontId="21" fillId="0" borderId="34" xfId="0" applyFont="1" applyBorder="1" applyProtection="1">
      <alignment vertical="center"/>
      <protection hidden="1"/>
    </xf>
    <xf numFmtId="38" fontId="63" fillId="41" borderId="34" xfId="36" applyFont="1" applyFill="1" applyBorder="1" applyProtection="1">
      <alignment vertical="center"/>
      <protection hidden="1"/>
    </xf>
    <xf numFmtId="9" fontId="63" fillId="0" borderId="34" xfId="0" applyNumberFormat="1" applyFont="1" applyBorder="1" applyProtection="1">
      <alignment vertical="center"/>
      <protection hidden="1"/>
    </xf>
    <xf numFmtId="38" fontId="63" fillId="0" borderId="0" xfId="0" applyNumberFormat="1" applyFont="1" applyProtection="1">
      <alignment vertical="center"/>
      <protection hidden="1"/>
    </xf>
    <xf numFmtId="0" fontId="91" fillId="29" borderId="10" xfId="0" applyFont="1" applyFill="1" applyBorder="1" applyProtection="1">
      <alignment vertical="center"/>
      <protection hidden="1"/>
    </xf>
    <xf numFmtId="0" fontId="51" fillId="29" borderId="0" xfId="0" applyFont="1" applyFill="1" applyProtection="1">
      <alignment vertical="center"/>
      <protection hidden="1"/>
    </xf>
    <xf numFmtId="0" fontId="42" fillId="29" borderId="0" xfId="0" applyFont="1" applyFill="1" applyAlignment="1" applyProtection="1">
      <alignment horizontal="center" vertical="center"/>
      <protection hidden="1"/>
    </xf>
    <xf numFmtId="0" fontId="158" fillId="29" borderId="0" xfId="0" applyFont="1" applyFill="1" applyAlignment="1" applyProtection="1">
      <alignment horizontal="right" vertical="center"/>
      <protection hidden="1"/>
    </xf>
    <xf numFmtId="180" fontId="55" fillId="0" borderId="0" xfId="0" applyNumberFormat="1" applyFont="1" applyAlignment="1" applyProtection="1">
      <alignment horizontal="left" vertical="center"/>
      <protection hidden="1"/>
    </xf>
    <xf numFmtId="38" fontId="21" fillId="41" borderId="34" xfId="0" applyNumberFormat="1" applyFont="1" applyFill="1" applyBorder="1" applyProtection="1">
      <alignment vertical="center"/>
      <protection hidden="1"/>
    </xf>
    <xf numFmtId="0" fontId="58" fillId="0" borderId="0" xfId="0" applyFont="1" applyAlignment="1" applyProtection="1">
      <alignment horizontal="right" vertical="center"/>
      <protection hidden="1"/>
    </xf>
    <xf numFmtId="180" fontId="55" fillId="0" borderId="11" xfId="0" applyNumberFormat="1" applyFont="1" applyBorder="1" applyAlignment="1" applyProtection="1">
      <alignment horizontal="center" vertical="center"/>
      <protection hidden="1"/>
    </xf>
    <xf numFmtId="38" fontId="63" fillId="41" borderId="34" xfId="0" applyNumberFormat="1" applyFont="1" applyFill="1" applyBorder="1" applyProtection="1">
      <alignment vertical="center"/>
      <protection hidden="1"/>
    </xf>
    <xf numFmtId="0" fontId="63" fillId="0" borderId="0" xfId="0" quotePrefix="1" applyFont="1" applyProtection="1">
      <alignment vertical="center"/>
      <protection hidden="1"/>
    </xf>
    <xf numFmtId="0" fontId="35" fillId="0" borderId="34" xfId="0" applyFont="1" applyBorder="1" applyAlignment="1" applyProtection="1">
      <alignment horizontal="left" vertical="center"/>
      <protection hidden="1"/>
    </xf>
    <xf numFmtId="183" fontId="35" fillId="0" borderId="34" xfId="0" applyNumberFormat="1" applyFont="1" applyBorder="1" applyAlignment="1" applyProtection="1">
      <alignment horizontal="left"/>
      <protection hidden="1"/>
    </xf>
    <xf numFmtId="176" fontId="35" fillId="0" borderId="34" xfId="0" applyNumberFormat="1" applyFont="1" applyBorder="1" applyAlignment="1" applyProtection="1">
      <alignment horizontal="right"/>
      <protection hidden="1"/>
    </xf>
    <xf numFmtId="176" fontId="35" fillId="0" borderId="34" xfId="0" applyNumberFormat="1" applyFont="1" applyBorder="1" applyProtection="1">
      <alignment vertical="center"/>
      <protection hidden="1"/>
    </xf>
    <xf numFmtId="180" fontId="19" fillId="0" borderId="0" xfId="0" applyNumberFormat="1" applyFont="1" applyAlignment="1" applyProtection="1">
      <alignment horizontal="left" vertical="center"/>
      <protection hidden="1"/>
    </xf>
    <xf numFmtId="0" fontId="1" fillId="0" borderId="34" xfId="0" applyFont="1" applyBorder="1" applyAlignment="1" applyProtection="1">
      <alignment horizontal="left" vertical="center"/>
      <protection hidden="1"/>
    </xf>
    <xf numFmtId="0" fontId="42" fillId="0" borderId="12" xfId="0" applyFont="1" applyBorder="1" applyAlignment="1" applyProtection="1">
      <alignment horizontal="center" vertical="center"/>
      <protection hidden="1"/>
    </xf>
    <xf numFmtId="0" fontId="42" fillId="0" borderId="12" xfId="0" applyFont="1" applyBorder="1" applyProtection="1">
      <alignment vertical="center"/>
      <protection hidden="1"/>
    </xf>
    <xf numFmtId="0" fontId="35" fillId="0" borderId="12" xfId="0" applyFont="1" applyBorder="1" applyProtection="1">
      <alignment vertical="center"/>
      <protection hidden="1"/>
    </xf>
    <xf numFmtId="0" fontId="35" fillId="0" borderId="35" xfId="0" applyFont="1" applyBorder="1" applyProtection="1">
      <alignment vertical="center"/>
      <protection hidden="1"/>
    </xf>
    <xf numFmtId="0" fontId="93" fillId="29" borderId="44" xfId="0" applyFont="1" applyFill="1" applyBorder="1" applyProtection="1">
      <alignment vertical="center"/>
      <protection hidden="1"/>
    </xf>
    <xf numFmtId="0" fontId="51" fillId="29" borderId="35" xfId="0" applyFont="1" applyFill="1" applyBorder="1" applyProtection="1">
      <alignment vertical="center"/>
      <protection hidden="1"/>
    </xf>
    <xf numFmtId="0" fontId="51" fillId="29" borderId="35" xfId="0" applyFont="1" applyFill="1" applyBorder="1" applyAlignment="1" applyProtection="1">
      <alignment horizontal="right" vertical="center"/>
      <protection hidden="1"/>
    </xf>
    <xf numFmtId="1" fontId="55" fillId="0" borderId="0" xfId="0" applyNumberFormat="1" applyFont="1" applyAlignment="1" applyProtection="1">
      <alignment horizontal="left" vertical="center"/>
      <protection hidden="1"/>
    </xf>
    <xf numFmtId="0" fontId="35" fillId="0" borderId="34" xfId="0" applyFont="1" applyBorder="1" applyAlignment="1" applyProtection="1">
      <alignment horizontal="right"/>
      <protection hidden="1"/>
    </xf>
    <xf numFmtId="176" fontId="63" fillId="0" borderId="0" xfId="0" applyNumberFormat="1" applyFont="1" applyProtection="1">
      <alignment vertical="center"/>
      <protection hidden="1"/>
    </xf>
    <xf numFmtId="182" fontId="35" fillId="0" borderId="34" xfId="36" applyNumberFormat="1" applyFont="1" applyFill="1" applyBorder="1" applyAlignment="1" applyProtection="1">
      <alignment horizontal="right"/>
      <protection hidden="1"/>
    </xf>
    <xf numFmtId="0" fontId="1" fillId="0" borderId="34" xfId="0" applyFont="1" applyBorder="1" applyAlignment="1" applyProtection="1">
      <alignment horizontal="left"/>
      <protection hidden="1"/>
    </xf>
    <xf numFmtId="0" fontId="65" fillId="0" borderId="0" xfId="0" applyFont="1" applyProtection="1">
      <alignment vertical="center"/>
      <protection hidden="1"/>
    </xf>
    <xf numFmtId="0" fontId="19" fillId="0" borderId="0" xfId="0" applyFont="1" applyAlignment="1" applyProtection="1">
      <alignment horizontal="right" vertical="center"/>
      <protection hidden="1"/>
    </xf>
    <xf numFmtId="0" fontId="35" fillId="0" borderId="0" xfId="0" applyFont="1" applyAlignment="1" applyProtection="1">
      <alignment horizontal="right"/>
      <protection hidden="1"/>
    </xf>
    <xf numFmtId="177" fontId="63" fillId="0" borderId="0" xfId="0" applyNumberFormat="1" applyFont="1" applyProtection="1">
      <alignment vertical="center"/>
      <protection hidden="1"/>
    </xf>
    <xf numFmtId="0" fontId="63" fillId="0" borderId="125" xfId="0" applyFont="1" applyBorder="1" applyProtection="1">
      <alignment vertical="center"/>
      <protection hidden="1"/>
    </xf>
    <xf numFmtId="0" fontId="63" fillId="0" borderId="126" xfId="0" applyFont="1" applyBorder="1" applyProtection="1">
      <alignment vertical="center"/>
      <protection hidden="1"/>
    </xf>
    <xf numFmtId="0" fontId="48" fillId="0" borderId="126" xfId="0" applyFont="1" applyBorder="1" applyProtection="1">
      <alignment vertical="center"/>
      <protection hidden="1"/>
    </xf>
    <xf numFmtId="0" fontId="63" fillId="0" borderId="127" xfId="0" applyFont="1" applyBorder="1" applyProtection="1">
      <alignment vertical="center"/>
      <protection hidden="1"/>
    </xf>
    <xf numFmtId="0" fontId="48" fillId="0" borderId="25" xfId="0" applyFont="1" applyBorder="1" applyProtection="1">
      <alignment vertical="center"/>
      <protection hidden="1"/>
    </xf>
    <xf numFmtId="0" fontId="35" fillId="36" borderId="34" xfId="0" applyFont="1" applyFill="1" applyBorder="1" applyAlignment="1" applyProtection="1">
      <alignment horizontal="center" vertical="center"/>
      <protection hidden="1"/>
    </xf>
    <xf numFmtId="0" fontId="162" fillId="36" borderId="34" xfId="0" applyFont="1" applyFill="1" applyBorder="1" applyAlignment="1" applyProtection="1">
      <alignment horizontal="center" vertical="center"/>
      <protection hidden="1"/>
    </xf>
    <xf numFmtId="177" fontId="63" fillId="36" borderId="34" xfId="0" applyNumberFormat="1" applyFont="1" applyFill="1" applyBorder="1" applyProtection="1">
      <alignment vertical="center"/>
      <protection hidden="1"/>
    </xf>
    <xf numFmtId="177" fontId="63" fillId="38" borderId="34" xfId="0" applyNumberFormat="1" applyFont="1" applyFill="1" applyBorder="1" applyAlignment="1" applyProtection="1">
      <alignment horizontal="right" vertical="center"/>
      <protection hidden="1"/>
    </xf>
    <xf numFmtId="185" fontId="35" fillId="38" borderId="34" xfId="0" applyNumberFormat="1" applyFont="1" applyFill="1" applyBorder="1" applyAlignment="1" applyProtection="1">
      <alignment horizontal="center" vertical="center"/>
      <protection hidden="1"/>
    </xf>
    <xf numFmtId="38" fontId="63" fillId="0" borderId="34" xfId="36" applyFont="1" applyFill="1" applyBorder="1" applyProtection="1">
      <alignment vertical="center"/>
      <protection hidden="1"/>
    </xf>
    <xf numFmtId="38" fontId="21" fillId="0" borderId="34" xfId="0" applyNumberFormat="1" applyFont="1" applyBorder="1" applyProtection="1">
      <alignment vertical="center"/>
      <protection hidden="1"/>
    </xf>
    <xf numFmtId="0" fontId="55" fillId="0" borderId="0" xfId="0" applyFont="1" applyAlignment="1" applyProtection="1">
      <alignment horizontal="right" vertical="center"/>
      <protection hidden="1"/>
    </xf>
    <xf numFmtId="180" fontId="1" fillId="0" borderId="34" xfId="0" applyNumberFormat="1" applyFont="1" applyBorder="1" applyProtection="1">
      <alignment vertical="center"/>
      <protection hidden="1"/>
    </xf>
    <xf numFmtId="180" fontId="55" fillId="0" borderId="0" xfId="0" applyNumberFormat="1" applyFont="1" applyAlignment="1" applyProtection="1">
      <alignment horizontal="center" vertical="center"/>
      <protection hidden="1"/>
    </xf>
    <xf numFmtId="0" fontId="51" fillId="29" borderId="23" xfId="0" applyFont="1" applyFill="1" applyBorder="1" applyProtection="1">
      <alignment vertical="center"/>
      <protection hidden="1"/>
    </xf>
    <xf numFmtId="0" fontId="30" fillId="29" borderId="24" xfId="0" applyFont="1" applyFill="1" applyBorder="1" applyAlignment="1" applyProtection="1">
      <alignment horizontal="right" vertical="center"/>
      <protection hidden="1"/>
    </xf>
    <xf numFmtId="0" fontId="55" fillId="0" borderId="10" xfId="0" applyFont="1" applyBorder="1" applyProtection="1">
      <alignment vertical="center"/>
      <protection hidden="1"/>
    </xf>
    <xf numFmtId="0" fontId="60" fillId="0" borderId="10" xfId="0" applyFont="1" applyBorder="1" applyProtection="1">
      <alignment vertical="center"/>
      <protection hidden="1"/>
    </xf>
    <xf numFmtId="0" fontId="35" fillId="0" borderId="10" xfId="0" applyFont="1" applyBorder="1" applyProtection="1">
      <alignment vertical="center"/>
      <protection hidden="1"/>
    </xf>
    <xf numFmtId="0" fontId="166" fillId="29" borderId="22" xfId="0" applyFont="1" applyFill="1" applyBorder="1" applyProtection="1">
      <alignment vertical="center"/>
      <protection hidden="1"/>
    </xf>
    <xf numFmtId="0" fontId="73" fillId="0" borderId="0" xfId="0" applyFont="1" applyAlignment="1" applyProtection="1">
      <alignment horizontal="center" vertical="center"/>
      <protection hidden="1"/>
    </xf>
    <xf numFmtId="0" fontId="98" fillId="0" borderId="0" xfId="0" applyFont="1" applyProtection="1">
      <alignment vertical="center"/>
      <protection hidden="1"/>
    </xf>
    <xf numFmtId="0" fontId="89" fillId="0" borderId="0" xfId="0" applyFont="1" applyProtection="1">
      <alignment vertical="center"/>
      <protection hidden="1"/>
    </xf>
    <xf numFmtId="56" fontId="89" fillId="0" borderId="0" xfId="0" quotePrefix="1" applyNumberFormat="1" applyFont="1" applyAlignment="1" applyProtection="1">
      <alignment horizontal="left" vertical="center"/>
      <protection hidden="1"/>
    </xf>
    <xf numFmtId="56" fontId="39" fillId="0" borderId="0" xfId="0" applyNumberFormat="1" applyFont="1" applyAlignment="1" applyProtection="1">
      <alignment horizontal="left" vertical="center"/>
      <protection hidden="1"/>
    </xf>
    <xf numFmtId="0" fontId="37" fillId="0" borderId="0" xfId="0" applyFont="1">
      <alignment vertical="center"/>
    </xf>
    <xf numFmtId="0" fontId="144" fillId="0" borderId="0" xfId="0" applyFont="1" applyAlignment="1" applyProtection="1">
      <alignment horizontal="center" vertical="center"/>
      <protection hidden="1"/>
    </xf>
    <xf numFmtId="0" fontId="144" fillId="0" borderId="0" xfId="0" applyFont="1" applyProtection="1">
      <alignment vertical="center"/>
      <protection hidden="1"/>
    </xf>
    <xf numFmtId="56" fontId="90" fillId="0" borderId="0" xfId="0" applyNumberFormat="1" applyFont="1" applyAlignment="1" applyProtection="1">
      <alignment horizontal="left" vertical="center"/>
      <protection hidden="1"/>
    </xf>
    <xf numFmtId="56" fontId="89" fillId="0" borderId="0" xfId="0" applyNumberFormat="1" applyFont="1" applyAlignment="1" applyProtection="1">
      <alignment horizontal="left" vertical="center"/>
      <protection hidden="1"/>
    </xf>
    <xf numFmtId="0" fontId="141" fillId="0" borderId="0" xfId="0" applyFont="1" applyProtection="1">
      <alignment vertical="center"/>
      <protection hidden="1"/>
    </xf>
    <xf numFmtId="0" fontId="148" fillId="0" borderId="0" xfId="0" applyFont="1" applyAlignment="1" applyProtection="1">
      <alignment horizontal="center" vertical="center"/>
      <protection hidden="1"/>
    </xf>
    <xf numFmtId="0" fontId="64" fillId="0" borderId="0" xfId="0" applyFont="1" applyAlignment="1" applyProtection="1">
      <alignment horizontal="right" vertical="center"/>
      <protection hidden="1"/>
    </xf>
    <xf numFmtId="0" fontId="4" fillId="0" borderId="0" xfId="0" applyFont="1" applyProtection="1">
      <alignment vertical="center"/>
      <protection hidden="1"/>
    </xf>
    <xf numFmtId="0" fontId="19" fillId="0" borderId="0" xfId="0" applyFont="1" applyProtection="1">
      <alignment vertical="center"/>
      <protection hidden="1"/>
    </xf>
    <xf numFmtId="0" fontId="18" fillId="0" borderId="86" xfId="0" applyFont="1" applyBorder="1">
      <alignment vertical="center"/>
    </xf>
    <xf numFmtId="0" fontId="167" fillId="0" borderId="0" xfId="0" applyFont="1">
      <alignment vertical="center"/>
    </xf>
    <xf numFmtId="0" fontId="162" fillId="0" borderId="0" xfId="0" applyFont="1">
      <alignment vertical="center"/>
    </xf>
    <xf numFmtId="0" fontId="2" fillId="0" borderId="0" xfId="0" applyFont="1" applyAlignment="1" applyProtection="1">
      <alignment horizontal="left" vertical="top"/>
      <protection hidden="1"/>
    </xf>
    <xf numFmtId="56" fontId="39" fillId="0" borderId="0" xfId="0" applyNumberFormat="1" applyFont="1" applyProtection="1">
      <alignment vertical="center"/>
      <protection hidden="1"/>
    </xf>
    <xf numFmtId="0" fontId="36" fillId="0" borderId="0" xfId="0" applyFont="1">
      <alignment vertical="center"/>
    </xf>
    <xf numFmtId="0" fontId="138" fillId="0" borderId="0" xfId="0" applyFont="1" applyAlignment="1" applyProtection="1">
      <alignment horizontal="left" vertical="top"/>
      <protection hidden="1"/>
    </xf>
    <xf numFmtId="0" fontId="2" fillId="0" borderId="34" xfId="0" applyFont="1" applyBorder="1" applyProtection="1">
      <alignment vertical="center"/>
      <protection hidden="1"/>
    </xf>
    <xf numFmtId="0" fontId="36" fillId="0" borderId="0" xfId="0" applyFont="1" applyAlignment="1" applyProtection="1">
      <alignment vertical="center" wrapText="1"/>
      <protection hidden="1"/>
    </xf>
    <xf numFmtId="56" fontId="12" fillId="35" borderId="70" xfId="0" applyNumberFormat="1" applyFont="1" applyFill="1" applyBorder="1" applyProtection="1">
      <alignment vertical="center"/>
      <protection locked="0"/>
    </xf>
    <xf numFmtId="0" fontId="26" fillId="0" borderId="0" xfId="0" applyFont="1" applyProtection="1">
      <alignment vertical="center"/>
      <protection hidden="1"/>
    </xf>
    <xf numFmtId="0" fontId="1" fillId="0" borderId="34" xfId="0" applyFont="1" applyBorder="1" applyAlignment="1" applyProtection="1">
      <alignment horizontal="left" vertical="center" wrapText="1"/>
      <protection hidden="1"/>
    </xf>
    <xf numFmtId="0" fontId="1" fillId="0" borderId="34" xfId="0" applyFont="1" applyBorder="1" applyAlignment="1" applyProtection="1">
      <alignment vertical="center" wrapText="1"/>
      <protection hidden="1"/>
    </xf>
    <xf numFmtId="180" fontId="55" fillId="0" borderId="0" xfId="0" applyNumberFormat="1" applyFont="1" applyAlignment="1" applyProtection="1">
      <alignment horizontal="right" vertical="center"/>
      <protection hidden="1"/>
    </xf>
    <xf numFmtId="0" fontId="0" fillId="0" borderId="70" xfId="0" applyBorder="1">
      <alignment vertical="center"/>
    </xf>
    <xf numFmtId="2" fontId="0" fillId="0" borderId="34" xfId="0" applyNumberFormat="1" applyBorder="1">
      <alignment vertical="center"/>
    </xf>
    <xf numFmtId="2" fontId="0" fillId="39" borderId="34" xfId="0" applyNumberFormat="1" applyFill="1" applyBorder="1">
      <alignment vertical="center"/>
    </xf>
    <xf numFmtId="2" fontId="0" fillId="0" borderId="33" xfId="0" applyNumberFormat="1" applyBorder="1">
      <alignment vertical="center"/>
    </xf>
    <xf numFmtId="2" fontId="0" fillId="0" borderId="80" xfId="0" applyNumberFormat="1" applyBorder="1">
      <alignment vertical="center"/>
    </xf>
    <xf numFmtId="2" fontId="0" fillId="0" borderId="82" xfId="0" applyNumberFormat="1" applyBorder="1">
      <alignment vertical="center"/>
    </xf>
    <xf numFmtId="193" fontId="0" fillId="39" borderId="34" xfId="0" applyNumberFormat="1" applyFill="1" applyBorder="1">
      <alignment vertical="center"/>
    </xf>
    <xf numFmtId="193" fontId="0" fillId="0" borderId="34" xfId="0" applyNumberFormat="1" applyBorder="1">
      <alignment vertical="center"/>
    </xf>
    <xf numFmtId="193" fontId="0" fillId="0" borderId="33" xfId="0" applyNumberFormat="1" applyBorder="1">
      <alignment vertical="center"/>
    </xf>
    <xf numFmtId="193" fontId="0" fillId="0" borderId="80" xfId="0" applyNumberFormat="1" applyBorder="1">
      <alignment vertical="center"/>
    </xf>
    <xf numFmtId="193" fontId="0" fillId="0" borderId="82" xfId="0" applyNumberFormat="1" applyBorder="1">
      <alignment vertical="center"/>
    </xf>
    <xf numFmtId="0" fontId="18" fillId="42" borderId="71" xfId="0" applyFont="1" applyFill="1" applyBorder="1" applyAlignment="1" applyProtection="1">
      <alignment horizontal="centerContinuous" vertical="center" shrinkToFit="1"/>
      <protection hidden="1"/>
    </xf>
    <xf numFmtId="0" fontId="18" fillId="42" borderId="86" xfId="0" applyFont="1" applyFill="1" applyBorder="1" applyAlignment="1" applyProtection="1">
      <alignment horizontal="centerContinuous" vertical="center" shrinkToFit="1"/>
      <protection hidden="1"/>
    </xf>
    <xf numFmtId="0" fontId="9" fillId="25" borderId="115" xfId="0" applyFont="1" applyFill="1" applyBorder="1" applyAlignment="1" applyProtection="1">
      <alignment horizontal="center" vertical="center"/>
      <protection hidden="1"/>
    </xf>
    <xf numFmtId="0" fontId="9" fillId="25" borderId="119" xfId="0" applyFont="1" applyFill="1" applyBorder="1" applyAlignment="1" applyProtection="1">
      <alignment horizontal="center" vertical="center"/>
      <protection hidden="1"/>
    </xf>
    <xf numFmtId="0" fontId="9" fillId="25" borderId="128" xfId="0" applyFont="1" applyFill="1" applyBorder="1" applyAlignment="1" applyProtection="1">
      <alignment horizontal="center" vertical="center"/>
      <protection hidden="1"/>
    </xf>
    <xf numFmtId="0" fontId="49" fillId="0" borderId="0" xfId="0" applyFont="1" applyAlignment="1" applyProtection="1">
      <alignment horizontal="right" vertical="top"/>
      <protection hidden="1"/>
    </xf>
    <xf numFmtId="0" fontId="9" fillId="0" borderId="0" xfId="0" applyFont="1" applyAlignment="1" applyProtection="1">
      <alignment horizontal="center" vertical="justify"/>
      <protection hidden="1"/>
    </xf>
    <xf numFmtId="181" fontId="24" fillId="0" borderId="0" xfId="0" applyNumberFormat="1" applyFont="1" applyAlignment="1" applyProtection="1">
      <alignment horizontal="center" vertical="center"/>
      <protection hidden="1"/>
    </xf>
    <xf numFmtId="0" fontId="2" fillId="0" borderId="34" xfId="0" applyFont="1" applyBorder="1">
      <alignment vertical="center"/>
    </xf>
    <xf numFmtId="2" fontId="35" fillId="0" borderId="34" xfId="0" applyNumberFormat="1" applyFont="1" applyBorder="1" applyProtection="1">
      <alignment vertical="center"/>
      <protection hidden="1"/>
    </xf>
    <xf numFmtId="0" fontId="35" fillId="0" borderId="34" xfId="0" applyFont="1" applyBorder="1" applyAlignment="1" applyProtection="1">
      <alignment horizontal="left"/>
      <protection hidden="1"/>
    </xf>
    <xf numFmtId="0" fontId="167" fillId="0" borderId="71" xfId="0" applyFont="1" applyBorder="1">
      <alignment vertical="center"/>
    </xf>
    <xf numFmtId="180" fontId="35" fillId="38" borderId="34" xfId="0" applyNumberFormat="1" applyFont="1" applyFill="1" applyBorder="1" applyAlignment="1" applyProtection="1">
      <alignment horizontal="right"/>
      <protection hidden="1"/>
    </xf>
    <xf numFmtId="180" fontId="35" fillId="38" borderId="34" xfId="36" applyNumberFormat="1" applyFont="1" applyFill="1" applyBorder="1" applyAlignment="1" applyProtection="1">
      <alignment horizontal="right"/>
      <protection hidden="1"/>
    </xf>
    <xf numFmtId="2" fontId="63" fillId="38" borderId="34" xfId="0" applyNumberFormat="1" applyFont="1" applyFill="1" applyBorder="1" applyProtection="1">
      <alignment vertical="center"/>
      <protection hidden="1"/>
    </xf>
    <xf numFmtId="0" fontId="55" fillId="0" borderId="0" xfId="0" applyFont="1" applyAlignment="1" applyProtection="1">
      <alignment horizontal="center" vertical="center"/>
      <protection hidden="1"/>
    </xf>
    <xf numFmtId="176" fontId="158" fillId="29" borderId="0" xfId="0" applyNumberFormat="1" applyFont="1" applyFill="1" applyAlignment="1" applyProtection="1">
      <alignment horizontal="center" vertical="center"/>
      <protection hidden="1"/>
    </xf>
    <xf numFmtId="180" fontId="158" fillId="29" borderId="0" xfId="0" applyNumberFormat="1" applyFont="1" applyFill="1" applyAlignment="1" applyProtection="1">
      <alignment horizontal="center" vertical="center"/>
      <protection hidden="1"/>
    </xf>
    <xf numFmtId="0" fontId="2" fillId="24" borderId="10" xfId="0" applyFont="1" applyFill="1" applyBorder="1" applyProtection="1">
      <alignment vertical="center"/>
      <protection hidden="1"/>
    </xf>
    <xf numFmtId="0" fontId="2" fillId="34" borderId="119" xfId="0" applyFont="1" applyFill="1" applyBorder="1" applyProtection="1">
      <alignment vertical="center"/>
      <protection hidden="1"/>
    </xf>
    <xf numFmtId="0" fontId="2" fillId="34" borderId="91" xfId="0" applyFont="1" applyFill="1" applyBorder="1" applyProtection="1">
      <alignment vertical="center"/>
      <protection hidden="1"/>
    </xf>
    <xf numFmtId="0" fontId="2" fillId="34" borderId="70" xfId="0" applyFont="1" applyFill="1" applyBorder="1" applyProtection="1">
      <alignment vertical="center"/>
      <protection hidden="1"/>
    </xf>
    <xf numFmtId="0" fontId="2" fillId="25" borderId="119" xfId="0" applyFont="1" applyFill="1" applyBorder="1" applyProtection="1">
      <alignment vertical="center"/>
      <protection hidden="1"/>
    </xf>
    <xf numFmtId="0" fontId="2" fillId="34" borderId="71" xfId="0" applyFont="1" applyFill="1" applyBorder="1" applyProtection="1">
      <alignment vertical="center"/>
      <protection hidden="1"/>
    </xf>
    <xf numFmtId="0" fontId="21" fillId="38" borderId="0" xfId="0" applyFont="1" applyFill="1" applyProtection="1">
      <alignment vertical="center"/>
      <protection hidden="1"/>
    </xf>
    <xf numFmtId="0" fontId="18" fillId="0" borderId="90" xfId="0" applyFont="1" applyBorder="1">
      <alignment vertical="center"/>
    </xf>
    <xf numFmtId="0" fontId="12" fillId="34" borderId="86" xfId="0" applyFont="1" applyFill="1" applyBorder="1" applyAlignment="1" applyProtection="1">
      <alignment horizontal="center" vertical="center" wrapText="1"/>
      <protection hidden="1"/>
    </xf>
    <xf numFmtId="0" fontId="2" fillId="25" borderId="33" xfId="0" applyFont="1" applyFill="1" applyBorder="1" applyAlignment="1" applyProtection="1">
      <alignment horizontal="left" vertical="center"/>
      <protection hidden="1"/>
    </xf>
    <xf numFmtId="0" fontId="2" fillId="25" borderId="82" xfId="0" applyFont="1" applyFill="1" applyBorder="1" applyAlignment="1" applyProtection="1">
      <alignment horizontal="left" vertical="center"/>
      <protection hidden="1"/>
    </xf>
    <xf numFmtId="0" fontId="2" fillId="25" borderId="34" xfId="0" applyFont="1" applyFill="1" applyBorder="1" applyAlignment="1" applyProtection="1">
      <alignment horizontal="left" vertical="center"/>
      <protection hidden="1"/>
    </xf>
    <xf numFmtId="0" fontId="2" fillId="34" borderId="86" xfId="0" applyFont="1" applyFill="1" applyBorder="1" applyProtection="1">
      <alignment vertical="center"/>
      <protection hidden="1"/>
    </xf>
    <xf numFmtId="0" fontId="132" fillId="25" borderId="148" xfId="30" applyFont="1" applyFill="1" applyBorder="1" applyAlignment="1" applyProtection="1">
      <alignment horizontal="left" vertical="center" indent="1"/>
      <protection hidden="1"/>
    </xf>
    <xf numFmtId="0" fontId="25" fillId="25" borderId="148" xfId="29" applyFont="1" applyFill="1" applyBorder="1" applyAlignment="1" applyProtection="1">
      <alignment horizontal="left" vertical="center" indent="1"/>
      <protection hidden="1"/>
    </xf>
    <xf numFmtId="0" fontId="1" fillId="25" borderId="149" xfId="0" applyFont="1" applyFill="1" applyBorder="1" applyAlignment="1" applyProtection="1">
      <alignment horizontal="left" vertical="center" indent="1"/>
      <protection hidden="1"/>
    </xf>
    <xf numFmtId="191" fontId="26" fillId="35" borderId="19" xfId="0" applyNumberFormat="1" applyFont="1" applyFill="1" applyBorder="1" applyAlignment="1" applyProtection="1">
      <alignment horizontal="center" vertical="center"/>
      <protection locked="0"/>
    </xf>
    <xf numFmtId="0" fontId="143" fillId="0" borderId="0" xfId="0" applyFont="1" applyAlignment="1">
      <alignment horizontal="right" vertical="center"/>
    </xf>
    <xf numFmtId="0" fontId="162" fillId="0" borderId="34" xfId="0" applyFont="1" applyBorder="1" applyProtection="1">
      <alignment vertical="center"/>
      <protection hidden="1"/>
    </xf>
    <xf numFmtId="186" fontId="12" fillId="34" borderId="34" xfId="0" applyNumberFormat="1" applyFont="1" applyFill="1" applyBorder="1">
      <alignment vertical="center"/>
    </xf>
    <xf numFmtId="0" fontId="171" fillId="0" borderId="34" xfId="0" applyFont="1" applyBorder="1" applyProtection="1">
      <alignment vertical="center"/>
      <protection hidden="1"/>
    </xf>
    <xf numFmtId="9" fontId="0" fillId="45" borderId="34" xfId="0" applyNumberFormat="1" applyFill="1" applyBorder="1">
      <alignment vertical="center"/>
    </xf>
    <xf numFmtId="182" fontId="0" fillId="46" borderId="34" xfId="0" applyNumberFormat="1" applyFill="1" applyBorder="1" applyProtection="1">
      <alignment vertical="center"/>
      <protection hidden="1"/>
    </xf>
    <xf numFmtId="176" fontId="1" fillId="46" borderId="0" xfId="36" applyNumberFormat="1" applyFont="1" applyFill="1" applyBorder="1" applyAlignment="1" applyProtection="1">
      <protection hidden="1"/>
    </xf>
    <xf numFmtId="0" fontId="12" fillId="44" borderId="34" xfId="0" applyFont="1" applyFill="1" applyBorder="1" applyAlignment="1">
      <alignment horizontal="center" vertical="center"/>
    </xf>
    <xf numFmtId="0" fontId="173" fillId="0" borderId="0" xfId="0" applyFont="1" applyAlignment="1" applyProtection="1">
      <alignment horizontal="center" vertical="center"/>
      <protection hidden="1"/>
    </xf>
    <xf numFmtId="0" fontId="174" fillId="0" borderId="0" xfId="0" applyFont="1" applyProtection="1">
      <alignment vertical="center"/>
      <protection hidden="1"/>
    </xf>
    <xf numFmtId="0" fontId="175" fillId="0" borderId="0" xfId="0" applyFont="1">
      <alignment vertical="center"/>
    </xf>
    <xf numFmtId="0" fontId="143" fillId="0" borderId="0" xfId="0" applyFont="1" applyAlignment="1">
      <alignment horizontal="right" vertical="center" indent="1"/>
    </xf>
    <xf numFmtId="191" fontId="35" fillId="0" borderId="0" xfId="0" applyNumberFormat="1" applyFont="1" applyProtection="1">
      <alignment vertical="center"/>
      <protection hidden="1"/>
    </xf>
    <xf numFmtId="9" fontId="18" fillId="30" borderId="86" xfId="28" applyFont="1" applyFill="1" applyBorder="1" applyAlignment="1" applyProtection="1">
      <alignment horizontal="centerContinuous" vertical="center" shrinkToFit="1"/>
      <protection hidden="1"/>
    </xf>
    <xf numFmtId="0" fontId="18" fillId="30" borderId="86" xfId="0" applyFont="1" applyFill="1" applyBorder="1" applyAlignment="1" applyProtection="1">
      <alignment horizontal="center" vertical="center" shrinkToFit="1"/>
      <protection hidden="1"/>
    </xf>
    <xf numFmtId="0" fontId="12" fillId="25" borderId="70" xfId="0" applyFont="1" applyFill="1" applyBorder="1" applyProtection="1">
      <alignment vertical="center"/>
      <protection hidden="1"/>
    </xf>
    <xf numFmtId="186" fontId="12" fillId="35" borderId="33" xfId="0" applyNumberFormat="1" applyFont="1" applyFill="1" applyBorder="1" applyProtection="1">
      <alignment vertical="center"/>
      <protection locked="0"/>
    </xf>
    <xf numFmtId="191" fontId="12" fillId="35" borderId="151" xfId="0" applyNumberFormat="1" applyFont="1" applyFill="1" applyBorder="1" applyAlignment="1" applyProtection="1">
      <alignment horizontal="center" vertical="center"/>
      <protection locked="0"/>
    </xf>
    <xf numFmtId="191" fontId="12" fillId="35" borderId="152" xfId="0" applyNumberFormat="1" applyFont="1" applyFill="1" applyBorder="1" applyAlignment="1" applyProtection="1">
      <alignment horizontal="center" vertical="center"/>
      <protection locked="0"/>
    </xf>
    <xf numFmtId="191" fontId="12" fillId="35" borderId="153" xfId="0" applyNumberFormat="1" applyFont="1" applyFill="1" applyBorder="1" applyAlignment="1" applyProtection="1">
      <alignment horizontal="center" vertical="center"/>
      <protection locked="0"/>
    </xf>
    <xf numFmtId="0" fontId="177" fillId="25" borderId="18" xfId="29" applyFont="1" applyFill="1" applyBorder="1" applyAlignment="1" applyProtection="1">
      <alignment horizontal="left" vertical="center" indent="1"/>
      <protection hidden="1"/>
    </xf>
    <xf numFmtId="0" fontId="177" fillId="25" borderId="59" xfId="29" applyFont="1" applyFill="1" applyBorder="1" applyAlignment="1" applyProtection="1">
      <alignment horizontal="left" vertical="center" indent="1"/>
      <protection hidden="1"/>
    </xf>
    <xf numFmtId="0" fontId="12" fillId="34" borderId="34" xfId="0" applyFont="1" applyFill="1" applyBorder="1" applyAlignment="1">
      <alignment horizontal="center" vertical="center"/>
    </xf>
    <xf numFmtId="9" fontId="12" fillId="34" borderId="34" xfId="28" applyFont="1" applyFill="1" applyBorder="1">
      <alignment vertical="center"/>
    </xf>
    <xf numFmtId="186" fontId="12" fillId="34" borderId="34" xfId="0" applyNumberFormat="1" applyFont="1" applyFill="1" applyBorder="1" applyProtection="1">
      <alignment vertical="center"/>
      <protection locked="0"/>
    </xf>
    <xf numFmtId="195" fontId="12" fillId="34" borderId="34" xfId="28" applyNumberFormat="1" applyFont="1" applyFill="1" applyBorder="1">
      <alignment vertical="center"/>
    </xf>
    <xf numFmtId="0" fontId="12" fillId="44" borderId="34" xfId="0" applyFont="1" applyFill="1" applyBorder="1" applyAlignment="1">
      <alignment horizontal="left" vertical="center"/>
    </xf>
    <xf numFmtId="0" fontId="39" fillId="0" borderId="0" xfId="0" applyFont="1" applyAlignment="1" applyProtection="1">
      <alignment horizontal="left" vertical="center"/>
      <protection hidden="1"/>
    </xf>
    <xf numFmtId="0" fontId="182" fillId="0" borderId="0" xfId="0" applyFont="1" applyProtection="1">
      <alignment vertical="center"/>
      <protection hidden="1"/>
    </xf>
    <xf numFmtId="9" fontId="181" fillId="0" borderId="0" xfId="0" applyNumberFormat="1" applyFont="1" applyProtection="1">
      <alignment vertical="center"/>
      <protection hidden="1"/>
    </xf>
    <xf numFmtId="0" fontId="183" fillId="0" borderId="34" xfId="0" applyFont="1" applyBorder="1" applyProtection="1">
      <alignment vertical="center"/>
      <protection hidden="1"/>
    </xf>
    <xf numFmtId="9" fontId="12" fillId="37" borderId="0" xfId="28" applyFont="1" applyFill="1" applyBorder="1">
      <alignment vertical="center"/>
    </xf>
    <xf numFmtId="0" fontId="2" fillId="35" borderId="19" xfId="0" applyFont="1" applyFill="1" applyBorder="1" applyAlignment="1" applyProtection="1">
      <alignment horizontal="center" vertical="center"/>
      <protection locked="0"/>
    </xf>
    <xf numFmtId="0" fontId="184" fillId="0" borderId="0" xfId="0" applyFont="1" applyProtection="1">
      <alignment vertical="center"/>
      <protection hidden="1"/>
    </xf>
    <xf numFmtId="0" fontId="42" fillId="0" borderId="11" xfId="0" applyFont="1" applyBorder="1" applyAlignment="1" applyProtection="1">
      <alignment horizontal="center" vertical="center"/>
      <protection hidden="1"/>
    </xf>
    <xf numFmtId="0" fontId="12" fillId="0" borderId="96"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187" fontId="12" fillId="24" borderId="11" xfId="0" applyNumberFormat="1" applyFont="1" applyFill="1" applyBorder="1" applyAlignment="1" applyProtection="1">
      <alignment horizontal="left" vertical="center"/>
      <protection hidden="1"/>
    </xf>
    <xf numFmtId="31" fontId="12" fillId="0" borderId="13" xfId="0" applyNumberFormat="1" applyFont="1" applyBorder="1" applyAlignment="1" applyProtection="1">
      <alignment horizontal="left" vertical="center" shrinkToFit="1"/>
      <protection hidden="1"/>
    </xf>
    <xf numFmtId="31" fontId="12" fillId="0" borderId="27" xfId="0" applyNumberFormat="1" applyFont="1" applyBorder="1" applyAlignment="1" applyProtection="1">
      <alignment horizontal="left" vertical="center"/>
      <protection hidden="1"/>
    </xf>
    <xf numFmtId="0" fontId="187" fillId="0" borderId="34" xfId="0" applyFont="1" applyBorder="1">
      <alignment vertical="center"/>
    </xf>
    <xf numFmtId="0" fontId="187" fillId="0" borderId="86" xfId="0" applyFont="1" applyBorder="1" applyProtection="1">
      <alignment vertical="center"/>
      <protection hidden="1"/>
    </xf>
    <xf numFmtId="0" fontId="187" fillId="0" borderId="34" xfId="0" applyFont="1" applyBorder="1" applyProtection="1">
      <alignment vertical="center"/>
      <protection hidden="1"/>
    </xf>
    <xf numFmtId="9" fontId="183" fillId="0" borderId="34" xfId="0" applyNumberFormat="1" applyFont="1" applyBorder="1" applyProtection="1">
      <alignment vertical="center"/>
      <protection hidden="1"/>
    </xf>
    <xf numFmtId="0" fontId="183" fillId="0" borderId="34" xfId="0" applyFont="1" applyBorder="1" applyAlignment="1" applyProtection="1">
      <alignment vertical="center" wrapText="1"/>
      <protection hidden="1"/>
    </xf>
    <xf numFmtId="9" fontId="183" fillId="0" borderId="34" xfId="0" applyNumberFormat="1" applyFont="1" applyBorder="1" applyAlignment="1" applyProtection="1">
      <alignment vertical="center" wrapText="1"/>
      <protection hidden="1"/>
    </xf>
    <xf numFmtId="0" fontId="183" fillId="0" borderId="34" xfId="0" applyFont="1" applyBorder="1" applyAlignment="1" applyProtection="1">
      <alignment horizontal="right" vertical="center" wrapText="1"/>
      <protection hidden="1"/>
    </xf>
    <xf numFmtId="9" fontId="183" fillId="0" borderId="34" xfId="0" applyNumberFormat="1" applyFont="1" applyBorder="1" applyAlignment="1" applyProtection="1">
      <alignment horizontal="right" vertical="center" wrapText="1"/>
      <protection hidden="1"/>
    </xf>
    <xf numFmtId="0" fontId="183" fillId="0" borderId="34" xfId="0" applyFont="1" applyBorder="1" applyAlignment="1" applyProtection="1">
      <alignment horizontal="right" vertical="center"/>
      <protection hidden="1"/>
    </xf>
    <xf numFmtId="9" fontId="183" fillId="0" borderId="34" xfId="0" applyNumberFormat="1" applyFont="1" applyBorder="1" applyAlignment="1" applyProtection="1">
      <alignment horizontal="right" vertical="center"/>
      <protection hidden="1"/>
    </xf>
    <xf numFmtId="0" fontId="133" fillId="0" borderId="0" xfId="0" applyFont="1" applyProtection="1">
      <alignment vertical="center"/>
      <protection hidden="1"/>
    </xf>
    <xf numFmtId="0" fontId="185" fillId="0" borderId="34" xfId="0" applyFont="1" applyBorder="1">
      <alignment vertical="center"/>
    </xf>
    <xf numFmtId="0" fontId="186" fillId="44" borderId="34" xfId="0" applyFont="1" applyFill="1" applyBorder="1">
      <alignment vertical="center"/>
    </xf>
    <xf numFmtId="0" fontId="186" fillId="44" borderId="34" xfId="0" applyFont="1" applyFill="1" applyBorder="1" applyAlignment="1">
      <alignment horizontal="center" vertical="center"/>
    </xf>
    <xf numFmtId="0" fontId="18" fillId="34" borderId="71" xfId="0" applyFont="1" applyFill="1" applyBorder="1" applyAlignment="1" applyProtection="1">
      <alignment horizontal="center" vertical="center"/>
      <protection hidden="1"/>
    </xf>
    <xf numFmtId="0" fontId="18" fillId="34" borderId="92" xfId="0" applyFont="1" applyFill="1" applyBorder="1" applyProtection="1">
      <alignment vertical="center"/>
      <protection hidden="1"/>
    </xf>
    <xf numFmtId="0" fontId="0" fillId="34" borderId="71" xfId="0" applyFill="1" applyBorder="1" applyProtection="1">
      <alignment vertical="center"/>
      <protection hidden="1"/>
    </xf>
    <xf numFmtId="0" fontId="0" fillId="34" borderId="86" xfId="0" applyFill="1" applyBorder="1" applyProtection="1">
      <alignment vertical="center"/>
      <protection hidden="1"/>
    </xf>
    <xf numFmtId="0" fontId="12" fillId="40" borderId="34" xfId="0" applyFont="1" applyFill="1" applyBorder="1" applyAlignment="1" applyProtection="1">
      <alignment horizontal="center" vertical="center" shrinkToFit="1"/>
      <protection hidden="1"/>
    </xf>
    <xf numFmtId="0" fontId="12" fillId="34" borderId="86" xfId="0" applyFont="1" applyFill="1" applyBorder="1" applyAlignment="1" applyProtection="1">
      <alignment horizontal="center" vertical="center"/>
      <protection hidden="1"/>
    </xf>
    <xf numFmtId="0" fontId="12" fillId="34" borderId="40" xfId="0" applyFont="1" applyFill="1" applyBorder="1" applyAlignment="1" applyProtection="1">
      <alignment horizontal="center" vertical="center" wrapText="1"/>
      <protection hidden="1"/>
    </xf>
    <xf numFmtId="0" fontId="12" fillId="34" borderId="86" xfId="0" applyFont="1" applyFill="1" applyBorder="1" applyAlignment="1" applyProtection="1">
      <alignment horizontal="left" vertical="center"/>
      <protection hidden="1"/>
    </xf>
    <xf numFmtId="0" fontId="12" fillId="34" borderId="92" xfId="0" applyFont="1" applyFill="1" applyBorder="1" applyAlignment="1" applyProtection="1">
      <alignment horizontal="left" vertical="center"/>
      <protection hidden="1"/>
    </xf>
    <xf numFmtId="0" fontId="12" fillId="40" borderId="34" xfId="0" applyFont="1" applyFill="1" applyBorder="1" applyAlignment="1" applyProtection="1">
      <alignment horizontal="centerContinuous" vertical="center" shrinkToFit="1"/>
      <protection hidden="1"/>
    </xf>
    <xf numFmtId="0" fontId="12" fillId="34" borderId="40" xfId="0" applyFont="1" applyFill="1" applyBorder="1" applyAlignment="1" applyProtection="1">
      <alignment horizontal="center" vertical="center"/>
      <protection hidden="1"/>
    </xf>
    <xf numFmtId="0" fontId="2" fillId="35" borderId="144" xfId="0" applyFont="1" applyFill="1" applyBorder="1" applyAlignment="1" applyProtection="1">
      <alignment horizontal="center" vertical="center"/>
      <protection locked="0" hidden="1"/>
    </xf>
    <xf numFmtId="0" fontId="167" fillId="40" borderId="34" xfId="0" applyFont="1" applyFill="1" applyBorder="1" applyAlignment="1" applyProtection="1">
      <alignment horizontal="center" vertical="center" shrinkToFit="1"/>
      <protection hidden="1"/>
    </xf>
    <xf numFmtId="0" fontId="12" fillId="34" borderId="34" xfId="0" applyFont="1" applyFill="1" applyBorder="1" applyAlignment="1" applyProtection="1">
      <alignment horizontal="center" vertical="center"/>
      <protection hidden="1"/>
    </xf>
    <xf numFmtId="0" fontId="167" fillId="40" borderId="71" xfId="0" applyFont="1" applyFill="1" applyBorder="1" applyAlignment="1" applyProtection="1">
      <alignment horizontal="centerContinuous" vertical="center" shrinkToFit="1"/>
      <protection hidden="1"/>
    </xf>
    <xf numFmtId="0" fontId="12" fillId="40" borderId="33" xfId="0" applyFont="1" applyFill="1" applyBorder="1" applyAlignment="1" applyProtection="1">
      <alignment horizontal="centerContinuous" vertical="center" shrinkToFit="1"/>
      <protection hidden="1"/>
    </xf>
    <xf numFmtId="0" fontId="12" fillId="34" borderId="71" xfId="0" applyFont="1" applyFill="1" applyBorder="1" applyAlignment="1" applyProtection="1">
      <alignment horizontal="center" vertical="center" wrapText="1"/>
      <protection hidden="1"/>
    </xf>
    <xf numFmtId="0" fontId="12" fillId="34" borderId="34" xfId="0" applyFont="1" applyFill="1" applyBorder="1" applyAlignment="1" applyProtection="1">
      <alignment horizontal="center" vertical="center" wrapText="1"/>
      <protection hidden="1"/>
    </xf>
    <xf numFmtId="191" fontId="162" fillId="0" borderId="34" xfId="0" applyNumberFormat="1" applyFont="1" applyBorder="1" applyProtection="1">
      <alignment vertical="center"/>
      <protection hidden="1"/>
    </xf>
    <xf numFmtId="0" fontId="35" fillId="0" borderId="0" xfId="0" applyFont="1" applyAlignment="1" applyProtection="1">
      <alignment horizontal="right" vertical="center"/>
      <protection hidden="1"/>
    </xf>
    <xf numFmtId="56" fontId="195" fillId="0" borderId="0" xfId="0" applyNumberFormat="1" applyFont="1" applyAlignment="1" applyProtection="1">
      <alignment horizontal="left" vertical="center"/>
      <protection hidden="1"/>
    </xf>
    <xf numFmtId="0" fontId="141" fillId="0" borderId="0" xfId="0" applyFont="1" applyAlignment="1" applyProtection="1">
      <alignment horizontal="right" vertical="center"/>
      <protection hidden="1"/>
    </xf>
    <xf numFmtId="191" fontId="194" fillId="0" borderId="34" xfId="0" applyNumberFormat="1" applyFont="1" applyBorder="1" applyAlignment="1" applyProtection="1">
      <alignment horizontal="center" vertical="center"/>
      <protection locked="0"/>
    </xf>
    <xf numFmtId="0" fontId="13" fillId="31" borderId="69" xfId="0" applyFont="1" applyFill="1" applyBorder="1" applyProtection="1">
      <alignment vertical="center"/>
      <protection hidden="1"/>
    </xf>
    <xf numFmtId="0" fontId="12" fillId="0" borderId="12" xfId="0" applyFont="1" applyBorder="1" applyProtection="1">
      <alignment vertical="center"/>
      <protection hidden="1"/>
    </xf>
    <xf numFmtId="3" fontId="12" fillId="0" borderId="0" xfId="0" applyNumberFormat="1" applyFont="1" applyAlignment="1" applyProtection="1">
      <alignment horizontal="left" vertical="center"/>
      <protection hidden="1"/>
    </xf>
    <xf numFmtId="0" fontId="12" fillId="0" borderId="108" xfId="0" applyFont="1" applyBorder="1" applyProtection="1">
      <alignment vertical="center"/>
      <protection hidden="1"/>
    </xf>
    <xf numFmtId="0" fontId="12" fillId="0" borderId="46" xfId="0" applyFont="1" applyBorder="1" applyProtection="1">
      <alignment vertical="center"/>
      <protection hidden="1"/>
    </xf>
    <xf numFmtId="0" fontId="12" fillId="24" borderId="0" xfId="0" applyFont="1" applyFill="1" applyAlignment="1" applyProtection="1">
      <alignment horizontal="left" vertical="center"/>
      <protection hidden="1"/>
    </xf>
    <xf numFmtId="190" fontId="12" fillId="24" borderId="98" xfId="0" applyNumberFormat="1" applyFont="1" applyFill="1" applyBorder="1" applyProtection="1">
      <alignment vertical="center"/>
      <protection hidden="1"/>
    </xf>
    <xf numFmtId="190" fontId="12" fillId="24" borderId="11" xfId="0" applyNumberFormat="1" applyFont="1" applyFill="1" applyBorder="1" applyProtection="1">
      <alignment vertical="center"/>
      <protection hidden="1"/>
    </xf>
    <xf numFmtId="189" fontId="12" fillId="24" borderId="98" xfId="0" applyNumberFormat="1" applyFont="1" applyFill="1" applyBorder="1" applyProtection="1">
      <alignment vertical="center"/>
      <protection hidden="1"/>
    </xf>
    <xf numFmtId="189" fontId="12" fillId="24" borderId="11" xfId="0" applyNumberFormat="1" applyFont="1" applyFill="1" applyBorder="1" applyProtection="1">
      <alignment vertical="center"/>
      <protection hidden="1"/>
    </xf>
    <xf numFmtId="0" fontId="197" fillId="0" borderId="0" xfId="0" applyFont="1" applyProtection="1">
      <alignment vertical="center"/>
      <protection hidden="1"/>
    </xf>
    <xf numFmtId="0" fontId="12" fillId="24" borderId="12" xfId="0" applyFont="1" applyFill="1" applyBorder="1" applyAlignment="1" applyProtection="1">
      <alignment horizontal="left" vertical="center"/>
      <protection hidden="1"/>
    </xf>
    <xf numFmtId="3" fontId="12" fillId="24" borderId="96" xfId="0" applyNumberFormat="1" applyFont="1" applyFill="1" applyBorder="1" applyProtection="1">
      <alignment vertical="center"/>
      <protection hidden="1"/>
    </xf>
    <xf numFmtId="3" fontId="12" fillId="24" borderId="13" xfId="0" applyNumberFormat="1" applyFont="1" applyFill="1" applyBorder="1" applyProtection="1">
      <alignment vertical="center"/>
      <protection hidden="1"/>
    </xf>
    <xf numFmtId="0" fontId="12" fillId="24" borderId="0" xfId="0" applyFont="1" applyFill="1" applyProtection="1">
      <alignment vertical="center"/>
      <protection hidden="1"/>
    </xf>
    <xf numFmtId="0" fontId="12" fillId="0" borderId="98" xfId="0" applyFont="1" applyBorder="1" applyAlignment="1" applyProtection="1">
      <alignment vertical="center" shrinkToFit="1"/>
      <protection hidden="1"/>
    </xf>
    <xf numFmtId="0" fontId="12" fillId="0" borderId="11" xfId="0" applyFont="1" applyBorder="1" applyAlignment="1" applyProtection="1">
      <alignment vertical="center" shrinkToFit="1"/>
      <protection hidden="1"/>
    </xf>
    <xf numFmtId="49" fontId="12" fillId="24" borderId="0" xfId="0" applyNumberFormat="1" applyFont="1" applyFill="1" applyAlignment="1" applyProtection="1">
      <alignment horizontal="left" vertical="center"/>
      <protection hidden="1"/>
    </xf>
    <xf numFmtId="0" fontId="186" fillId="0" borderId="0" xfId="0" applyFont="1" applyProtection="1">
      <alignment vertical="center"/>
      <protection hidden="1"/>
    </xf>
    <xf numFmtId="0" fontId="12" fillId="24" borderId="12" xfId="0" applyFont="1" applyFill="1" applyBorder="1" applyProtection="1">
      <alignment vertical="center"/>
      <protection hidden="1"/>
    </xf>
    <xf numFmtId="0" fontId="12" fillId="0" borderId="96" xfId="0" applyFont="1" applyBorder="1" applyAlignment="1" applyProtection="1">
      <alignment vertical="center" shrinkToFit="1"/>
      <protection hidden="1"/>
    </xf>
    <xf numFmtId="0" fontId="12" fillId="0" borderId="13" xfId="0" applyFont="1" applyBorder="1" applyAlignment="1" applyProtection="1">
      <alignment vertical="center" shrinkToFit="1"/>
      <protection hidden="1"/>
    </xf>
    <xf numFmtId="0" fontId="12" fillId="0" borderId="26" xfId="0" applyFont="1" applyBorder="1" applyProtection="1">
      <alignment vertical="center"/>
      <protection hidden="1"/>
    </xf>
    <xf numFmtId="56" fontId="14" fillId="28" borderId="20" xfId="0" applyNumberFormat="1" applyFont="1" applyFill="1" applyBorder="1" applyProtection="1">
      <alignment vertical="center"/>
      <protection hidden="1"/>
    </xf>
    <xf numFmtId="182" fontId="62" fillId="0" borderId="0" xfId="0" applyNumberFormat="1" applyFont="1" applyAlignment="1" applyProtection="1">
      <alignment horizontal="left" vertical="center" indent="3"/>
      <protection hidden="1"/>
    </xf>
    <xf numFmtId="0" fontId="198" fillId="0" borderId="0" xfId="0" applyFont="1" applyProtection="1">
      <alignment vertical="center"/>
      <protection hidden="1"/>
    </xf>
    <xf numFmtId="0" fontId="133" fillId="0" borderId="10" xfId="0" applyFont="1" applyBorder="1" applyAlignment="1" applyProtection="1">
      <alignment horizontal="center" vertical="center"/>
      <protection hidden="1"/>
    </xf>
    <xf numFmtId="0" fontId="133" fillId="0" borderId="0" xfId="0" applyFont="1" applyAlignment="1" applyProtection="1">
      <alignment horizontal="center" vertical="center"/>
      <protection hidden="1"/>
    </xf>
    <xf numFmtId="0" fontId="133" fillId="0" borderId="11" xfId="0" applyFont="1" applyBorder="1" applyAlignment="1" applyProtection="1">
      <alignment horizontal="center" vertical="center"/>
      <protection hidden="1"/>
    </xf>
    <xf numFmtId="0" fontId="136" fillId="0" borderId="40" xfId="0" applyFont="1" applyBorder="1" applyAlignment="1" applyProtection="1">
      <alignment horizontal="center" vertical="center"/>
      <protection hidden="1"/>
    </xf>
    <xf numFmtId="0" fontId="136" fillId="0" borderId="70" xfId="0" applyFont="1" applyBorder="1" applyAlignment="1" applyProtection="1">
      <alignment horizontal="center" vertical="center"/>
      <protection hidden="1"/>
    </xf>
    <xf numFmtId="0" fontId="199" fillId="37" borderId="34" xfId="0" applyFont="1" applyFill="1" applyBorder="1" applyAlignment="1" applyProtection="1">
      <alignment horizontal="center" vertical="center"/>
      <protection hidden="1"/>
    </xf>
    <xf numFmtId="0" fontId="199" fillId="37" borderId="34" xfId="0" applyFont="1" applyFill="1" applyBorder="1" applyAlignment="1">
      <alignment horizontal="center" vertical="center"/>
    </xf>
    <xf numFmtId="0" fontId="199" fillId="37" borderId="86" xfId="0" applyFont="1" applyFill="1" applyBorder="1" applyAlignment="1" applyProtection="1">
      <alignment horizontal="center" vertical="center"/>
      <protection hidden="1"/>
    </xf>
    <xf numFmtId="0" fontId="180" fillId="37" borderId="34" xfId="0" applyFont="1" applyFill="1" applyBorder="1" applyAlignment="1" applyProtection="1">
      <alignment horizontal="center" vertical="center"/>
      <protection hidden="1"/>
    </xf>
    <xf numFmtId="0" fontId="187" fillId="0" borderId="34" xfId="0" applyFont="1" applyBorder="1" applyAlignment="1" applyProtection="1">
      <alignment horizontal="center" vertical="center"/>
      <protection hidden="1"/>
    </xf>
    <xf numFmtId="0" fontId="139" fillId="37" borderId="34" xfId="0" applyFont="1" applyFill="1" applyBorder="1" applyAlignment="1" applyProtection="1">
      <alignment horizontal="center" vertical="center"/>
      <protection hidden="1"/>
    </xf>
    <xf numFmtId="0" fontId="139" fillId="37" borderId="34" xfId="0" applyFont="1" applyFill="1" applyBorder="1" applyProtection="1">
      <alignment vertical="center"/>
      <protection hidden="1"/>
    </xf>
    <xf numFmtId="9" fontId="178" fillId="37" borderId="34" xfId="0" applyNumberFormat="1" applyFont="1" applyFill="1" applyBorder="1" applyProtection="1">
      <alignment vertical="center"/>
      <protection hidden="1"/>
    </xf>
    <xf numFmtId="0" fontId="202" fillId="44" borderId="34" xfId="0" applyFont="1" applyFill="1" applyBorder="1" applyAlignment="1">
      <alignment horizontal="center" vertical="center"/>
    </xf>
    <xf numFmtId="0" fontId="202" fillId="44" borderId="88" xfId="0" applyFont="1" applyFill="1" applyBorder="1" applyAlignment="1" applyProtection="1">
      <alignment horizontal="center" vertical="center"/>
      <protection hidden="1"/>
    </xf>
    <xf numFmtId="0" fontId="180" fillId="0" borderId="0" xfId="0" applyFont="1" applyAlignment="1" applyProtection="1">
      <alignment horizontal="right" vertical="center"/>
      <protection hidden="1"/>
    </xf>
    <xf numFmtId="0" fontId="183" fillId="0" borderId="0" xfId="0" applyFont="1" applyProtection="1">
      <alignment vertical="center"/>
      <protection hidden="1"/>
    </xf>
    <xf numFmtId="0" fontId="203" fillId="0" borderId="19" xfId="0" applyFont="1" applyBorder="1" applyProtection="1">
      <alignment vertical="center"/>
      <protection hidden="1"/>
    </xf>
    <xf numFmtId="0" fontId="186" fillId="0" borderId="19" xfId="0" applyFont="1" applyBorder="1" applyProtection="1">
      <alignment vertical="center"/>
      <protection hidden="1"/>
    </xf>
    <xf numFmtId="0" fontId="204" fillId="0" borderId="10" xfId="0" applyFont="1" applyBorder="1" applyAlignment="1" applyProtection="1">
      <alignment horizontal="left" vertical="center"/>
      <protection hidden="1"/>
    </xf>
    <xf numFmtId="0" fontId="204" fillId="0" borderId="0" xfId="0" applyFont="1" applyAlignment="1" applyProtection="1">
      <alignment horizontal="left" vertical="center"/>
      <protection hidden="1"/>
    </xf>
    <xf numFmtId="0" fontId="204" fillId="0" borderId="11" xfId="0" applyFont="1" applyBorder="1" applyAlignment="1" applyProtection="1">
      <alignment horizontal="left" vertical="center"/>
      <protection hidden="1"/>
    </xf>
    <xf numFmtId="0" fontId="204" fillId="0" borderId="25" xfId="0" applyFont="1" applyBorder="1" applyAlignment="1" applyProtection="1">
      <alignment horizontal="left" vertical="center"/>
      <protection hidden="1"/>
    </xf>
    <xf numFmtId="0" fontId="204" fillId="0" borderId="26" xfId="0" applyFont="1" applyBorder="1" applyAlignment="1" applyProtection="1">
      <alignment horizontal="left" vertical="center"/>
      <protection hidden="1"/>
    </xf>
    <xf numFmtId="0" fontId="204" fillId="0" borderId="27" xfId="0" applyFont="1" applyBorder="1" applyAlignment="1" applyProtection="1">
      <alignment horizontal="left" vertical="center"/>
      <protection hidden="1"/>
    </xf>
    <xf numFmtId="0" fontId="0" fillId="0" borderId="0" xfId="51" applyFont="1">
      <alignment vertical="center"/>
    </xf>
    <xf numFmtId="196" fontId="0" fillId="0" borderId="0" xfId="51" applyNumberFormat="1" applyFont="1">
      <alignment vertical="center"/>
    </xf>
    <xf numFmtId="0" fontId="0" fillId="0" borderId="154" xfId="51" applyFont="1" applyBorder="1">
      <alignment vertical="center"/>
    </xf>
    <xf numFmtId="196" fontId="0" fillId="0" borderId="154" xfId="51" applyNumberFormat="1" applyFont="1" applyBorder="1">
      <alignment vertical="center"/>
    </xf>
    <xf numFmtId="0" fontId="1" fillId="0" borderId="155" xfId="51" applyBorder="1">
      <alignment vertical="center"/>
    </xf>
    <xf numFmtId="196" fontId="21" fillId="0" borderId="155" xfId="51" applyNumberFormat="1" applyFont="1" applyBorder="1">
      <alignment vertical="center"/>
    </xf>
    <xf numFmtId="0" fontId="0" fillId="0" borderId="0" xfId="51" applyFont="1" applyAlignment="1">
      <alignment horizontal="right" vertical="center"/>
    </xf>
    <xf numFmtId="0" fontId="0" fillId="0" borderId="156" xfId="51" applyFont="1" applyBorder="1">
      <alignment vertical="center"/>
    </xf>
    <xf numFmtId="0" fontId="1" fillId="0" borderId="157" xfId="51" applyBorder="1">
      <alignment vertical="center"/>
    </xf>
    <xf numFmtId="0" fontId="0" fillId="0" borderId="158" xfId="51" applyFont="1" applyBorder="1">
      <alignment vertical="center"/>
    </xf>
    <xf numFmtId="0" fontId="0" fillId="0" borderId="160" xfId="51" applyFont="1" applyBorder="1" applyAlignment="1">
      <alignment horizontal="right" vertical="center"/>
    </xf>
    <xf numFmtId="0" fontId="1" fillId="0" borderId="161" xfId="51" applyBorder="1">
      <alignment vertical="center"/>
    </xf>
    <xf numFmtId="0" fontId="0" fillId="0" borderId="162" xfId="51" applyFont="1" applyBorder="1">
      <alignment vertical="center"/>
    </xf>
    <xf numFmtId="196" fontId="0" fillId="48" borderId="163" xfId="51" applyNumberFormat="1" applyFont="1" applyFill="1" applyBorder="1" applyAlignment="1">
      <alignment vertical="center" shrinkToFit="1"/>
    </xf>
    <xf numFmtId="0" fontId="0" fillId="0" borderId="164" xfId="51" applyFont="1" applyBorder="1">
      <alignment vertical="center"/>
    </xf>
    <xf numFmtId="0" fontId="0" fillId="0" borderId="165" xfId="51" applyFont="1" applyBorder="1">
      <alignment vertical="center"/>
    </xf>
    <xf numFmtId="196" fontId="115" fillId="48" borderId="154" xfId="51" applyNumberFormat="1" applyFont="1" applyFill="1" applyBorder="1" applyAlignment="1">
      <alignment vertical="center" shrinkToFit="1"/>
    </xf>
    <xf numFmtId="0" fontId="206" fillId="0" borderId="154" xfId="51" applyFont="1" applyBorder="1">
      <alignment vertical="center"/>
    </xf>
    <xf numFmtId="0" fontId="0" fillId="0" borderId="154" xfId="51" applyFont="1" applyBorder="1" applyAlignment="1">
      <alignment horizontal="right" vertical="center"/>
    </xf>
    <xf numFmtId="196" fontId="207" fillId="48" borderId="154" xfId="51" applyNumberFormat="1" applyFont="1" applyFill="1" applyBorder="1" applyAlignment="1">
      <alignment vertical="center" shrinkToFit="1"/>
    </xf>
    <xf numFmtId="0" fontId="208" fillId="0" borderId="154" xfId="51" applyFont="1" applyBorder="1">
      <alignment vertical="center"/>
    </xf>
    <xf numFmtId="196" fontId="0" fillId="48" borderId="154" xfId="51" applyNumberFormat="1" applyFont="1" applyFill="1" applyBorder="1" applyAlignment="1">
      <alignment vertical="center" shrinkToFit="1"/>
    </xf>
    <xf numFmtId="0" fontId="0" fillId="0" borderId="166" xfId="51" applyFont="1" applyBorder="1">
      <alignment vertical="center"/>
    </xf>
    <xf numFmtId="195" fontId="0" fillId="36" borderId="167" xfId="51" applyNumberFormat="1" applyFont="1" applyFill="1" applyBorder="1" applyProtection="1">
      <alignment vertical="center"/>
      <protection locked="0"/>
    </xf>
    <xf numFmtId="0" fontId="1" fillId="0" borderId="168" xfId="51" applyBorder="1">
      <alignment vertical="center"/>
    </xf>
    <xf numFmtId="0" fontId="0" fillId="0" borderId="169" xfId="51" applyFont="1" applyBorder="1">
      <alignment vertical="center"/>
    </xf>
    <xf numFmtId="0" fontId="0" fillId="0" borderId="171" xfId="51" applyFont="1" applyBorder="1" applyAlignment="1">
      <alignment horizontal="right" vertical="center"/>
    </xf>
    <xf numFmtId="0" fontId="0" fillId="0" borderId="172" xfId="51" applyFont="1" applyBorder="1" applyAlignment="1">
      <alignment horizontal="right" vertical="center"/>
    </xf>
    <xf numFmtId="0" fontId="0" fillId="0" borderId="173" xfId="51" applyFont="1" applyBorder="1">
      <alignment vertical="center"/>
    </xf>
    <xf numFmtId="177" fontId="0" fillId="0" borderId="0" xfId="51" applyNumberFormat="1" applyFont="1" applyAlignment="1">
      <alignment vertical="center" shrinkToFit="1"/>
    </xf>
    <xf numFmtId="0" fontId="1" fillId="0" borderId="174" xfId="51" applyBorder="1">
      <alignment vertical="center"/>
    </xf>
    <xf numFmtId="0" fontId="0" fillId="0" borderId="175" xfId="51" applyFont="1" applyBorder="1">
      <alignment vertical="center"/>
    </xf>
    <xf numFmtId="196" fontId="0" fillId="48" borderId="176" xfId="51" applyNumberFormat="1" applyFont="1" applyFill="1" applyBorder="1" applyAlignment="1">
      <alignment vertical="center" shrinkToFit="1"/>
    </xf>
    <xf numFmtId="0" fontId="0" fillId="0" borderId="177" xfId="51" applyFont="1" applyBorder="1">
      <alignment vertical="center"/>
    </xf>
    <xf numFmtId="0" fontId="0" fillId="0" borderId="172" xfId="51" applyFont="1" applyBorder="1">
      <alignment vertical="center"/>
    </xf>
    <xf numFmtId="196" fontId="209" fillId="0" borderId="154" xfId="51" applyNumberFormat="1" applyFont="1" applyBorder="1" applyAlignment="1">
      <alignment vertical="center" shrinkToFit="1"/>
    </xf>
    <xf numFmtId="179" fontId="209" fillId="0" borderId="154" xfId="51" applyNumberFormat="1" applyFont="1" applyBorder="1">
      <alignment vertical="center"/>
    </xf>
    <xf numFmtId="196" fontId="207" fillId="0" borderId="154" xfId="51" applyNumberFormat="1" applyFont="1" applyBorder="1" applyAlignment="1">
      <alignment vertical="center" shrinkToFit="1"/>
    </xf>
    <xf numFmtId="179" fontId="207" fillId="0" borderId="154" xfId="51" applyNumberFormat="1" applyFont="1" applyBorder="1">
      <alignment vertical="center"/>
    </xf>
    <xf numFmtId="38" fontId="209" fillId="0" borderId="154" xfId="52" applyFont="1" applyFill="1" applyBorder="1">
      <alignment vertical="center"/>
    </xf>
    <xf numFmtId="195" fontId="1" fillId="0" borderId="178" xfId="51" applyNumberFormat="1" applyBorder="1">
      <alignment vertical="center"/>
    </xf>
    <xf numFmtId="38" fontId="207" fillId="0" borderId="154" xfId="52" applyFont="1" applyBorder="1" applyAlignment="1">
      <alignment vertical="center" shrinkToFit="1"/>
    </xf>
    <xf numFmtId="0" fontId="0" fillId="49" borderId="154" xfId="51" applyFont="1" applyFill="1" applyBorder="1">
      <alignment vertical="center"/>
    </xf>
    <xf numFmtId="0" fontId="0" fillId="48" borderId="154" xfId="51" applyFont="1" applyFill="1" applyBorder="1" applyAlignment="1">
      <alignment vertical="center" shrinkToFit="1"/>
    </xf>
    <xf numFmtId="195" fontId="0" fillId="50" borderId="167" xfId="51" applyNumberFormat="1" applyFont="1" applyFill="1" applyBorder="1" applyProtection="1">
      <alignment vertical="center"/>
      <protection locked="0"/>
    </xf>
    <xf numFmtId="179" fontId="0" fillId="0" borderId="154" xfId="51" applyNumberFormat="1" applyFont="1" applyBorder="1" applyAlignment="1">
      <alignment vertical="center" shrinkToFit="1"/>
    </xf>
    <xf numFmtId="179" fontId="207" fillId="0" borderId="154" xfId="51" applyNumberFormat="1" applyFont="1" applyBorder="1" applyAlignment="1">
      <alignment vertical="center" shrinkToFit="1"/>
    </xf>
    <xf numFmtId="0" fontId="0" fillId="0" borderId="154" xfId="51" applyFont="1" applyBorder="1" applyAlignment="1">
      <alignment vertical="center" shrinkToFit="1"/>
    </xf>
    <xf numFmtId="0" fontId="1" fillId="49" borderId="154" xfId="51" applyFill="1" applyBorder="1">
      <alignment vertical="center"/>
    </xf>
    <xf numFmtId="176" fontId="0" fillId="0" borderId="154" xfId="51" applyNumberFormat="1" applyFont="1" applyBorder="1">
      <alignment vertical="center"/>
    </xf>
    <xf numFmtId="179" fontId="209" fillId="0" borderId="154" xfId="51" applyNumberFormat="1" applyFont="1" applyBorder="1" applyAlignment="1">
      <alignment vertical="center" shrinkToFit="1"/>
    </xf>
    <xf numFmtId="0" fontId="0" fillId="0" borderId="154" xfId="51" applyFont="1" applyBorder="1" applyAlignment="1">
      <alignment horizontal="left" vertical="center"/>
    </xf>
    <xf numFmtId="196" fontId="0" fillId="0" borderId="154" xfId="51" applyNumberFormat="1" applyFont="1" applyBorder="1" applyAlignment="1">
      <alignment vertical="center" shrinkToFit="1"/>
    </xf>
    <xf numFmtId="176" fontId="0" fillId="50" borderId="167" xfId="51" applyNumberFormat="1" applyFont="1" applyFill="1" applyBorder="1" applyProtection="1">
      <alignment vertical="center"/>
      <protection locked="0"/>
    </xf>
    <xf numFmtId="176" fontId="0" fillId="36" borderId="167" xfId="51" applyNumberFormat="1" applyFont="1" applyFill="1" applyBorder="1" applyProtection="1">
      <alignment vertical="center"/>
      <protection locked="0"/>
    </xf>
    <xf numFmtId="0" fontId="0" fillId="50" borderId="167" xfId="51" applyFont="1" applyFill="1" applyBorder="1" applyProtection="1">
      <alignment vertical="center"/>
      <protection locked="0"/>
    </xf>
    <xf numFmtId="0" fontId="0" fillId="48" borderId="154" xfId="51" applyFont="1" applyFill="1" applyBorder="1">
      <alignment vertical="center"/>
    </xf>
    <xf numFmtId="195" fontId="0" fillId="50" borderId="167" xfId="51" applyNumberFormat="1" applyFont="1" applyFill="1" applyBorder="1">
      <alignment vertical="center"/>
    </xf>
    <xf numFmtId="196" fontId="0" fillId="0" borderId="154" xfId="51" applyNumberFormat="1" applyFont="1" applyBorder="1" applyAlignment="1">
      <alignment horizontal="right" vertical="center"/>
    </xf>
    <xf numFmtId="0" fontId="2" fillId="0" borderId="154" xfId="51" applyFont="1" applyBorder="1">
      <alignment vertical="center"/>
    </xf>
    <xf numFmtId="0" fontId="210" fillId="0" borderId="154" xfId="51" applyFont="1" applyBorder="1">
      <alignment vertical="center"/>
    </xf>
    <xf numFmtId="0" fontId="0" fillId="0" borderId="0" xfId="53" applyFont="1">
      <alignment vertical="center"/>
    </xf>
    <xf numFmtId="196" fontId="0" fillId="0" borderId="0" xfId="53" applyNumberFormat="1" applyFont="1">
      <alignment vertical="center"/>
    </xf>
    <xf numFmtId="0" fontId="0" fillId="0" borderId="154" xfId="53" applyFont="1" applyBorder="1">
      <alignment vertical="center"/>
    </xf>
    <xf numFmtId="0" fontId="1" fillId="37" borderId="0" xfId="53" applyFill="1">
      <alignment vertical="center"/>
    </xf>
    <xf numFmtId="0" fontId="1" fillId="37" borderId="154" xfId="53" applyFill="1" applyBorder="1">
      <alignment vertical="center"/>
    </xf>
    <xf numFmtId="196" fontId="1" fillId="37" borderId="154" xfId="53" applyNumberFormat="1" applyFill="1" applyBorder="1">
      <alignment vertical="center"/>
    </xf>
    <xf numFmtId="0" fontId="1" fillId="37" borderId="154" xfId="53" applyFill="1" applyBorder="1" applyAlignment="1">
      <alignment vertical="top"/>
    </xf>
    <xf numFmtId="0" fontId="1" fillId="37" borderId="155" xfId="53" applyFill="1" applyBorder="1">
      <alignment vertical="center"/>
    </xf>
    <xf numFmtId="196" fontId="21" fillId="37" borderId="155" xfId="53" applyNumberFormat="1" applyFont="1" applyFill="1" applyBorder="1">
      <alignment vertical="center"/>
    </xf>
    <xf numFmtId="0" fontId="1" fillId="37" borderId="0" xfId="53" applyFill="1" applyAlignment="1">
      <alignment horizontal="right" vertical="center"/>
    </xf>
    <xf numFmtId="0" fontId="1" fillId="37" borderId="156" xfId="53" applyFill="1" applyBorder="1">
      <alignment vertical="center"/>
    </xf>
    <xf numFmtId="0" fontId="1" fillId="37" borderId="157" xfId="53" applyFill="1" applyBorder="1">
      <alignment vertical="center"/>
    </xf>
    <xf numFmtId="0" fontId="1" fillId="37" borderId="158" xfId="53" applyFill="1" applyBorder="1">
      <alignment vertical="center"/>
    </xf>
    <xf numFmtId="0" fontId="1" fillId="37" borderId="160" xfId="53" applyFill="1" applyBorder="1" applyAlignment="1">
      <alignment horizontal="right" vertical="center"/>
    </xf>
    <xf numFmtId="0" fontId="1" fillId="37" borderId="161" xfId="53" applyFill="1" applyBorder="1">
      <alignment vertical="center"/>
    </xf>
    <xf numFmtId="0" fontId="1" fillId="37" borderId="162" xfId="53" applyFill="1" applyBorder="1">
      <alignment vertical="center"/>
    </xf>
    <xf numFmtId="196" fontId="1" fillId="51" borderId="163" xfId="53" applyNumberFormat="1" applyFill="1" applyBorder="1" applyAlignment="1">
      <alignment vertical="center" shrinkToFit="1"/>
    </xf>
    <xf numFmtId="0" fontId="1" fillId="37" borderId="164" xfId="53" applyFill="1" applyBorder="1">
      <alignment vertical="center"/>
    </xf>
    <xf numFmtId="0" fontId="1" fillId="37" borderId="165" xfId="53" applyFill="1" applyBorder="1">
      <alignment vertical="center"/>
    </xf>
    <xf numFmtId="196" fontId="115" fillId="37" borderId="154" xfId="53" applyNumberFormat="1" applyFont="1" applyFill="1" applyBorder="1" applyAlignment="1">
      <alignment vertical="center" shrinkToFit="1"/>
    </xf>
    <xf numFmtId="0" fontId="206" fillId="37" borderId="154" xfId="53" applyFont="1" applyFill="1" applyBorder="1">
      <alignment vertical="center"/>
    </xf>
    <xf numFmtId="0" fontId="1" fillId="37" borderId="154" xfId="53" applyFill="1" applyBorder="1" applyAlignment="1">
      <alignment horizontal="right" vertical="center"/>
    </xf>
    <xf numFmtId="196" fontId="207" fillId="37" borderId="154" xfId="53" applyNumberFormat="1" applyFont="1" applyFill="1" applyBorder="1" applyAlignment="1">
      <alignment vertical="center" shrinkToFit="1"/>
    </xf>
    <xf numFmtId="0" fontId="208" fillId="37" borderId="154" xfId="53" applyFont="1" applyFill="1" applyBorder="1">
      <alignment vertical="center"/>
    </xf>
    <xf numFmtId="0" fontId="1" fillId="37" borderId="166" xfId="53" applyFill="1" applyBorder="1">
      <alignment vertical="center"/>
    </xf>
    <xf numFmtId="195" fontId="1" fillId="36" borderId="167" xfId="53" applyNumberFormat="1" applyFill="1" applyBorder="1" applyProtection="1">
      <alignment vertical="center"/>
      <protection locked="0"/>
    </xf>
    <xf numFmtId="0" fontId="1" fillId="37" borderId="168" xfId="53" applyFill="1" applyBorder="1">
      <alignment vertical="center"/>
    </xf>
    <xf numFmtId="0" fontId="1" fillId="37" borderId="169" xfId="53" applyFill="1" applyBorder="1">
      <alignment vertical="center"/>
    </xf>
    <xf numFmtId="0" fontId="1" fillId="37" borderId="171" xfId="53" applyFill="1" applyBorder="1" applyAlignment="1">
      <alignment horizontal="right" vertical="center"/>
    </xf>
    <xf numFmtId="0" fontId="1" fillId="37" borderId="172" xfId="53" applyFill="1" applyBorder="1" applyAlignment="1">
      <alignment horizontal="right" vertical="center"/>
    </xf>
    <xf numFmtId="0" fontId="1" fillId="37" borderId="173" xfId="53" applyFill="1" applyBorder="1">
      <alignment vertical="center"/>
    </xf>
    <xf numFmtId="177" fontId="1" fillId="37" borderId="0" xfId="53" applyNumberFormat="1" applyFill="1" applyAlignment="1">
      <alignment vertical="center" shrinkToFit="1"/>
    </xf>
    <xf numFmtId="179" fontId="1" fillId="37" borderId="0" xfId="53" applyNumberFormat="1" applyFill="1" applyAlignment="1">
      <alignment vertical="center" shrinkToFit="1"/>
    </xf>
    <xf numFmtId="0" fontId="1" fillId="37" borderId="174" xfId="53" applyFill="1" applyBorder="1">
      <alignment vertical="center"/>
    </xf>
    <xf numFmtId="0" fontId="1" fillId="37" borderId="175" xfId="53" applyFill="1" applyBorder="1">
      <alignment vertical="center"/>
    </xf>
    <xf numFmtId="196" fontId="1" fillId="51" borderId="176" xfId="53" applyNumberFormat="1" applyFill="1" applyBorder="1" applyAlignment="1">
      <alignment vertical="center" shrinkToFit="1"/>
    </xf>
    <xf numFmtId="0" fontId="1" fillId="37" borderId="177" xfId="53" applyFill="1" applyBorder="1">
      <alignment vertical="center"/>
    </xf>
    <xf numFmtId="0" fontId="1" fillId="37" borderId="172" xfId="53" applyFill="1" applyBorder="1">
      <alignment vertical="center"/>
    </xf>
    <xf numFmtId="196" fontId="209" fillId="37" borderId="154" xfId="53" applyNumberFormat="1" applyFont="1" applyFill="1" applyBorder="1" applyAlignment="1">
      <alignment vertical="center" shrinkToFit="1"/>
    </xf>
    <xf numFmtId="179" fontId="209" fillId="37" borderId="154" xfId="53" applyNumberFormat="1" applyFont="1" applyFill="1" applyBorder="1">
      <alignment vertical="center"/>
    </xf>
    <xf numFmtId="179" fontId="207" fillId="37" borderId="154" xfId="53" applyNumberFormat="1" applyFont="1" applyFill="1" applyBorder="1">
      <alignment vertical="center"/>
    </xf>
    <xf numFmtId="177" fontId="1" fillId="37" borderId="0" xfId="53" applyNumberFormat="1" applyFill="1">
      <alignment vertical="center"/>
    </xf>
    <xf numFmtId="179" fontId="1" fillId="37" borderId="0" xfId="53" applyNumberFormat="1" applyFill="1">
      <alignment vertical="center"/>
    </xf>
    <xf numFmtId="0" fontId="1" fillId="37" borderId="178" xfId="53" applyFill="1" applyBorder="1">
      <alignment vertical="center"/>
    </xf>
    <xf numFmtId="195" fontId="1" fillId="37" borderId="0" xfId="53" applyNumberFormat="1" applyFill="1">
      <alignment vertical="center"/>
    </xf>
    <xf numFmtId="0" fontId="1" fillId="37" borderId="173" xfId="53" applyFill="1" applyBorder="1" applyAlignment="1">
      <alignment horizontal="right" vertical="center"/>
    </xf>
    <xf numFmtId="179" fontId="1" fillId="37" borderId="154" xfId="53" applyNumberFormat="1" applyFill="1" applyBorder="1" applyAlignment="1">
      <alignment vertical="center" shrinkToFit="1"/>
    </xf>
    <xf numFmtId="195" fontId="1" fillId="37" borderId="178" xfId="53" applyNumberFormat="1" applyFill="1" applyBorder="1">
      <alignment vertical="center"/>
    </xf>
    <xf numFmtId="38" fontId="207" fillId="37" borderId="154" xfId="52" applyFont="1" applyFill="1" applyBorder="1" applyAlignment="1">
      <alignment vertical="center" shrinkToFit="1"/>
    </xf>
    <xf numFmtId="0" fontId="208" fillId="37" borderId="156" xfId="53" applyFont="1" applyFill="1" applyBorder="1">
      <alignment vertical="center"/>
    </xf>
    <xf numFmtId="0" fontId="1" fillId="51" borderId="154" xfId="53" applyFill="1" applyBorder="1" applyAlignment="1">
      <alignment vertical="center" shrinkToFit="1"/>
    </xf>
    <xf numFmtId="0" fontId="1" fillId="52" borderId="154" xfId="53" applyFill="1" applyBorder="1">
      <alignment vertical="center"/>
    </xf>
    <xf numFmtId="179" fontId="207" fillId="37" borderId="154" xfId="53" applyNumberFormat="1" applyFont="1" applyFill="1" applyBorder="1" applyAlignment="1">
      <alignment vertical="center" shrinkToFit="1"/>
    </xf>
    <xf numFmtId="176" fontId="1" fillId="37" borderId="154" xfId="53" applyNumberFormat="1" applyFill="1" applyBorder="1">
      <alignment vertical="center"/>
    </xf>
    <xf numFmtId="179" fontId="209" fillId="37" borderId="154" xfId="53" applyNumberFormat="1" applyFont="1" applyFill="1" applyBorder="1" applyAlignment="1">
      <alignment vertical="center" shrinkToFit="1"/>
    </xf>
    <xf numFmtId="0" fontId="206" fillId="37" borderId="156" xfId="53" applyFont="1" applyFill="1" applyBorder="1">
      <alignment vertical="center"/>
    </xf>
    <xf numFmtId="0" fontId="1" fillId="37" borderId="154" xfId="53" applyFill="1" applyBorder="1" applyAlignment="1">
      <alignment horizontal="left" vertical="center"/>
    </xf>
    <xf numFmtId="179" fontId="1" fillId="37" borderId="154" xfId="53" applyNumberFormat="1" applyFill="1" applyBorder="1">
      <alignment vertical="center"/>
    </xf>
    <xf numFmtId="196" fontId="1" fillId="37" borderId="154" xfId="53" applyNumberFormat="1" applyFill="1" applyBorder="1" applyAlignment="1">
      <alignment vertical="center" shrinkToFit="1"/>
    </xf>
    <xf numFmtId="179" fontId="1" fillId="0" borderId="154" xfId="53" applyNumberFormat="1" applyBorder="1" applyAlignment="1">
      <alignment vertical="center" shrinkToFit="1"/>
    </xf>
    <xf numFmtId="0" fontId="1" fillId="51" borderId="154" xfId="53" applyFill="1" applyBorder="1">
      <alignment vertical="center"/>
    </xf>
    <xf numFmtId="0" fontId="1" fillId="36" borderId="179" xfId="53" applyFill="1" applyBorder="1" applyProtection="1">
      <alignment vertical="center"/>
      <protection locked="0"/>
    </xf>
    <xf numFmtId="176" fontId="1" fillId="36" borderId="167" xfId="53" applyNumberFormat="1" applyFill="1" applyBorder="1" applyProtection="1">
      <alignment vertical="center"/>
      <protection locked="0"/>
    </xf>
    <xf numFmtId="0" fontId="1" fillId="36" borderId="167" xfId="53" applyFill="1" applyBorder="1" applyProtection="1">
      <alignment vertical="center"/>
      <protection locked="0"/>
    </xf>
    <xf numFmtId="195" fontId="1" fillId="36" borderId="167" xfId="53" applyNumberFormat="1" applyFill="1" applyBorder="1">
      <alignment vertical="center"/>
    </xf>
    <xf numFmtId="196" fontId="1" fillId="37" borderId="154" xfId="53" applyNumberFormat="1" applyFill="1" applyBorder="1" applyAlignment="1">
      <alignment horizontal="right" vertical="center"/>
    </xf>
    <xf numFmtId="0" fontId="2" fillId="37" borderId="154" xfId="53" applyFont="1" applyFill="1" applyBorder="1">
      <alignment vertical="center"/>
    </xf>
    <xf numFmtId="14" fontId="1" fillId="37" borderId="0" xfId="53" applyNumberFormat="1" applyFill="1">
      <alignment vertical="center"/>
    </xf>
    <xf numFmtId="0" fontId="210" fillId="37" borderId="154" xfId="53" applyFont="1" applyFill="1" applyBorder="1">
      <alignment vertical="center"/>
    </xf>
    <xf numFmtId="196" fontId="1" fillId="37" borderId="0" xfId="53" applyNumberFormat="1" applyFill="1">
      <alignment vertical="center"/>
    </xf>
    <xf numFmtId="31" fontId="12" fillId="0" borderId="108" xfId="0" applyNumberFormat="1" applyFont="1" applyBorder="1" applyAlignment="1" applyProtection="1">
      <alignment horizontal="left" vertical="center" shrinkToFit="1"/>
      <protection hidden="1"/>
    </xf>
    <xf numFmtId="0" fontId="30" fillId="29" borderId="46" xfId="0" applyFont="1" applyFill="1" applyBorder="1" applyAlignment="1" applyProtection="1">
      <alignment horizontal="right" vertical="center"/>
      <protection hidden="1"/>
    </xf>
    <xf numFmtId="0" fontId="30" fillId="28" borderId="0" xfId="0" applyFont="1" applyFill="1" applyAlignment="1" applyProtection="1">
      <alignment horizontal="right" vertical="top"/>
      <protection hidden="1"/>
    </xf>
    <xf numFmtId="0" fontId="51" fillId="28" borderId="0" xfId="0" applyFont="1" applyFill="1" applyProtection="1">
      <alignment vertical="center"/>
      <protection hidden="1"/>
    </xf>
    <xf numFmtId="0" fontId="30" fillId="28" borderId="24" xfId="0" applyFont="1" applyFill="1" applyBorder="1" applyAlignment="1" applyProtection="1">
      <alignment horizontal="right" vertical="center"/>
      <protection hidden="1"/>
    </xf>
    <xf numFmtId="0" fontId="91" fillId="29" borderId="44" xfId="0" applyFont="1" applyFill="1" applyBorder="1" applyProtection="1">
      <alignment vertical="center"/>
      <protection hidden="1"/>
    </xf>
    <xf numFmtId="0" fontId="42" fillId="29" borderId="35" xfId="0" applyFont="1" applyFill="1" applyBorder="1" applyAlignment="1" applyProtection="1">
      <alignment horizontal="center" vertical="center"/>
      <protection hidden="1"/>
    </xf>
    <xf numFmtId="0" fontId="158" fillId="29" borderId="35" xfId="0" applyFont="1" applyFill="1" applyBorder="1" applyAlignment="1" applyProtection="1">
      <alignment horizontal="right" vertical="center"/>
      <protection hidden="1"/>
    </xf>
    <xf numFmtId="176" fontId="158" fillId="29" borderId="35" xfId="0" applyNumberFormat="1" applyFont="1" applyFill="1" applyBorder="1" applyAlignment="1" applyProtection="1">
      <alignment horizontal="center" vertical="center"/>
      <protection hidden="1"/>
    </xf>
    <xf numFmtId="0" fontId="214" fillId="29" borderId="44" xfId="0" applyFont="1" applyFill="1" applyBorder="1" applyProtection="1">
      <alignment vertical="center"/>
      <protection hidden="1"/>
    </xf>
    <xf numFmtId="0" fontId="12" fillId="35" borderId="70" xfId="0" applyFont="1" applyFill="1" applyBorder="1" applyProtection="1">
      <alignment vertical="center"/>
      <protection locked="0"/>
    </xf>
    <xf numFmtId="0" fontId="63" fillId="0" borderId="14" xfId="0" applyFont="1" applyBorder="1" applyProtection="1">
      <alignment vertical="center"/>
      <protection hidden="1"/>
    </xf>
    <xf numFmtId="0" fontId="202" fillId="0" borderId="34" xfId="0" applyFont="1" applyBorder="1" applyAlignment="1" applyProtection="1">
      <alignment horizontal="left" vertical="center"/>
      <protection hidden="1"/>
    </xf>
    <xf numFmtId="0" fontId="202" fillId="0" borderId="34" xfId="0" applyFont="1" applyBorder="1" applyProtection="1">
      <alignment vertical="center"/>
      <protection hidden="1"/>
    </xf>
    <xf numFmtId="185" fontId="24" fillId="29" borderId="20" xfId="0" applyNumberFormat="1" applyFont="1" applyFill="1" applyBorder="1" applyAlignment="1">
      <alignment horizontal="center" vertical="center"/>
    </xf>
    <xf numFmtId="192" fontId="52" fillId="29" borderId="143" xfId="0" applyNumberFormat="1" applyFont="1" applyFill="1" applyBorder="1" applyAlignment="1">
      <alignment horizontal="center" vertical="center"/>
    </xf>
    <xf numFmtId="181" fontId="169" fillId="29" borderId="19" xfId="0" applyNumberFormat="1" applyFont="1" applyFill="1" applyBorder="1" applyAlignment="1">
      <alignment horizontal="center" vertical="center"/>
    </xf>
    <xf numFmtId="178" fontId="36" fillId="30" borderId="20" xfId="0" applyNumberFormat="1" applyFont="1" applyFill="1" applyBorder="1" applyAlignment="1">
      <alignment horizontal="left"/>
    </xf>
    <xf numFmtId="192" fontId="163" fillId="30" borderId="143" xfId="0" applyNumberFormat="1" applyFont="1" applyFill="1" applyBorder="1" applyAlignment="1">
      <alignment horizontal="center" vertical="center"/>
    </xf>
    <xf numFmtId="181" fontId="138" fillId="30" borderId="19" xfId="0" applyNumberFormat="1" applyFont="1" applyFill="1" applyBorder="1" applyAlignment="1">
      <alignment horizontal="center" vertical="center"/>
    </xf>
    <xf numFmtId="181" fontId="19" fillId="34" borderId="12" xfId="0" applyNumberFormat="1" applyFont="1" applyFill="1" applyBorder="1" applyAlignment="1">
      <alignment horizontal="center" vertical="center"/>
    </xf>
    <xf numFmtId="192" fontId="135" fillId="34" borderId="139" xfId="0" applyNumberFormat="1" applyFont="1" applyFill="1" applyBorder="1" applyAlignment="1">
      <alignment horizontal="center" vertical="center"/>
    </xf>
    <xf numFmtId="181" fontId="163" fillId="34" borderId="83" xfId="0" applyNumberFormat="1" applyFont="1" applyFill="1" applyBorder="1" applyAlignment="1">
      <alignment horizontal="center" vertical="center"/>
    </xf>
    <xf numFmtId="181" fontId="19" fillId="34" borderId="71" xfId="0" applyNumberFormat="1" applyFont="1" applyFill="1" applyBorder="1" applyAlignment="1">
      <alignment horizontal="center" vertical="center"/>
    </xf>
    <xf numFmtId="192" fontId="71" fillId="34" borderId="140" xfId="0" applyNumberFormat="1" applyFont="1" applyFill="1" applyBorder="1" applyAlignment="1">
      <alignment horizontal="center" vertical="center"/>
    </xf>
    <xf numFmtId="181" fontId="135" fillId="34" borderId="83" xfId="0" applyNumberFormat="1" applyFont="1" applyFill="1" applyBorder="1">
      <alignment vertical="center"/>
    </xf>
    <xf numFmtId="181" fontId="135" fillId="34" borderId="144" xfId="0" applyNumberFormat="1" applyFont="1" applyFill="1" applyBorder="1">
      <alignment vertical="center"/>
    </xf>
    <xf numFmtId="192" fontId="135" fillId="34" borderId="140" xfId="0" applyNumberFormat="1" applyFont="1" applyFill="1" applyBorder="1" applyAlignment="1">
      <alignment horizontal="center" vertical="center"/>
    </xf>
    <xf numFmtId="181" fontId="163" fillId="34" borderId="85" xfId="0" applyNumberFormat="1" applyFont="1" applyFill="1" applyBorder="1" applyAlignment="1">
      <alignment horizontal="center" vertical="center"/>
    </xf>
    <xf numFmtId="184" fontId="135" fillId="34" borderId="83" xfId="0" applyNumberFormat="1" applyFont="1" applyFill="1" applyBorder="1">
      <alignment vertical="center"/>
    </xf>
    <xf numFmtId="184" fontId="135" fillId="34" borderId="83" xfId="0" applyNumberFormat="1" applyFont="1" applyFill="1" applyBorder="1" applyAlignment="1">
      <alignment horizontal="center" vertical="center"/>
    </xf>
    <xf numFmtId="184" fontId="135" fillId="34" borderId="144" xfId="0" applyNumberFormat="1" applyFont="1" applyFill="1" applyBorder="1" applyAlignment="1">
      <alignment horizontal="center" vertical="center"/>
    </xf>
    <xf numFmtId="181" fontId="163" fillId="34" borderId="84" xfId="0" applyNumberFormat="1" applyFont="1" applyFill="1" applyBorder="1" applyAlignment="1">
      <alignment horizontal="center" vertical="center"/>
    </xf>
    <xf numFmtId="181" fontId="19" fillId="34" borderId="35" xfId="0" applyNumberFormat="1" applyFont="1" applyFill="1" applyBorder="1" applyAlignment="1">
      <alignment horizontal="center" vertical="center"/>
    </xf>
    <xf numFmtId="192" fontId="135" fillId="34" borderId="141" xfId="0" applyNumberFormat="1" applyFont="1" applyFill="1" applyBorder="1" applyAlignment="1">
      <alignment horizontal="center" vertical="center"/>
    </xf>
    <xf numFmtId="181" fontId="24" fillId="34" borderId="12" xfId="0" applyNumberFormat="1" applyFont="1" applyFill="1" applyBorder="1" applyAlignment="1">
      <alignment horizontal="center" vertical="center"/>
    </xf>
    <xf numFmtId="192" fontId="71" fillId="34" borderId="139" xfId="0" applyNumberFormat="1" applyFont="1" applyFill="1" applyBorder="1" applyAlignment="1">
      <alignment horizontal="center" vertical="center"/>
    </xf>
    <xf numFmtId="181" fontId="24" fillId="34" borderId="71" xfId="0" applyNumberFormat="1" applyFont="1" applyFill="1" applyBorder="1" applyAlignment="1">
      <alignment horizontal="center" vertical="center"/>
    </xf>
    <xf numFmtId="181" fontId="80" fillId="34" borderId="83" xfId="0" applyNumberFormat="1" applyFont="1" applyFill="1" applyBorder="1">
      <alignment vertical="center"/>
    </xf>
    <xf numFmtId="181" fontId="80" fillId="34" borderId="144" xfId="0" applyNumberFormat="1" applyFont="1" applyFill="1" applyBorder="1">
      <alignment vertical="center"/>
    </xf>
    <xf numFmtId="181" fontId="24" fillId="34" borderId="35" xfId="0" applyNumberFormat="1" applyFont="1" applyFill="1" applyBorder="1" applyAlignment="1">
      <alignment horizontal="center" vertical="center"/>
    </xf>
    <xf numFmtId="192" fontId="71" fillId="34" borderId="141" xfId="0" applyNumberFormat="1" applyFont="1" applyFill="1" applyBorder="1" applyAlignment="1">
      <alignment horizontal="center" vertical="center"/>
    </xf>
    <xf numFmtId="181" fontId="163" fillId="34" borderId="94" xfId="0" applyNumberFormat="1" applyFont="1" applyFill="1" applyBorder="1" applyAlignment="1">
      <alignment horizontal="center" vertical="center"/>
    </xf>
    <xf numFmtId="181" fontId="24" fillId="34" borderId="29" xfId="0" applyNumberFormat="1" applyFont="1" applyFill="1" applyBorder="1" applyAlignment="1">
      <alignment horizontal="center" vertical="center"/>
    </xf>
    <xf numFmtId="192" fontId="71" fillId="34" borderId="138" xfId="0" applyNumberFormat="1" applyFont="1" applyFill="1" applyBorder="1" applyAlignment="1">
      <alignment horizontal="center" vertical="center"/>
    </xf>
    <xf numFmtId="181" fontId="24" fillId="34" borderId="134" xfId="0" applyNumberFormat="1" applyFont="1" applyFill="1" applyBorder="1" applyAlignment="1">
      <alignment horizontal="center" vertical="center"/>
    </xf>
    <xf numFmtId="192" fontId="71" fillId="34" borderId="145" xfId="0" applyNumberFormat="1" applyFont="1" applyFill="1" applyBorder="1" applyAlignment="1">
      <alignment horizontal="center" vertical="center"/>
    </xf>
    <xf numFmtId="181" fontId="80" fillId="34" borderId="113" xfId="0" applyNumberFormat="1" applyFont="1" applyFill="1" applyBorder="1">
      <alignment vertical="center"/>
    </xf>
    <xf numFmtId="0" fontId="46" fillId="26" borderId="22" xfId="0" applyFont="1" applyFill="1" applyBorder="1">
      <alignment vertical="center"/>
    </xf>
    <xf numFmtId="0" fontId="15" fillId="26" borderId="23" xfId="0" applyFont="1" applyFill="1" applyBorder="1" applyAlignment="1">
      <alignment horizontal="right" vertical="center"/>
    </xf>
    <xf numFmtId="0" fontId="15" fillId="26" borderId="23" xfId="0" applyFont="1" applyFill="1" applyBorder="1">
      <alignment vertical="center"/>
    </xf>
    <xf numFmtId="0" fontId="46" fillId="26" borderId="23" xfId="0" applyFont="1" applyFill="1" applyBorder="1">
      <alignment vertical="center"/>
    </xf>
    <xf numFmtId="0" fontId="78" fillId="26" borderId="24" xfId="0" applyFont="1" applyFill="1" applyBorder="1">
      <alignment vertical="center"/>
    </xf>
    <xf numFmtId="0" fontId="24" fillId="0" borderId="0" xfId="0" applyFont="1">
      <alignment vertical="center"/>
    </xf>
    <xf numFmtId="0" fontId="58" fillId="24" borderId="25" xfId="0" applyFont="1" applyFill="1" applyBorder="1">
      <alignment vertical="center"/>
    </xf>
    <xf numFmtId="0" fontId="7" fillId="24" borderId="26" xfId="0" applyFont="1" applyFill="1" applyBorder="1" applyAlignment="1">
      <alignment horizontal="right" vertical="center"/>
    </xf>
    <xf numFmtId="0" fontId="31" fillId="24" borderId="26" xfId="0" applyFont="1" applyFill="1" applyBorder="1">
      <alignment vertical="center"/>
    </xf>
    <xf numFmtId="0" fontId="10" fillId="24" borderId="26" xfId="0" applyFont="1" applyFill="1" applyBorder="1">
      <alignment vertical="center"/>
    </xf>
    <xf numFmtId="0" fontId="10" fillId="24" borderId="27" xfId="0" applyFont="1" applyFill="1" applyBorder="1">
      <alignment vertical="center"/>
    </xf>
    <xf numFmtId="0" fontId="74" fillId="24" borderId="0" xfId="0" applyFont="1" applyFill="1">
      <alignment vertical="center"/>
    </xf>
    <xf numFmtId="0" fontId="75" fillId="24" borderId="0" xfId="0" applyFont="1" applyFill="1" applyAlignment="1">
      <alignment horizontal="right"/>
    </xf>
    <xf numFmtId="0" fontId="76" fillId="24" borderId="0" xfId="0" applyFont="1" applyFill="1">
      <alignment vertical="center"/>
    </xf>
    <xf numFmtId="0" fontId="1" fillId="24" borderId="0" xfId="0" applyFont="1" applyFill="1">
      <alignment vertical="center"/>
    </xf>
    <xf numFmtId="0" fontId="28" fillId="26" borderId="14" xfId="0" applyFont="1" applyFill="1" applyBorder="1" applyAlignment="1">
      <alignment horizontal="left" vertical="center"/>
    </xf>
    <xf numFmtId="0" fontId="7" fillId="26" borderId="20" xfId="0" applyFont="1" applyFill="1" applyBorder="1" applyAlignment="1">
      <alignment horizontal="right" vertical="center"/>
    </xf>
    <xf numFmtId="0" fontId="29" fillId="26" borderId="20" xfId="0" applyFont="1" applyFill="1" applyBorder="1">
      <alignment vertical="center"/>
    </xf>
    <xf numFmtId="0" fontId="28" fillId="26" borderId="20" xfId="0" applyFont="1" applyFill="1" applyBorder="1">
      <alignment vertical="center"/>
    </xf>
    <xf numFmtId="184" fontId="6" fillId="26" borderId="14" xfId="0" applyNumberFormat="1" applyFont="1" applyFill="1" applyBorder="1" applyAlignment="1">
      <alignment horizontal="left" vertical="center"/>
    </xf>
    <xf numFmtId="184" fontId="6" fillId="26" borderId="20" xfId="0" applyNumberFormat="1" applyFont="1" applyFill="1" applyBorder="1" applyAlignment="1">
      <alignment horizontal="left" vertical="center"/>
    </xf>
    <xf numFmtId="184" fontId="6" fillId="26" borderId="21" xfId="0" applyNumberFormat="1" applyFont="1" applyFill="1" applyBorder="1" applyAlignment="1">
      <alignment horizontal="left" vertical="center"/>
    </xf>
    <xf numFmtId="178" fontId="6" fillId="26" borderId="20" xfId="0" applyNumberFormat="1" applyFont="1" applyFill="1" applyBorder="1" applyAlignment="1">
      <alignment horizontal="left" vertical="center"/>
    </xf>
    <xf numFmtId="181" fontId="17" fillId="26" borderId="19" xfId="0" applyNumberFormat="1" applyFont="1" applyFill="1" applyBorder="1">
      <alignment vertical="center"/>
    </xf>
    <xf numFmtId="0" fontId="9" fillId="0" borderId="0" xfId="0" applyFont="1" applyAlignment="1">
      <alignment horizontal="center" vertical="justify"/>
    </xf>
    <xf numFmtId="0" fontId="4" fillId="0" borderId="10" xfId="0" applyFont="1" applyBorder="1">
      <alignment vertical="center"/>
    </xf>
    <xf numFmtId="0" fontId="7" fillId="0" borderId="0" xfId="0" applyFont="1" applyAlignment="1">
      <alignment horizontal="right" vertical="center"/>
    </xf>
    <xf numFmtId="0" fontId="31" fillId="0" borderId="0" xfId="0" applyFont="1">
      <alignment vertical="center"/>
    </xf>
    <xf numFmtId="0" fontId="10" fillId="0" borderId="0" xfId="0" applyFont="1">
      <alignment vertical="center"/>
    </xf>
    <xf numFmtId="181" fontId="9" fillId="0" borderId="0" xfId="0" applyNumberFormat="1" applyFont="1" applyAlignment="1">
      <alignment horizontal="center" vertical="center" wrapText="1"/>
    </xf>
    <xf numFmtId="181" fontId="7" fillId="0" borderId="142" xfId="0" applyNumberFormat="1" applyFont="1" applyBorder="1" applyAlignment="1">
      <alignment horizontal="center" vertical="center" wrapText="1"/>
    </xf>
    <xf numFmtId="181" fontId="61" fillId="0" borderId="83" xfId="0" applyNumberFormat="1" applyFont="1" applyBorder="1" applyAlignment="1">
      <alignment horizontal="center" vertical="center" wrapText="1"/>
    </xf>
    <xf numFmtId="0" fontId="28" fillId="29" borderId="14" xfId="0" applyFont="1" applyFill="1" applyBorder="1">
      <alignment vertical="center"/>
    </xf>
    <xf numFmtId="0" fontId="8" fillId="29" borderId="20" xfId="0" applyFont="1" applyFill="1" applyBorder="1" applyAlignment="1">
      <alignment horizontal="right" vertical="center"/>
    </xf>
    <xf numFmtId="180" fontId="29" fillId="29" borderId="20" xfId="0" applyNumberFormat="1" applyFont="1" applyFill="1" applyBorder="1" applyAlignment="1">
      <alignment horizontal="center" vertical="center"/>
    </xf>
    <xf numFmtId="180" fontId="28" fillId="29" borderId="20" xfId="0" applyNumberFormat="1" applyFont="1" applyFill="1" applyBorder="1" applyAlignment="1">
      <alignment horizontal="center" vertical="center"/>
    </xf>
    <xf numFmtId="184" fontId="6" fillId="29" borderId="14" xfId="0" applyNumberFormat="1" applyFont="1" applyFill="1" applyBorder="1" applyAlignment="1">
      <alignment horizontal="left" vertical="center"/>
    </xf>
    <xf numFmtId="184" fontId="6" fillId="29" borderId="20" xfId="0" applyNumberFormat="1" applyFont="1" applyFill="1" applyBorder="1" applyAlignment="1">
      <alignment horizontal="left" vertical="center"/>
    </xf>
    <xf numFmtId="184" fontId="6" fillId="29" borderId="21" xfId="0" applyNumberFormat="1" applyFont="1" applyFill="1" applyBorder="1" applyAlignment="1">
      <alignment horizontal="left"/>
    </xf>
    <xf numFmtId="0" fontId="32" fillId="30" borderId="14" xfId="0" applyFont="1" applyFill="1" applyBorder="1">
      <alignment vertical="center"/>
    </xf>
    <xf numFmtId="0" fontId="32" fillId="30" borderId="20" xfId="0" applyFont="1" applyFill="1" applyBorder="1" applyAlignment="1">
      <alignment horizontal="left" vertical="center"/>
    </xf>
    <xf numFmtId="0" fontId="36" fillId="30" borderId="20" xfId="0" applyFont="1" applyFill="1" applyBorder="1" applyAlignment="1">
      <alignment horizontal="left" vertical="center"/>
    </xf>
    <xf numFmtId="184" fontId="36" fillId="30" borderId="14" xfId="0" applyNumberFormat="1" applyFont="1" applyFill="1" applyBorder="1" applyAlignment="1">
      <alignment horizontal="left" vertical="center"/>
    </xf>
    <xf numFmtId="184" fontId="36" fillId="30" borderId="20" xfId="0" applyNumberFormat="1" applyFont="1" applyFill="1" applyBorder="1" applyAlignment="1">
      <alignment horizontal="left" vertical="center"/>
    </xf>
    <xf numFmtId="184" fontId="36" fillId="30" borderId="21" xfId="0" applyNumberFormat="1" applyFont="1" applyFill="1" applyBorder="1" applyAlignment="1">
      <alignment horizontal="left"/>
    </xf>
    <xf numFmtId="2" fontId="9" fillId="0" borderId="0" xfId="0" applyNumberFormat="1" applyFont="1" applyAlignment="1">
      <alignment horizontal="center" vertical="justify"/>
    </xf>
    <xf numFmtId="0" fontId="4" fillId="34" borderId="10" xfId="0" quotePrefix="1" applyFont="1" applyFill="1" applyBorder="1" applyAlignment="1">
      <alignment horizontal="left" vertical="center"/>
    </xf>
    <xf numFmtId="0" fontId="26" fillId="34" borderId="12" xfId="0" applyFont="1" applyFill="1" applyBorder="1" applyAlignment="1">
      <alignment horizontal="left" vertical="center"/>
    </xf>
    <xf numFmtId="0" fontId="0" fillId="34" borderId="12" xfId="0" applyFill="1" applyBorder="1">
      <alignment vertical="center"/>
    </xf>
    <xf numFmtId="184" fontId="2" fillId="34" borderId="32" xfId="0" applyNumberFormat="1" applyFont="1" applyFill="1" applyBorder="1">
      <alignment vertical="center"/>
    </xf>
    <xf numFmtId="184" fontId="0" fillId="34" borderId="12" xfId="0" applyNumberFormat="1" applyFill="1" applyBorder="1">
      <alignment vertical="center"/>
    </xf>
    <xf numFmtId="184" fontId="0" fillId="34" borderId="13" xfId="0" applyNumberFormat="1" applyFill="1" applyBorder="1">
      <alignment vertical="center"/>
    </xf>
    <xf numFmtId="0" fontId="26" fillId="34" borderId="10" xfId="0" applyFont="1" applyFill="1" applyBorder="1" applyAlignment="1">
      <alignment horizontal="right"/>
    </xf>
    <xf numFmtId="0" fontId="26" fillId="34" borderId="69" xfId="0" applyFont="1" applyFill="1" applyBorder="1" applyAlignment="1">
      <alignment horizontal="left" vertical="center"/>
    </xf>
    <xf numFmtId="0" fontId="12" fillId="34" borderId="71" xfId="0" applyFont="1" applyFill="1" applyBorder="1">
      <alignment vertical="center"/>
    </xf>
    <xf numFmtId="0" fontId="0" fillId="34" borderId="71" xfId="0" applyFill="1" applyBorder="1">
      <alignment vertical="center"/>
    </xf>
    <xf numFmtId="184" fontId="2" fillId="34" borderId="92" xfId="0" applyNumberFormat="1" applyFont="1" applyFill="1" applyBorder="1">
      <alignment vertical="center"/>
    </xf>
    <xf numFmtId="184" fontId="0" fillId="34" borderId="71" xfId="0" applyNumberFormat="1" applyFill="1" applyBorder="1">
      <alignment vertical="center"/>
    </xf>
    <xf numFmtId="184" fontId="0" fillId="34" borderId="88" xfId="0" applyNumberFormat="1" applyFill="1" applyBorder="1">
      <alignment vertical="center"/>
    </xf>
    <xf numFmtId="0" fontId="26" fillId="34" borderId="68" xfId="0" applyFont="1" applyFill="1" applyBorder="1" applyAlignment="1">
      <alignment horizontal="left" vertical="center"/>
    </xf>
    <xf numFmtId="0" fontId="12" fillId="34" borderId="35" xfId="0" applyFont="1" applyFill="1" applyBorder="1">
      <alignment vertical="center"/>
    </xf>
    <xf numFmtId="0" fontId="4" fillId="34" borderId="68" xfId="0" applyFont="1" applyFill="1" applyBorder="1" applyAlignment="1">
      <alignment horizontal="right" vertical="center"/>
    </xf>
    <xf numFmtId="56" fontId="26" fillId="34" borderId="69" xfId="0" applyNumberFormat="1" applyFont="1" applyFill="1" applyBorder="1" applyAlignment="1">
      <alignment horizontal="left" vertical="center"/>
    </xf>
    <xf numFmtId="0" fontId="12" fillId="34" borderId="71" xfId="0" applyFont="1" applyFill="1" applyBorder="1" applyAlignment="1">
      <alignment horizontal="left" vertical="center"/>
    </xf>
    <xf numFmtId="56" fontId="12" fillId="34" borderId="71" xfId="0" applyNumberFormat="1" applyFont="1" applyFill="1" applyBorder="1" applyAlignment="1">
      <alignment horizontal="left" vertical="center"/>
    </xf>
    <xf numFmtId="184" fontId="2" fillId="34" borderId="92" xfId="0" applyNumberFormat="1" applyFont="1" applyFill="1" applyBorder="1" applyAlignment="1">
      <alignment horizontal="left" vertical="center"/>
    </xf>
    <xf numFmtId="0" fontId="26" fillId="34" borderId="79" xfId="0" applyFont="1" applyFill="1" applyBorder="1" applyAlignment="1">
      <alignment horizontal="right"/>
    </xf>
    <xf numFmtId="56" fontId="12" fillId="34" borderId="70" xfId="0" applyNumberFormat="1" applyFont="1" applyFill="1" applyBorder="1" applyAlignment="1">
      <alignment horizontal="left" vertical="center"/>
    </xf>
    <xf numFmtId="0" fontId="1" fillId="34" borderId="71" xfId="0" applyFont="1" applyFill="1" applyBorder="1">
      <alignment vertical="center"/>
    </xf>
    <xf numFmtId="0" fontId="4" fillId="34" borderId="44" xfId="0" quotePrefix="1" applyFont="1" applyFill="1" applyBorder="1" applyAlignment="1">
      <alignment horizontal="left" vertical="center"/>
    </xf>
    <xf numFmtId="0" fontId="26" fillId="34" borderId="71" xfId="0" applyFont="1" applyFill="1" applyBorder="1" applyAlignment="1">
      <alignment horizontal="left" vertical="center"/>
    </xf>
    <xf numFmtId="0" fontId="0" fillId="34" borderId="71" xfId="0" applyFill="1" applyBorder="1" applyAlignment="1">
      <alignment horizontal="left" vertical="center"/>
    </xf>
    <xf numFmtId="56" fontId="4" fillId="34" borderId="68" xfId="0" applyNumberFormat="1" applyFont="1" applyFill="1" applyBorder="1" applyAlignment="1">
      <alignment horizontal="right" vertical="center"/>
    </xf>
    <xf numFmtId="0" fontId="26" fillId="34" borderId="79" xfId="0" quotePrefix="1" applyFont="1" applyFill="1" applyBorder="1" applyAlignment="1">
      <alignment horizontal="right" vertical="center"/>
    </xf>
    <xf numFmtId="184" fontId="2" fillId="34" borderId="71" xfId="0" applyNumberFormat="1" applyFont="1" applyFill="1" applyBorder="1" applyAlignment="1">
      <alignment horizontal="left" vertical="center"/>
    </xf>
    <xf numFmtId="0" fontId="26" fillId="34" borderId="35" xfId="0" applyFont="1" applyFill="1" applyBorder="1" applyAlignment="1">
      <alignment horizontal="left" vertical="center"/>
    </xf>
    <xf numFmtId="0" fontId="0" fillId="34" borderId="35" xfId="0" applyFill="1" applyBorder="1">
      <alignment vertical="center"/>
    </xf>
    <xf numFmtId="184" fontId="0" fillId="34" borderId="35" xfId="0" applyNumberFormat="1" applyFill="1" applyBorder="1">
      <alignment vertical="center"/>
    </xf>
    <xf numFmtId="184" fontId="0" fillId="34" borderId="46" xfId="0" applyNumberFormat="1" applyFill="1" applyBorder="1">
      <alignment vertical="center"/>
    </xf>
    <xf numFmtId="184" fontId="2" fillId="30" borderId="14" xfId="0" applyNumberFormat="1" applyFont="1" applyFill="1" applyBorder="1" applyAlignment="1">
      <alignment horizontal="left" vertical="center"/>
    </xf>
    <xf numFmtId="56" fontId="4" fillId="34" borderId="44" xfId="0" quotePrefix="1" applyNumberFormat="1" applyFont="1" applyFill="1" applyBorder="1" applyAlignment="1">
      <alignment horizontal="left" vertical="center"/>
    </xf>
    <xf numFmtId="0" fontId="0" fillId="34" borderId="35" xfId="0" applyFill="1" applyBorder="1" applyAlignment="1">
      <alignment horizontal="left" vertical="center"/>
    </xf>
    <xf numFmtId="184" fontId="2" fillId="29" borderId="14" xfId="0" applyNumberFormat="1" applyFont="1" applyFill="1" applyBorder="1" applyAlignment="1">
      <alignment horizontal="left" vertical="center"/>
    </xf>
    <xf numFmtId="0" fontId="12" fillId="34" borderId="35" xfId="0" applyFont="1" applyFill="1" applyBorder="1" applyAlignment="1">
      <alignment horizontal="left" vertical="center"/>
    </xf>
    <xf numFmtId="0" fontId="4" fillId="34" borderId="22" xfId="0" quotePrefix="1" applyFont="1" applyFill="1" applyBorder="1" applyAlignment="1">
      <alignment horizontal="left" vertical="center"/>
    </xf>
    <xf numFmtId="0" fontId="26" fillId="34" borderId="29" xfId="0" applyFont="1" applyFill="1" applyBorder="1" applyAlignment="1">
      <alignment horizontal="left" vertical="center"/>
    </xf>
    <xf numFmtId="0" fontId="0" fillId="34" borderId="29" xfId="0" applyFill="1" applyBorder="1">
      <alignment vertical="center"/>
    </xf>
    <xf numFmtId="184" fontId="2" fillId="34" borderId="28" xfId="0" applyNumberFormat="1" applyFont="1" applyFill="1" applyBorder="1" applyAlignment="1">
      <alignment horizontal="left" vertical="center"/>
    </xf>
    <xf numFmtId="184" fontId="0" fillId="34" borderId="29" xfId="0" applyNumberFormat="1" applyFill="1" applyBorder="1">
      <alignment vertical="center"/>
    </xf>
    <xf numFmtId="184" fontId="0" fillId="34" borderId="95" xfId="0" applyNumberFormat="1" applyFill="1" applyBorder="1">
      <alignment vertical="center"/>
    </xf>
    <xf numFmtId="56" fontId="33" fillId="34" borderId="69" xfId="0" applyNumberFormat="1" applyFont="1" applyFill="1" applyBorder="1" applyAlignment="1">
      <alignment horizontal="left" vertical="center"/>
    </xf>
    <xf numFmtId="0" fontId="26" fillId="34" borderId="25" xfId="0" applyFont="1" applyFill="1" applyBorder="1" applyAlignment="1">
      <alignment horizontal="right"/>
    </xf>
    <xf numFmtId="56" fontId="4" fillId="34" borderId="81" xfId="0" applyNumberFormat="1" applyFont="1" applyFill="1" applyBorder="1" applyAlignment="1">
      <alignment horizontal="right" vertical="center"/>
    </xf>
    <xf numFmtId="56" fontId="9" fillId="34" borderId="133" xfId="0" applyNumberFormat="1" applyFont="1" applyFill="1" applyBorder="1" applyAlignment="1">
      <alignment horizontal="left" vertical="center"/>
    </xf>
    <xf numFmtId="0" fontId="12" fillId="34" borderId="134" xfId="0" applyFont="1" applyFill="1" applyBorder="1" applyAlignment="1">
      <alignment horizontal="left" vertical="center"/>
    </xf>
    <xf numFmtId="0" fontId="0" fillId="34" borderId="134" xfId="0" applyFill="1" applyBorder="1" applyAlignment="1">
      <alignment horizontal="left" vertical="center"/>
    </xf>
    <xf numFmtId="184" fontId="2" fillId="34" borderId="136" xfId="0" applyNumberFormat="1" applyFont="1" applyFill="1" applyBorder="1" applyAlignment="1">
      <alignment horizontal="left" vertical="center"/>
    </xf>
    <xf numFmtId="184" fontId="0" fillId="34" borderId="134" xfId="0" applyNumberFormat="1" applyFill="1" applyBorder="1">
      <alignment vertical="center"/>
    </xf>
    <xf numFmtId="184" fontId="0" fillId="34" borderId="137" xfId="0" applyNumberFormat="1" applyFill="1" applyBorder="1">
      <alignment vertical="center"/>
    </xf>
    <xf numFmtId="0" fontId="26" fillId="37" borderId="0" xfId="0" applyFont="1" applyFill="1" applyAlignment="1">
      <alignment horizontal="right"/>
    </xf>
    <xf numFmtId="0" fontId="4" fillId="37" borderId="0" xfId="0" applyFont="1" applyFill="1" applyAlignment="1">
      <alignment horizontal="right" vertical="center"/>
    </xf>
    <xf numFmtId="0" fontId="12" fillId="37" borderId="0" xfId="0" applyFont="1" applyFill="1" applyAlignment="1">
      <alignment horizontal="left" vertical="center"/>
    </xf>
    <xf numFmtId="0" fontId="0" fillId="37" borderId="0" xfId="0" applyFill="1" applyAlignment="1">
      <alignment horizontal="left" vertical="center"/>
    </xf>
    <xf numFmtId="178" fontId="2" fillId="37" borderId="0" xfId="0" applyNumberFormat="1" applyFont="1" applyFill="1" applyAlignment="1">
      <alignment horizontal="left" vertical="top" wrapText="1"/>
    </xf>
    <xf numFmtId="185" fontId="39" fillId="30" borderId="19" xfId="0" applyNumberFormat="1" applyFont="1" applyFill="1" applyBorder="1" applyAlignment="1">
      <alignment horizontal="center" vertical="center"/>
    </xf>
    <xf numFmtId="0" fontId="32" fillId="30" borderId="21" xfId="0" applyFont="1" applyFill="1" applyBorder="1" applyAlignment="1">
      <alignment horizontal="left" vertical="center"/>
    </xf>
    <xf numFmtId="0" fontId="4" fillId="25" borderId="22" xfId="0" quotePrefix="1" applyFont="1" applyFill="1" applyBorder="1" applyAlignment="1">
      <alignment horizontal="right" vertical="center"/>
    </xf>
    <xf numFmtId="0" fontId="26" fillId="25" borderId="29" xfId="0" applyFont="1" applyFill="1" applyBorder="1" applyAlignment="1">
      <alignment horizontal="left" vertical="center"/>
    </xf>
    <xf numFmtId="0" fontId="0" fillId="25" borderId="29" xfId="0" applyFill="1" applyBorder="1">
      <alignment vertical="center"/>
    </xf>
    <xf numFmtId="180" fontId="39" fillId="34" borderId="89" xfId="0" applyNumberFormat="1" applyFont="1" applyFill="1" applyBorder="1" applyAlignment="1">
      <alignment horizontal="center" vertical="center"/>
    </xf>
    <xf numFmtId="0" fontId="4" fillId="34" borderId="23" xfId="0" quotePrefix="1" applyFont="1" applyFill="1" applyBorder="1" applyAlignment="1">
      <alignment horizontal="right" vertical="center"/>
    </xf>
    <xf numFmtId="180" fontId="39" fillId="34" borderId="130" xfId="0" applyNumberFormat="1" applyFont="1" applyFill="1" applyBorder="1" applyAlignment="1">
      <alignment horizontal="center" vertical="center"/>
    </xf>
    <xf numFmtId="0" fontId="4" fillId="25" borderId="32" xfId="0" quotePrefix="1" applyFont="1" applyFill="1" applyBorder="1" applyAlignment="1">
      <alignment horizontal="right" vertical="center"/>
    </xf>
    <xf numFmtId="0" fontId="12" fillId="25" borderId="70" xfId="0" applyFont="1" applyFill="1" applyBorder="1" applyAlignment="1">
      <alignment horizontal="left" vertical="center"/>
    </xf>
    <xf numFmtId="180" fontId="18" fillId="34" borderId="34" xfId="0" applyNumberFormat="1" applyFont="1" applyFill="1" applyBorder="1" applyAlignment="1">
      <alignment horizontal="center" vertical="center"/>
    </xf>
    <xf numFmtId="0" fontId="12" fillId="34" borderId="70" xfId="0" applyFont="1" applyFill="1" applyBorder="1" applyAlignment="1">
      <alignment horizontal="left" vertical="center"/>
    </xf>
    <xf numFmtId="0" fontId="0" fillId="34" borderId="86" xfId="0" applyFill="1" applyBorder="1" applyAlignment="1">
      <alignment horizontal="left" vertical="center"/>
    </xf>
    <xf numFmtId="180" fontId="18" fillId="34" borderId="129" xfId="0" applyNumberFormat="1" applyFont="1" applyFill="1" applyBorder="1" applyAlignment="1">
      <alignment horizontal="center" vertical="center"/>
    </xf>
    <xf numFmtId="0" fontId="4" fillId="25" borderId="10" xfId="0" quotePrefix="1" applyFont="1" applyFill="1" applyBorder="1" applyAlignment="1">
      <alignment horizontal="right" vertical="center"/>
    </xf>
    <xf numFmtId="0" fontId="26" fillId="25" borderId="12" xfId="0" applyFont="1" applyFill="1" applyBorder="1" applyAlignment="1">
      <alignment horizontal="left" vertical="center"/>
    </xf>
    <xf numFmtId="0" fontId="0" fillId="25" borderId="12" xfId="0" applyFill="1" applyBorder="1">
      <alignment vertical="center"/>
    </xf>
    <xf numFmtId="180" fontId="39" fillId="34" borderId="34" xfId="0" applyNumberFormat="1" applyFont="1" applyFill="1" applyBorder="1" applyAlignment="1">
      <alignment horizontal="center" vertical="center"/>
    </xf>
    <xf numFmtId="0" fontId="4" fillId="34" borderId="0" xfId="0" quotePrefix="1" applyFont="1" applyFill="1" applyAlignment="1">
      <alignment horizontal="right" vertical="center"/>
    </xf>
    <xf numFmtId="180" fontId="39" fillId="34" borderId="129" xfId="0" applyNumberFormat="1" applyFont="1" applyFill="1" applyBorder="1" applyAlignment="1">
      <alignment horizontal="center" vertical="center"/>
    </xf>
    <xf numFmtId="0" fontId="12" fillId="25" borderId="69" xfId="0" applyFont="1" applyFill="1" applyBorder="1" applyAlignment="1">
      <alignment horizontal="left" vertical="center"/>
    </xf>
    <xf numFmtId="0" fontId="12" fillId="34" borderId="69" xfId="0" applyFont="1" applyFill="1" applyBorder="1" applyAlignment="1">
      <alignment horizontal="left" vertical="center"/>
    </xf>
    <xf numFmtId="0" fontId="4" fillId="25" borderId="25" xfId="0" quotePrefix="1" applyFont="1" applyFill="1" applyBorder="1" applyAlignment="1">
      <alignment horizontal="right" vertical="center"/>
    </xf>
    <xf numFmtId="0" fontId="12" fillId="25" borderId="133" xfId="0" applyFont="1" applyFill="1" applyBorder="1" applyAlignment="1">
      <alignment horizontal="left" vertical="center"/>
    </xf>
    <xf numFmtId="0" fontId="18" fillId="34" borderId="131" xfId="0" applyFont="1" applyFill="1" applyBorder="1" applyAlignment="1">
      <alignment horizontal="center" vertical="center"/>
    </xf>
    <xf numFmtId="0" fontId="4" fillId="34" borderId="26" xfId="0" quotePrefix="1" applyFont="1" applyFill="1" applyBorder="1" applyAlignment="1">
      <alignment horizontal="right" vertical="center"/>
    </xf>
    <xf numFmtId="0" fontId="12" fillId="34" borderId="133" xfId="0" applyFont="1" applyFill="1" applyBorder="1" applyAlignment="1">
      <alignment horizontal="left" vertical="center"/>
    </xf>
    <xf numFmtId="0" fontId="0" fillId="34" borderId="135" xfId="0" applyFill="1" applyBorder="1" applyAlignment="1">
      <alignment horizontal="left" vertical="center"/>
    </xf>
    <xf numFmtId="180" fontId="18" fillId="34" borderId="132" xfId="0" applyNumberFormat="1" applyFont="1" applyFill="1" applyBorder="1" applyAlignment="1">
      <alignment horizontal="center" vertical="center"/>
    </xf>
    <xf numFmtId="180" fontId="18" fillId="34" borderId="131" xfId="0" applyNumberFormat="1" applyFont="1" applyFill="1" applyBorder="1" applyAlignment="1">
      <alignment horizontal="center" vertical="center"/>
    </xf>
    <xf numFmtId="0" fontId="4" fillId="0" borderId="0" xfId="0" applyFont="1">
      <alignment vertical="center"/>
    </xf>
    <xf numFmtId="0" fontId="26" fillId="34" borderId="22" xfId="0" applyFont="1" applyFill="1" applyBorder="1" applyAlignment="1">
      <alignment horizontal="left" vertical="center"/>
    </xf>
    <xf numFmtId="0" fontId="4" fillId="34" borderId="23" xfId="0" applyFont="1" applyFill="1" applyBorder="1">
      <alignment vertical="center"/>
    </xf>
    <xf numFmtId="0" fontId="9" fillId="34" borderId="89" xfId="0" applyFont="1" applyFill="1" applyBorder="1" applyAlignment="1">
      <alignment horizontal="center" vertical="center"/>
    </xf>
    <xf numFmtId="0" fontId="64" fillId="34" borderId="89" xfId="0" applyFont="1" applyFill="1" applyBorder="1" applyAlignment="1">
      <alignment horizontal="center" vertical="center"/>
    </xf>
    <xf numFmtId="0" fontId="64" fillId="34" borderId="130" xfId="0" applyFont="1" applyFill="1" applyBorder="1" applyAlignment="1">
      <alignment horizontal="center" vertical="center"/>
    </xf>
    <xf numFmtId="0" fontId="4" fillId="30" borderId="92" xfId="0" applyFont="1" applyFill="1" applyBorder="1" applyAlignment="1">
      <alignment horizontal="left" vertical="center"/>
    </xf>
    <xf numFmtId="0" fontId="4" fillId="30" borderId="71" xfId="0" applyFont="1" applyFill="1" applyBorder="1" applyAlignment="1">
      <alignment horizontal="left" vertical="center"/>
    </xf>
    <xf numFmtId="0" fontId="12" fillId="30" borderId="71" xfId="0" applyFont="1" applyFill="1" applyBorder="1" applyAlignment="1">
      <alignment horizontal="left" vertical="center"/>
    </xf>
    <xf numFmtId="178" fontId="6" fillId="30" borderId="71" xfId="0" applyNumberFormat="1" applyFont="1" applyFill="1" applyBorder="1" applyAlignment="1">
      <alignment horizontal="left" vertical="center"/>
    </xf>
    <xf numFmtId="178" fontId="6" fillId="30" borderId="88" xfId="0" applyNumberFormat="1" applyFont="1" applyFill="1" applyBorder="1" applyAlignment="1">
      <alignment horizontal="left" vertical="center"/>
    </xf>
    <xf numFmtId="56" fontId="24" fillId="34" borderId="10" xfId="0" applyNumberFormat="1" applyFont="1" applyFill="1" applyBorder="1" applyAlignment="1">
      <alignment horizontal="left" vertical="center"/>
    </xf>
    <xf numFmtId="0" fontId="9" fillId="34" borderId="0" xfId="0" applyFont="1" applyFill="1">
      <alignment vertical="center"/>
    </xf>
    <xf numFmtId="0" fontId="4" fillId="34" borderId="34" xfId="0" applyFont="1" applyFill="1" applyBorder="1" applyAlignment="1">
      <alignment horizontal="center" vertical="center"/>
    </xf>
    <xf numFmtId="194" fontId="4" fillId="34" borderId="34" xfId="0" applyNumberFormat="1" applyFont="1" applyFill="1" applyBorder="1" applyAlignment="1">
      <alignment horizontal="center" vertical="center"/>
    </xf>
    <xf numFmtId="194" fontId="4" fillId="43" borderId="34" xfId="0" applyNumberFormat="1" applyFont="1" applyFill="1" applyBorder="1" applyAlignment="1">
      <alignment horizontal="center" vertical="center"/>
    </xf>
    <xf numFmtId="194" fontId="4" fillId="43" borderId="129" xfId="0" applyNumberFormat="1" applyFont="1" applyFill="1" applyBorder="1" applyAlignment="1">
      <alignment horizontal="center" vertical="center"/>
    </xf>
    <xf numFmtId="0" fontId="0" fillId="34" borderId="0" xfId="0" applyFill="1">
      <alignment vertical="center"/>
    </xf>
    <xf numFmtId="0" fontId="24" fillId="34" borderId="10" xfId="0" applyFont="1" applyFill="1" applyBorder="1" applyAlignment="1">
      <alignment horizontal="left" vertical="center"/>
    </xf>
    <xf numFmtId="194" fontId="12" fillId="30" borderId="71" xfId="0" applyNumberFormat="1" applyFont="1" applyFill="1" applyBorder="1" applyAlignment="1">
      <alignment horizontal="left" vertical="center"/>
    </xf>
    <xf numFmtId="194" fontId="6" fillId="30" borderId="71" xfId="0" applyNumberFormat="1" applyFont="1" applyFill="1" applyBorder="1" applyAlignment="1">
      <alignment horizontal="left" vertical="center"/>
    </xf>
    <xf numFmtId="194" fontId="6" fillId="30" borderId="88" xfId="0" applyNumberFormat="1" applyFont="1" applyFill="1" applyBorder="1" applyAlignment="1">
      <alignment horizontal="left" vertical="center"/>
    </xf>
    <xf numFmtId="56" fontId="24" fillId="34" borderId="25" xfId="0" applyNumberFormat="1" applyFont="1" applyFill="1" applyBorder="1" applyAlignment="1">
      <alignment horizontal="left" vertical="center"/>
    </xf>
    <xf numFmtId="0" fontId="0" fillId="34" borderId="26" xfId="0" applyFill="1" applyBorder="1">
      <alignment vertical="center"/>
    </xf>
    <xf numFmtId="0" fontId="4" fillId="34" borderId="131" xfId="0" applyFont="1" applyFill="1" applyBorder="1" applyAlignment="1">
      <alignment horizontal="center" vertical="center"/>
    </xf>
    <xf numFmtId="194" fontId="4" fillId="34" borderId="131" xfId="0" applyNumberFormat="1" applyFont="1" applyFill="1" applyBorder="1" applyAlignment="1">
      <alignment horizontal="center" vertical="center"/>
    </xf>
    <xf numFmtId="194" fontId="4" fillId="34" borderId="132" xfId="0" applyNumberFormat="1" applyFont="1" applyFill="1" applyBorder="1" applyAlignment="1">
      <alignment horizontal="center" vertical="center"/>
    </xf>
    <xf numFmtId="0" fontId="18" fillId="30" borderId="35" xfId="0" applyFont="1" applyFill="1" applyBorder="1" applyAlignment="1" applyProtection="1">
      <alignment horizontal="centerContinuous" vertical="center" shrinkToFit="1"/>
      <protection hidden="1"/>
    </xf>
    <xf numFmtId="0" fontId="18" fillId="30" borderId="45" xfId="0" applyFont="1" applyFill="1" applyBorder="1" applyAlignment="1" applyProtection="1">
      <alignment horizontal="centerContinuous" vertical="center" shrinkToFit="1"/>
      <protection hidden="1"/>
    </xf>
    <xf numFmtId="0" fontId="9" fillId="25" borderId="181" xfId="0" applyFont="1" applyFill="1" applyBorder="1" applyAlignment="1" applyProtection="1">
      <alignment horizontal="center" vertical="center"/>
      <protection hidden="1"/>
    </xf>
    <xf numFmtId="0" fontId="167" fillId="30" borderId="33" xfId="0" applyFont="1" applyFill="1" applyBorder="1" applyAlignment="1" applyProtection="1">
      <alignment horizontal="centerContinuous" vertical="center" shrinkToFit="1"/>
      <protection hidden="1"/>
    </xf>
    <xf numFmtId="9" fontId="18" fillId="30" borderId="71" xfId="28" applyFont="1" applyFill="1" applyBorder="1" applyAlignment="1" applyProtection="1">
      <alignment horizontal="center" vertical="center" shrinkToFit="1"/>
      <protection hidden="1"/>
    </xf>
    <xf numFmtId="0" fontId="12" fillId="34" borderId="12" xfId="0" applyFont="1" applyFill="1" applyBorder="1" applyAlignment="1">
      <alignment horizontal="left" vertical="center"/>
    </xf>
    <xf numFmtId="0" fontId="0" fillId="34" borderId="12" xfId="0" applyFill="1" applyBorder="1" applyAlignment="1">
      <alignment horizontal="left" vertical="center"/>
    </xf>
    <xf numFmtId="56" fontId="12" fillId="34" borderId="12" xfId="0" applyNumberFormat="1" applyFont="1" applyFill="1" applyBorder="1" applyAlignment="1">
      <alignment horizontal="left" vertical="center"/>
    </xf>
    <xf numFmtId="0" fontId="4" fillId="25" borderId="39" xfId="0" quotePrefix="1" applyFont="1" applyFill="1" applyBorder="1" applyAlignment="1">
      <alignment horizontal="right" vertical="center"/>
    </xf>
    <xf numFmtId="0" fontId="4" fillId="34" borderId="82" xfId="0" quotePrefix="1" applyFont="1" applyFill="1" applyBorder="1" applyAlignment="1">
      <alignment horizontal="right" vertical="center"/>
    </xf>
    <xf numFmtId="0" fontId="167" fillId="30" borderId="35" xfId="0" applyFont="1" applyFill="1" applyBorder="1" applyAlignment="1" applyProtection="1">
      <alignment horizontal="centerContinuous" vertical="center" shrinkToFit="1"/>
      <protection hidden="1"/>
    </xf>
    <xf numFmtId="0" fontId="167" fillId="30" borderId="71" xfId="0" applyFont="1" applyFill="1" applyBorder="1" applyAlignment="1" applyProtection="1">
      <alignment horizontal="centerContinuous" vertical="center" shrinkToFit="1"/>
      <protection hidden="1"/>
    </xf>
    <xf numFmtId="0" fontId="145" fillId="30" borderId="71" xfId="0" applyFont="1" applyFill="1" applyBorder="1" applyAlignment="1" applyProtection="1">
      <alignment horizontal="centerContinuous" vertical="center" shrinkToFit="1"/>
      <protection hidden="1"/>
    </xf>
    <xf numFmtId="0" fontId="12" fillId="30" borderId="70" xfId="0" applyFont="1" applyFill="1" applyBorder="1" applyAlignment="1" applyProtection="1">
      <alignment horizontal="centerContinuous" vertical="center" shrinkToFit="1"/>
      <protection hidden="1"/>
    </xf>
    <xf numFmtId="0" fontId="12" fillId="30" borderId="86" xfId="0" applyFont="1" applyFill="1" applyBorder="1" applyAlignment="1" applyProtection="1">
      <alignment horizontal="centerContinuous" vertical="center" shrinkToFit="1"/>
      <protection hidden="1"/>
    </xf>
    <xf numFmtId="0" fontId="18" fillId="40" borderId="71" xfId="0" applyFont="1" applyFill="1" applyBorder="1" applyAlignment="1" applyProtection="1">
      <alignment vertical="center" shrinkToFit="1"/>
      <protection hidden="1"/>
    </xf>
    <xf numFmtId="0" fontId="18" fillId="40" borderId="86" xfId="0" applyFont="1" applyFill="1" applyBorder="1" applyAlignment="1" applyProtection="1">
      <alignment vertical="center" shrinkToFit="1"/>
      <protection hidden="1"/>
    </xf>
    <xf numFmtId="0" fontId="12" fillId="34" borderId="71" xfId="0" applyFont="1" applyFill="1" applyBorder="1" applyAlignment="1" applyProtection="1">
      <alignment vertical="center" wrapText="1"/>
      <protection hidden="1"/>
    </xf>
    <xf numFmtId="0" fontId="12" fillId="34" borderId="86" xfId="0" applyFont="1" applyFill="1" applyBorder="1" applyAlignment="1" applyProtection="1">
      <alignment vertical="center" wrapText="1"/>
      <protection hidden="1"/>
    </xf>
    <xf numFmtId="0" fontId="167" fillId="40" borderId="70" xfId="0" applyFont="1" applyFill="1" applyBorder="1" applyAlignment="1" applyProtection="1">
      <alignment vertical="center" shrinkToFit="1"/>
      <protection hidden="1"/>
    </xf>
    <xf numFmtId="191" fontId="12" fillId="35" borderId="19" xfId="0" applyNumberFormat="1" applyFont="1" applyFill="1" applyBorder="1" applyAlignment="1" applyProtection="1">
      <alignment horizontal="center" vertical="center"/>
      <protection locked="0"/>
    </xf>
    <xf numFmtId="0" fontId="175" fillId="0" borderId="0" xfId="0" applyFont="1" applyAlignment="1" applyProtection="1">
      <alignment horizontal="right" vertical="center"/>
      <protection hidden="1"/>
    </xf>
    <xf numFmtId="191" fontId="194" fillId="35" borderId="34" xfId="0" applyNumberFormat="1" applyFont="1" applyFill="1" applyBorder="1" applyAlignment="1" applyProtection="1">
      <alignment horizontal="left" vertical="center"/>
      <protection locked="0"/>
    </xf>
    <xf numFmtId="0" fontId="202" fillId="25" borderId="119" xfId="0" applyFont="1" applyFill="1" applyBorder="1" applyProtection="1">
      <alignment vertical="center"/>
      <protection hidden="1"/>
    </xf>
    <xf numFmtId="0" fontId="202" fillId="34" borderId="119" xfId="0" applyFont="1" applyFill="1" applyBorder="1" applyProtection="1">
      <alignment vertical="center"/>
      <protection hidden="1"/>
    </xf>
    <xf numFmtId="0" fontId="202" fillId="34" borderId="91" xfId="0" applyFont="1" applyFill="1" applyBorder="1" applyProtection="1">
      <alignment vertical="center"/>
      <protection hidden="1"/>
    </xf>
    <xf numFmtId="0" fontId="202" fillId="25" borderId="115" xfId="0" applyFont="1" applyFill="1" applyBorder="1" applyProtection="1">
      <alignment vertical="center"/>
      <protection hidden="1"/>
    </xf>
    <xf numFmtId="0" fontId="202" fillId="30" borderId="12" xfId="0" applyFont="1" applyFill="1" applyBorder="1" applyAlignment="1" applyProtection="1">
      <alignment horizontal="centerContinuous" vertical="center" shrinkToFit="1"/>
      <protection hidden="1"/>
    </xf>
    <xf numFmtId="0" fontId="202" fillId="30" borderId="90" xfId="0" applyFont="1" applyFill="1" applyBorder="1" applyAlignment="1" applyProtection="1">
      <alignment horizontal="centerContinuous" vertical="center" shrinkToFit="1"/>
      <protection hidden="1"/>
    </xf>
    <xf numFmtId="0" fontId="202" fillId="30" borderId="91" xfId="0" applyFont="1" applyFill="1" applyBorder="1" applyAlignment="1" applyProtection="1">
      <alignment horizontal="centerContinuous" vertical="center" shrinkToFit="1"/>
      <protection hidden="1"/>
    </xf>
    <xf numFmtId="191" fontId="26" fillId="40" borderId="19" xfId="0" applyNumberFormat="1" applyFont="1" applyFill="1" applyBorder="1" applyAlignment="1" applyProtection="1">
      <alignment horizontal="center" vertical="center"/>
      <protection hidden="1"/>
    </xf>
    <xf numFmtId="195" fontId="0" fillId="48" borderId="154" xfId="51" applyNumberFormat="1" applyFont="1" applyFill="1" applyBorder="1" applyAlignment="1" applyProtection="1">
      <alignment vertical="center" shrinkToFit="1"/>
      <protection hidden="1"/>
    </xf>
    <xf numFmtId="0" fontId="0" fillId="48" borderId="154" xfId="51" applyFont="1" applyFill="1" applyBorder="1" applyAlignment="1" applyProtection="1">
      <alignment vertical="center" shrinkToFit="1"/>
      <protection hidden="1"/>
    </xf>
    <xf numFmtId="179" fontId="0" fillId="48" borderId="154" xfId="51" applyNumberFormat="1" applyFont="1" applyFill="1" applyBorder="1" applyAlignment="1" applyProtection="1">
      <alignment vertical="center" shrinkToFit="1"/>
      <protection hidden="1"/>
    </xf>
    <xf numFmtId="196" fontId="0" fillId="48" borderId="154" xfId="51" applyNumberFormat="1" applyFont="1" applyFill="1" applyBorder="1" applyAlignment="1" applyProtection="1">
      <alignment vertical="center" shrinkToFit="1"/>
      <protection hidden="1"/>
    </xf>
    <xf numFmtId="196" fontId="0" fillId="48" borderId="170" xfId="51" applyNumberFormat="1" applyFont="1" applyFill="1" applyBorder="1" applyAlignment="1" applyProtection="1">
      <alignment vertical="center" shrinkToFit="1"/>
      <protection hidden="1"/>
    </xf>
    <xf numFmtId="196" fontId="21" fillId="48" borderId="159" xfId="51" applyNumberFormat="1" applyFont="1" applyFill="1" applyBorder="1" applyAlignment="1" applyProtection="1">
      <alignment vertical="center" shrinkToFit="1"/>
      <protection hidden="1"/>
    </xf>
    <xf numFmtId="195" fontId="1" fillId="51" borderId="154" xfId="53" applyNumberFormat="1" applyFill="1" applyBorder="1" applyAlignment="1" applyProtection="1">
      <alignment vertical="center" shrinkToFit="1"/>
      <protection hidden="1"/>
    </xf>
    <xf numFmtId="0" fontId="1" fillId="51" borderId="154" xfId="53" applyFill="1" applyBorder="1" applyAlignment="1" applyProtection="1">
      <alignment vertical="center" shrinkToFit="1"/>
      <protection hidden="1"/>
    </xf>
    <xf numFmtId="0" fontId="1" fillId="51" borderId="154" xfId="53" applyFill="1" applyBorder="1" applyProtection="1">
      <alignment vertical="center"/>
      <protection hidden="1"/>
    </xf>
    <xf numFmtId="0" fontId="1" fillId="37" borderId="154" xfId="53" applyFill="1" applyBorder="1" applyProtection="1">
      <alignment vertical="center"/>
      <protection hidden="1"/>
    </xf>
    <xf numFmtId="179" fontId="1" fillId="51" borderId="154" xfId="53" applyNumberFormat="1" applyFill="1" applyBorder="1" applyAlignment="1" applyProtection="1">
      <alignment vertical="center" shrinkToFit="1"/>
      <protection hidden="1"/>
    </xf>
    <xf numFmtId="196" fontId="1" fillId="51" borderId="154" xfId="53" applyNumberFormat="1" applyFill="1" applyBorder="1" applyAlignment="1" applyProtection="1">
      <alignment vertical="center" shrinkToFit="1"/>
      <protection hidden="1"/>
    </xf>
    <xf numFmtId="0" fontId="1" fillId="37" borderId="0" xfId="53" applyFill="1" applyProtection="1">
      <alignment vertical="center"/>
      <protection hidden="1"/>
    </xf>
    <xf numFmtId="0" fontId="1" fillId="37" borderId="154" xfId="53" applyFill="1" applyBorder="1" applyAlignment="1" applyProtection="1">
      <alignment horizontal="right" vertical="center"/>
      <protection hidden="1"/>
    </xf>
    <xf numFmtId="196" fontId="1" fillId="51" borderId="170" xfId="53" applyNumberFormat="1" applyFill="1" applyBorder="1" applyAlignment="1" applyProtection="1">
      <alignment vertical="center" shrinkToFit="1"/>
      <protection hidden="1"/>
    </xf>
    <xf numFmtId="196" fontId="21" fillId="51" borderId="159" xfId="53" applyNumberFormat="1" applyFont="1" applyFill="1" applyBorder="1" applyAlignment="1" applyProtection="1">
      <alignment vertical="center" shrinkToFit="1"/>
      <protection hidden="1"/>
    </xf>
    <xf numFmtId="191" fontId="194" fillId="0" borderId="34" xfId="0" applyNumberFormat="1" applyFont="1" applyBorder="1" applyAlignment="1" applyProtection="1">
      <alignment horizontal="center" vertical="center"/>
      <protection locked="0" hidden="1"/>
    </xf>
    <xf numFmtId="0" fontId="2" fillId="35" borderId="34" xfId="0" applyFont="1" applyFill="1" applyBorder="1" applyAlignment="1" applyProtection="1">
      <alignment horizontal="center" vertical="center" wrapText="1"/>
      <protection locked="0"/>
    </xf>
    <xf numFmtId="2" fontId="12" fillId="35" borderId="34" xfId="0" applyNumberFormat="1" applyFont="1" applyFill="1" applyBorder="1" applyProtection="1">
      <alignment vertical="center"/>
      <protection locked="0"/>
    </xf>
    <xf numFmtId="2" fontId="12" fillId="35" borderId="34" xfId="28" applyNumberFormat="1" applyFont="1" applyFill="1" applyBorder="1" applyProtection="1">
      <alignment vertical="center"/>
      <protection locked="0"/>
    </xf>
    <xf numFmtId="2" fontId="12" fillId="35" borderId="34" xfId="0" applyNumberFormat="1" applyFont="1" applyFill="1" applyBorder="1" applyAlignment="1" applyProtection="1">
      <alignment horizontal="right" vertical="center"/>
      <protection locked="0"/>
    </xf>
    <xf numFmtId="4" fontId="136" fillId="37" borderId="34" xfId="0" applyNumberFormat="1" applyFont="1" applyFill="1" applyBorder="1" applyAlignment="1" applyProtection="1">
      <alignment horizontal="center" vertical="center"/>
      <protection hidden="1"/>
    </xf>
    <xf numFmtId="4" fontId="136" fillId="37" borderId="129" xfId="0" applyNumberFormat="1" applyFont="1" applyFill="1" applyBorder="1" applyAlignment="1" applyProtection="1">
      <alignment horizontal="center" vertical="center"/>
      <protection hidden="1"/>
    </xf>
    <xf numFmtId="0" fontId="0" fillId="0" borderId="0" xfId="0" applyAlignment="1">
      <alignment horizontal="center" vertical="center"/>
    </xf>
    <xf numFmtId="0" fontId="12" fillId="0" borderId="0" xfId="0" applyFont="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horizontal="left" vertical="center" wrapText="1"/>
    </xf>
    <xf numFmtId="0" fontId="2"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right" vertical="center"/>
    </xf>
    <xf numFmtId="0" fontId="198" fillId="0" borderId="0" xfId="0" applyFont="1" applyAlignment="1">
      <alignment horizontal="center" vertical="center"/>
    </xf>
    <xf numFmtId="177" fontId="68" fillId="0" borderId="0" xfId="0" applyNumberFormat="1" applyFont="1" applyAlignment="1">
      <alignment horizontal="center" vertical="center"/>
    </xf>
    <xf numFmtId="186" fontId="68" fillId="0" borderId="0" xfId="0" applyNumberFormat="1" applyFont="1" applyAlignment="1">
      <alignment horizontal="center" vertical="center"/>
    </xf>
    <xf numFmtId="0" fontId="217" fillId="0" borderId="0" xfId="0" applyFont="1">
      <alignment vertical="center"/>
    </xf>
    <xf numFmtId="0" fontId="218" fillId="0" borderId="0" xfId="0" applyFont="1" applyAlignment="1">
      <alignment horizontal="left" vertical="center"/>
    </xf>
    <xf numFmtId="0" fontId="2" fillId="0" borderId="0" xfId="0" applyFont="1" applyAlignment="1">
      <alignment horizontal="left" vertical="center" wrapText="1"/>
    </xf>
    <xf numFmtId="0" fontId="210" fillId="0" borderId="12" xfId="0" applyFont="1" applyBorder="1">
      <alignment vertical="center"/>
    </xf>
    <xf numFmtId="0" fontId="199" fillId="0" borderId="0" xfId="0" applyFont="1" applyAlignment="1">
      <alignment horizontal="center" vertical="center"/>
    </xf>
    <xf numFmtId="0" fontId="217" fillId="0" borderId="0" xfId="0" applyFont="1" applyAlignment="1">
      <alignment horizontal="left" vertical="center"/>
    </xf>
    <xf numFmtId="0" fontId="210" fillId="0" borderId="0" xfId="0" applyFont="1">
      <alignment vertical="center"/>
    </xf>
    <xf numFmtId="0" fontId="210" fillId="0" borderId="0" xfId="0" applyFont="1" applyAlignment="1">
      <alignment horizontal="right" vertical="center"/>
    </xf>
    <xf numFmtId="0" fontId="210" fillId="53" borderId="19" xfId="0" applyFont="1" applyFill="1" applyBorder="1" applyAlignment="1" applyProtection="1">
      <alignment horizontal="center" vertical="center"/>
      <protection locked="0"/>
    </xf>
    <xf numFmtId="0" fontId="220" fillId="0" borderId="0" xfId="0" applyFont="1" applyAlignment="1">
      <alignment horizontal="right" vertical="center"/>
    </xf>
    <xf numFmtId="0" fontId="2" fillId="0" borderId="12" xfId="0" applyFont="1" applyBorder="1">
      <alignment vertical="center"/>
    </xf>
    <xf numFmtId="0" fontId="36" fillId="0" borderId="12" xfId="0" applyFont="1" applyBorder="1">
      <alignment vertical="center"/>
    </xf>
    <xf numFmtId="0" fontId="0" fillId="0" borderId="12" xfId="0" applyBorder="1">
      <alignment vertical="center"/>
    </xf>
    <xf numFmtId="0" fontId="36" fillId="0" borderId="12" xfId="0" applyFont="1" applyBorder="1" applyAlignment="1">
      <alignment horizontal="center" vertical="center"/>
    </xf>
    <xf numFmtId="0" fontId="12" fillId="0" borderId="47" xfId="0" applyFont="1" applyBorder="1" applyAlignment="1">
      <alignment vertical="center" wrapText="1"/>
    </xf>
    <xf numFmtId="0" fontId="221" fillId="47" borderId="35" xfId="0" applyFont="1" applyFill="1" applyBorder="1" applyAlignment="1">
      <alignment horizontal="center" vertical="center"/>
    </xf>
    <xf numFmtId="0" fontId="222" fillId="47" borderId="70" xfId="0" applyFont="1" applyFill="1" applyBorder="1" applyAlignment="1">
      <alignment horizontal="center" vertical="center" shrinkToFit="1"/>
    </xf>
    <xf numFmtId="0" fontId="222" fillId="47" borderId="34" xfId="0" applyFont="1" applyFill="1" applyBorder="1" applyAlignment="1">
      <alignment horizontal="center" vertical="center" shrinkToFit="1"/>
    </xf>
    <xf numFmtId="0" fontId="222" fillId="47" borderId="71" xfId="0" applyFont="1" applyFill="1" applyBorder="1" applyAlignment="1">
      <alignment horizontal="center" vertical="center"/>
    </xf>
    <xf numFmtId="0" fontId="222" fillId="47" borderId="86" xfId="0" applyFont="1" applyFill="1" applyBorder="1" applyAlignment="1">
      <alignment horizontal="center" vertical="center"/>
    </xf>
    <xf numFmtId="0" fontId="221" fillId="0" borderId="0" xfId="0" applyFont="1" applyAlignment="1">
      <alignment vertical="center" wrapText="1"/>
    </xf>
    <xf numFmtId="186" fontId="221" fillId="47" borderId="191" xfId="0" applyNumberFormat="1" applyFont="1" applyFill="1" applyBorder="1" applyAlignment="1">
      <alignment horizontal="center" vertical="center" wrapText="1"/>
    </xf>
    <xf numFmtId="0" fontId="224" fillId="47" borderId="70" xfId="0" applyFont="1" applyFill="1" applyBorder="1" applyAlignment="1">
      <alignment horizontal="center" vertical="center" shrinkToFit="1"/>
    </xf>
    <xf numFmtId="0" fontId="224" fillId="47" borderId="34" xfId="0" applyFont="1" applyFill="1" applyBorder="1" applyAlignment="1">
      <alignment horizontal="center" vertical="center" shrinkToFit="1"/>
    </xf>
    <xf numFmtId="186" fontId="221" fillId="47" borderId="71" xfId="0" applyNumberFormat="1" applyFont="1" applyFill="1" applyBorder="1" applyAlignment="1">
      <alignment horizontal="center" vertical="center" shrinkToFit="1"/>
    </xf>
    <xf numFmtId="0" fontId="221" fillId="47" borderId="71" xfId="0" applyFont="1" applyFill="1" applyBorder="1">
      <alignment vertical="center"/>
    </xf>
    <xf numFmtId="0" fontId="221" fillId="47" borderId="86" xfId="0" applyFont="1" applyFill="1" applyBorder="1" applyAlignment="1">
      <alignment horizontal="center" vertical="center"/>
    </xf>
    <xf numFmtId="0" fontId="0" fillId="0" borderId="47" xfId="0" applyBorder="1" applyAlignment="1">
      <alignment horizontal="center" vertical="center"/>
    </xf>
    <xf numFmtId="0" fontId="225" fillId="54" borderId="34" xfId="0" applyFont="1" applyFill="1" applyBorder="1" applyAlignment="1">
      <alignment vertical="top" wrapText="1"/>
    </xf>
    <xf numFmtId="49" fontId="2" fillId="42" borderId="91" xfId="0" applyNumberFormat="1" applyFont="1" applyFill="1" applyBorder="1" applyAlignment="1">
      <alignment horizontal="left" vertical="center"/>
    </xf>
    <xf numFmtId="49" fontId="2" fillId="42" borderId="12" xfId="0" applyNumberFormat="1" applyFont="1" applyFill="1" applyBorder="1" applyAlignment="1">
      <alignment horizontal="left" vertical="center" wrapText="1"/>
    </xf>
    <xf numFmtId="49" fontId="0" fillId="0" borderId="0" xfId="0" applyNumberFormat="1">
      <alignment vertical="center"/>
    </xf>
    <xf numFmtId="0" fontId="36" fillId="42" borderId="12" xfId="0" applyFont="1" applyFill="1" applyBorder="1" applyAlignment="1">
      <alignment horizontal="center" vertical="center" wrapText="1"/>
    </xf>
    <xf numFmtId="0" fontId="12" fillId="42" borderId="12" xfId="0" applyFont="1" applyFill="1" applyBorder="1" applyAlignment="1">
      <alignment horizontal="center" vertical="center"/>
    </xf>
    <xf numFmtId="186" fontId="36" fillId="42" borderId="12" xfId="0" applyNumberFormat="1" applyFont="1" applyFill="1" applyBorder="1" applyAlignment="1">
      <alignment horizontal="center" vertical="center" wrapText="1"/>
    </xf>
    <xf numFmtId="0" fontId="36" fillId="42" borderId="90" xfId="0" applyFont="1" applyFill="1" applyBorder="1" applyAlignment="1">
      <alignment horizontal="center" vertical="center"/>
    </xf>
    <xf numFmtId="0" fontId="12" fillId="42" borderId="70" xfId="0" applyFont="1" applyFill="1" applyBorder="1" applyAlignment="1">
      <alignment horizontal="center" shrinkToFit="1"/>
    </xf>
    <xf numFmtId="0" fontId="12" fillId="42" borderId="71" xfId="0" applyFont="1" applyFill="1" applyBorder="1" applyAlignment="1">
      <alignment horizontal="center" shrinkToFit="1"/>
    </xf>
    <xf numFmtId="0" fontId="12" fillId="42" borderId="71" xfId="0" applyFont="1" applyFill="1" applyBorder="1" applyAlignment="1">
      <alignment horizontal="center" vertical="center"/>
    </xf>
    <xf numFmtId="0" fontId="202" fillId="42" borderId="86" xfId="0" applyFont="1" applyFill="1" applyBorder="1" applyAlignment="1">
      <alignment horizontal="center" vertical="center"/>
    </xf>
    <xf numFmtId="0" fontId="12" fillId="0" borderId="68" xfId="0" applyFont="1" applyBorder="1" applyAlignment="1">
      <alignment horizontal="center" vertical="center"/>
    </xf>
    <xf numFmtId="0" fontId="202" fillId="55" borderId="70" xfId="0" applyFont="1" applyFill="1" applyBorder="1" applyAlignment="1">
      <alignment vertical="top" wrapText="1"/>
    </xf>
    <xf numFmtId="177" fontId="68" fillId="42" borderId="71" xfId="0" applyNumberFormat="1" applyFont="1" applyFill="1" applyBorder="1" applyAlignment="1">
      <alignment horizontal="center" vertical="center"/>
    </xf>
    <xf numFmtId="186" fontId="68" fillId="42" borderId="71" xfId="0" applyNumberFormat="1" applyFont="1" applyFill="1" applyBorder="1" applyAlignment="1">
      <alignment horizontal="center" vertical="center"/>
    </xf>
    <xf numFmtId="49" fontId="2" fillId="42" borderId="71" xfId="0" applyNumberFormat="1" applyFont="1" applyFill="1" applyBorder="1" applyAlignment="1">
      <alignment horizontal="left" vertical="center"/>
    </xf>
    <xf numFmtId="0" fontId="12" fillId="42" borderId="86" xfId="0" applyFont="1" applyFill="1" applyBorder="1" applyAlignment="1">
      <alignment horizontal="center" vertical="center"/>
    </xf>
    <xf numFmtId="0" fontId="12" fillId="56" borderId="34" xfId="0" applyFont="1" applyFill="1" applyBorder="1" applyAlignment="1">
      <alignment horizontal="left" vertical="top" wrapText="1"/>
    </xf>
    <xf numFmtId="0" fontId="36" fillId="42" borderId="71" xfId="0" applyFont="1" applyFill="1" applyBorder="1" applyAlignment="1">
      <alignment horizontal="center" vertical="center" wrapText="1"/>
    </xf>
    <xf numFmtId="186" fontId="36" fillId="42" borderId="71" xfId="0" applyNumberFormat="1" applyFont="1" applyFill="1" applyBorder="1" applyAlignment="1">
      <alignment horizontal="center" vertical="center" wrapText="1"/>
    </xf>
    <xf numFmtId="0" fontId="36" fillId="42" borderId="86" xfId="0" applyFont="1" applyFill="1" applyBorder="1" applyAlignment="1">
      <alignment horizontal="center" vertical="center"/>
    </xf>
    <xf numFmtId="0" fontId="2" fillId="42" borderId="70" xfId="0" applyFont="1" applyFill="1" applyBorder="1" applyAlignment="1">
      <alignment horizontal="center" vertical="center" shrinkToFit="1"/>
    </xf>
    <xf numFmtId="0" fontId="2" fillId="42" borderId="71" xfId="0" applyFont="1" applyFill="1" applyBorder="1" applyAlignment="1">
      <alignment horizontal="center" vertical="center" shrinkToFit="1"/>
    </xf>
    <xf numFmtId="0" fontId="12" fillId="42" borderId="71" xfId="0" applyFont="1" applyFill="1" applyBorder="1" applyAlignment="1">
      <alignment horizontal="centerContinuous" vertical="center"/>
    </xf>
    <xf numFmtId="186" fontId="12" fillId="42" borderId="71" xfId="0" applyNumberFormat="1" applyFont="1" applyFill="1" applyBorder="1" applyAlignment="1">
      <alignment horizontal="center" wrapText="1"/>
    </xf>
    <xf numFmtId="0" fontId="12" fillId="42" borderId="86" xfId="0" applyFont="1" applyFill="1" applyBorder="1" applyAlignment="1">
      <alignment horizontal="center"/>
    </xf>
    <xf numFmtId="185" fontId="68" fillId="0" borderId="47" xfId="0" applyNumberFormat="1" applyFont="1" applyBorder="1">
      <alignment vertical="center"/>
    </xf>
    <xf numFmtId="0" fontId="225" fillId="57" borderId="80" xfId="0" applyFont="1" applyFill="1" applyBorder="1" applyAlignment="1">
      <alignment vertical="top" wrapText="1"/>
    </xf>
    <xf numFmtId="49" fontId="2" fillId="0" borderId="34" xfId="0" applyNumberFormat="1" applyFont="1" applyBorder="1" applyAlignment="1">
      <alignment horizontal="center" vertical="center" shrinkToFit="1"/>
    </xf>
    <xf numFmtId="49" fontId="2" fillId="0" borderId="34" xfId="0" applyNumberFormat="1" applyFont="1" applyBorder="1" applyAlignment="1">
      <alignment horizontal="left" vertical="center" wrapText="1" shrinkToFit="1"/>
    </xf>
    <xf numFmtId="0" fontId="2" fillId="0" borderId="34" xfId="0" applyFont="1" applyBorder="1" applyAlignment="1">
      <alignment horizontal="left" vertical="center" wrapText="1"/>
    </xf>
    <xf numFmtId="0" fontId="2" fillId="0" borderId="34" xfId="0" applyFont="1" applyBorder="1" applyAlignment="1">
      <alignment vertical="center" wrapText="1"/>
    </xf>
    <xf numFmtId="0" fontId="32" fillId="35" borderId="34" xfId="0" applyFont="1" applyFill="1" applyBorder="1" applyAlignment="1" applyProtection="1">
      <alignment horizontal="center" vertical="center" wrapText="1"/>
      <protection locked="0"/>
    </xf>
    <xf numFmtId="0" fontId="36" fillId="44" borderId="34" xfId="0" applyFont="1" applyFill="1" applyBorder="1" applyAlignment="1">
      <alignment horizontal="center" vertical="center" wrapText="1"/>
    </xf>
    <xf numFmtId="186" fontId="2" fillId="0" borderId="34" xfId="0" applyNumberFormat="1" applyFont="1" applyBorder="1" applyAlignment="1" applyProtection="1">
      <alignment horizontal="left" vertical="center" wrapText="1"/>
      <protection locked="0"/>
    </xf>
    <xf numFmtId="0" fontId="4" fillId="0" borderId="34" xfId="0" applyFont="1" applyBorder="1" applyAlignment="1">
      <alignment horizontal="center" vertical="center" shrinkToFit="1"/>
    </xf>
    <xf numFmtId="0" fontId="4" fillId="0" borderId="0" xfId="0" applyFont="1" applyAlignment="1">
      <alignment horizontal="center" vertical="center"/>
    </xf>
    <xf numFmtId="0" fontId="36" fillId="0" borderId="192" xfId="0" applyFont="1" applyBorder="1" applyAlignment="1" applyProtection="1">
      <alignment horizontal="center" vertical="center" wrapText="1"/>
      <protection locked="0"/>
    </xf>
    <xf numFmtId="0" fontId="36" fillId="0" borderId="193" xfId="0" applyFont="1" applyBorder="1" applyAlignment="1" applyProtection="1">
      <alignment horizontal="center" vertical="center" wrapText="1"/>
      <protection locked="0"/>
    </xf>
    <xf numFmtId="0" fontId="36" fillId="0" borderId="98" xfId="0" applyFont="1" applyBorder="1" applyAlignment="1" applyProtection="1">
      <alignment horizontal="center" vertical="center" wrapText="1"/>
      <protection locked="0"/>
    </xf>
    <xf numFmtId="186" fontId="2" fillId="0" borderId="190" xfId="0" applyNumberFormat="1" applyFont="1" applyBorder="1" applyAlignment="1" applyProtection="1">
      <alignment horizontal="left" vertical="center" wrapText="1"/>
      <protection locked="0"/>
    </xf>
    <xf numFmtId="186" fontId="36" fillId="0" borderId="98" xfId="0" applyNumberFormat="1" applyFont="1" applyBorder="1" applyAlignment="1" applyProtection="1">
      <alignment horizontal="center" vertical="center" wrapText="1"/>
      <protection locked="0"/>
    </xf>
    <xf numFmtId="186" fontId="36" fillId="0" borderId="82" xfId="0" applyNumberFormat="1" applyFont="1" applyBorder="1" applyAlignment="1">
      <alignment horizontal="center" vertical="center"/>
    </xf>
    <xf numFmtId="0" fontId="2" fillId="0" borderId="91" xfId="0" applyFont="1" applyBorder="1" applyAlignment="1">
      <alignment vertical="center" shrinkToFit="1"/>
    </xf>
    <xf numFmtId="0" fontId="2" fillId="0" borderId="12" xfId="0" applyFont="1" applyBorder="1" applyAlignment="1">
      <alignment vertical="center" shrinkToFit="1"/>
    </xf>
    <xf numFmtId="185" fontId="0" fillId="0" borderId="12" xfId="0" applyNumberFormat="1" applyBorder="1" applyProtection="1">
      <alignment vertical="center"/>
      <protection locked="0"/>
    </xf>
    <xf numFmtId="0" fontId="0" fillId="0" borderId="194" xfId="0" applyBorder="1" applyAlignment="1">
      <alignment horizontal="center" vertical="center"/>
    </xf>
    <xf numFmtId="0" fontId="198" fillId="0" borderId="90" xfId="0" applyFont="1" applyBorder="1" applyAlignment="1" applyProtection="1">
      <alignment horizontal="center" vertical="center" shrinkToFit="1"/>
      <protection locked="0"/>
    </xf>
    <xf numFmtId="177" fontId="68" fillId="0" borderId="98" xfId="0" applyNumberFormat="1" applyFont="1" applyBorder="1" applyAlignment="1">
      <alignment horizontal="center" vertical="top"/>
    </xf>
    <xf numFmtId="186" fontId="68" fillId="0" borderId="195" xfId="0" applyNumberFormat="1" applyFont="1" applyBorder="1" applyAlignment="1">
      <alignment horizontal="center" vertical="top"/>
    </xf>
    <xf numFmtId="192" fontId="68" fillId="0" borderId="108" xfId="0" applyNumberFormat="1" applyFont="1" applyBorder="1" applyAlignment="1">
      <alignment horizontal="right" vertical="top"/>
    </xf>
    <xf numFmtId="186" fontId="68" fillId="0" borderId="196" xfId="0" applyNumberFormat="1" applyFont="1" applyBorder="1" applyAlignment="1">
      <alignment horizontal="center" vertical="top"/>
    </xf>
    <xf numFmtId="0" fontId="202" fillId="57" borderId="80" xfId="0" applyFont="1" applyFill="1" applyBorder="1" applyAlignment="1">
      <alignment vertical="top" wrapText="1"/>
    </xf>
    <xf numFmtId="186" fontId="180" fillId="0" borderId="34" xfId="0" applyNumberFormat="1" applyFont="1" applyBorder="1" applyAlignment="1" applyProtection="1">
      <alignment horizontal="left" vertical="center" wrapText="1"/>
      <protection locked="0"/>
    </xf>
    <xf numFmtId="0" fontId="199" fillId="0" borderId="197" xfId="0" applyFont="1" applyBorder="1" applyAlignment="1" applyProtection="1">
      <alignment horizontal="center" vertical="center" wrapText="1"/>
      <protection locked="0"/>
    </xf>
    <xf numFmtId="0" fontId="199" fillId="0" borderId="198" xfId="0" applyFont="1" applyBorder="1" applyAlignment="1" applyProtection="1">
      <alignment horizontal="center" vertical="center" wrapText="1"/>
      <protection locked="0"/>
    </xf>
    <xf numFmtId="0" fontId="199" fillId="0" borderId="199" xfId="0" applyFont="1" applyBorder="1" applyAlignment="1" applyProtection="1">
      <alignment horizontal="center" vertical="center" wrapText="1"/>
      <protection locked="0"/>
    </xf>
    <xf numFmtId="186" fontId="180" fillId="0" borderId="200" xfId="0" applyNumberFormat="1" applyFont="1" applyBorder="1" applyAlignment="1" applyProtection="1">
      <alignment horizontal="left" vertical="center" wrapText="1"/>
      <protection locked="0"/>
    </xf>
    <xf numFmtId="186" fontId="199" fillId="0" borderId="199" xfId="0" applyNumberFormat="1" applyFont="1" applyBorder="1" applyAlignment="1" applyProtection="1">
      <alignment horizontal="center" vertical="center" wrapText="1"/>
      <protection locked="0"/>
    </xf>
    <xf numFmtId="186" fontId="199" fillId="0" borderId="201" xfId="0" applyNumberFormat="1" applyFont="1" applyBorder="1" applyAlignment="1">
      <alignment horizontal="center" vertical="center" wrapText="1"/>
    </xf>
    <xf numFmtId="0" fontId="198" fillId="0" borderId="0" xfId="0" applyFont="1">
      <alignment vertical="center"/>
    </xf>
    <xf numFmtId="0" fontId="180" fillId="0" borderId="91" xfId="0" applyFont="1" applyBorder="1" applyAlignment="1">
      <alignment vertical="center" shrinkToFit="1"/>
    </xf>
    <xf numFmtId="0" fontId="180" fillId="0" borderId="12" xfId="0" applyFont="1" applyBorder="1" applyAlignment="1">
      <alignment vertical="center" shrinkToFit="1"/>
    </xf>
    <xf numFmtId="185" fontId="198" fillId="0" borderId="12" xfId="0" applyNumberFormat="1" applyFont="1" applyBorder="1" applyProtection="1">
      <alignment vertical="center"/>
      <protection locked="0"/>
    </xf>
    <xf numFmtId="0" fontId="198" fillId="0" borderId="202" xfId="0" applyFont="1" applyBorder="1" applyAlignment="1" applyProtection="1">
      <alignment horizontal="center" vertical="center" shrinkToFit="1"/>
      <protection locked="0"/>
    </xf>
    <xf numFmtId="49" fontId="68" fillId="0" borderId="0" xfId="0" applyNumberFormat="1" applyFont="1" applyAlignment="1">
      <alignment horizontal="center" vertical="top" shrinkToFit="1"/>
    </xf>
    <xf numFmtId="192" fontId="68" fillId="0" borderId="98" xfId="0" applyNumberFormat="1" applyFont="1" applyBorder="1" applyAlignment="1">
      <alignment horizontal="right" vertical="top"/>
    </xf>
    <xf numFmtId="0" fontId="180" fillId="57" borderId="80" xfId="0" applyFont="1" applyFill="1" applyBorder="1" applyAlignment="1">
      <alignment vertical="top" wrapText="1"/>
    </xf>
    <xf numFmtId="0" fontId="4" fillId="0" borderId="34" xfId="0" applyFont="1" applyBorder="1" applyAlignment="1">
      <alignment horizontal="center" vertical="center"/>
    </xf>
    <xf numFmtId="0" fontId="36" fillId="44" borderId="203" xfId="0" applyFont="1" applyFill="1" applyBorder="1" applyAlignment="1">
      <alignment horizontal="center" vertical="center" wrapText="1"/>
    </xf>
    <xf numFmtId="0" fontId="36" fillId="44" borderId="204" xfId="0" applyFont="1" applyFill="1" applyBorder="1" applyAlignment="1">
      <alignment horizontal="center" vertical="center" wrapText="1"/>
    </xf>
    <xf numFmtId="0" fontId="36" fillId="44" borderId="205" xfId="0" applyFont="1" applyFill="1" applyBorder="1" applyAlignment="1">
      <alignment horizontal="center" vertical="center" wrapText="1"/>
    </xf>
    <xf numFmtId="186" fontId="2" fillId="0" borderId="204" xfId="0" applyNumberFormat="1" applyFont="1" applyBorder="1" applyAlignment="1" applyProtection="1">
      <alignment horizontal="left" vertical="center" wrapText="1"/>
      <protection locked="0"/>
    </xf>
    <xf numFmtId="186" fontId="36" fillId="0" borderId="17" xfId="0" applyNumberFormat="1" applyFont="1" applyBorder="1" applyAlignment="1" applyProtection="1">
      <alignment horizontal="center" vertical="center" wrapText="1"/>
      <protection locked="0"/>
    </xf>
    <xf numFmtId="186" fontId="36" fillId="0" borderId="183" xfId="0" applyNumberFormat="1" applyFont="1" applyBorder="1" applyAlignment="1">
      <alignment horizontal="center" vertical="center"/>
    </xf>
    <xf numFmtId="0" fontId="2" fillId="44" borderId="206" xfId="0" applyFont="1" applyFill="1" applyBorder="1" applyAlignment="1">
      <alignment vertical="center" shrinkToFit="1"/>
    </xf>
    <xf numFmtId="0" fontId="2" fillId="44" borderId="207" xfId="0" applyFont="1" applyFill="1" applyBorder="1" applyAlignment="1">
      <alignment vertical="center" shrinkToFit="1"/>
    </xf>
    <xf numFmtId="185" fontId="0" fillId="44" borderId="208" xfId="0" applyNumberFormat="1" applyFill="1" applyBorder="1">
      <alignment vertical="center"/>
    </xf>
    <xf numFmtId="0" fontId="0" fillId="0" borderId="209" xfId="0" applyBorder="1" applyAlignment="1">
      <alignment horizontal="center" vertical="center"/>
    </xf>
    <xf numFmtId="0" fontId="198" fillId="42" borderId="45" xfId="0" applyFont="1" applyFill="1" applyBorder="1" applyAlignment="1" applyProtection="1">
      <alignment horizontal="center" vertical="center" shrinkToFit="1"/>
      <protection locked="0"/>
    </xf>
    <xf numFmtId="0" fontId="180" fillId="57" borderId="68" xfId="0" applyFont="1" applyFill="1" applyBorder="1" applyAlignment="1">
      <alignment vertical="top" wrapText="1"/>
    </xf>
    <xf numFmtId="0" fontId="199" fillId="0" borderId="189" xfId="0" applyFont="1" applyBorder="1" applyAlignment="1" applyProtection="1">
      <alignment horizontal="center" vertical="center" wrapText="1"/>
      <protection locked="0"/>
    </xf>
    <xf numFmtId="0" fontId="199" fillId="0" borderId="190" xfId="0" applyFont="1" applyBorder="1" applyAlignment="1" applyProtection="1">
      <alignment horizontal="center" vertical="center" wrapText="1"/>
      <protection locked="0"/>
    </xf>
    <xf numFmtId="0" fontId="199" fillId="0" borderId="96" xfId="0" applyFont="1" applyBorder="1" applyAlignment="1" applyProtection="1">
      <alignment horizontal="center" vertical="center" wrapText="1"/>
      <protection locked="0"/>
    </xf>
    <xf numFmtId="0" fontId="36" fillId="44" borderId="206" xfId="0" applyFont="1" applyFill="1" applyBorder="1" applyAlignment="1">
      <alignment horizontal="center" vertical="center" wrapText="1"/>
    </xf>
    <xf numFmtId="0" fontId="36" fillId="44" borderId="207" xfId="0" applyFont="1" applyFill="1" applyBorder="1" applyAlignment="1">
      <alignment horizontal="center" vertical="center" wrapText="1"/>
    </xf>
    <xf numFmtId="186" fontId="36" fillId="0" borderId="210" xfId="0" applyNumberFormat="1" applyFont="1" applyBorder="1" applyAlignment="1" applyProtection="1">
      <alignment horizontal="center" vertical="center" wrapText="1"/>
      <protection locked="0"/>
    </xf>
    <xf numFmtId="185" fontId="0" fillId="44" borderId="207" xfId="0" applyNumberFormat="1" applyFill="1" applyBorder="1">
      <alignment vertical="center"/>
    </xf>
    <xf numFmtId="0" fontId="198" fillId="0" borderId="47" xfId="0" applyFont="1" applyBorder="1" applyAlignment="1">
      <alignment horizontal="center" vertical="center"/>
    </xf>
    <xf numFmtId="0" fontId="36" fillId="44" borderId="197" xfId="0" applyFont="1" applyFill="1" applyBorder="1" applyAlignment="1">
      <alignment horizontal="center" vertical="center" wrapText="1"/>
    </xf>
    <xf numFmtId="0" fontId="36" fillId="44" borderId="198" xfId="0" applyFont="1" applyFill="1" applyBorder="1" applyAlignment="1">
      <alignment horizontal="center" vertical="center" wrapText="1"/>
    </xf>
    <xf numFmtId="0" fontId="36" fillId="44" borderId="199" xfId="0" applyFont="1" applyFill="1" applyBorder="1" applyAlignment="1">
      <alignment horizontal="center" vertical="center" wrapText="1"/>
    </xf>
    <xf numFmtId="186" fontId="2" fillId="0" borderId="198" xfId="0" applyNumberFormat="1" applyFont="1" applyBorder="1" applyAlignment="1" applyProtection="1">
      <alignment horizontal="left" vertical="center" wrapText="1"/>
      <protection locked="0"/>
    </xf>
    <xf numFmtId="186" fontId="36" fillId="0" borderId="126" xfId="0" applyNumberFormat="1" applyFont="1" applyBorder="1" applyAlignment="1" applyProtection="1">
      <alignment horizontal="center" vertical="center" wrapText="1"/>
      <protection locked="0"/>
    </xf>
    <xf numFmtId="186" fontId="36" fillId="0" borderId="182" xfId="0" applyNumberFormat="1" applyFont="1" applyBorder="1" applyAlignment="1">
      <alignment horizontal="center" vertical="center"/>
    </xf>
    <xf numFmtId="0" fontId="2" fillId="44" borderId="211" xfId="0" applyFont="1" applyFill="1" applyBorder="1" applyAlignment="1">
      <alignment vertical="center" shrinkToFit="1"/>
    </xf>
    <xf numFmtId="0" fontId="2" fillId="44" borderId="212" xfId="0" applyFont="1" applyFill="1" applyBorder="1" applyAlignment="1">
      <alignment vertical="center" shrinkToFit="1"/>
    </xf>
    <xf numFmtId="185" fontId="0" fillId="44" borderId="213" xfId="0" applyNumberFormat="1" applyFill="1" applyBorder="1">
      <alignment vertical="center"/>
    </xf>
    <xf numFmtId="0" fontId="0" fillId="0" borderId="214" xfId="0" applyBorder="1" applyAlignment="1">
      <alignment horizontal="center" vertical="center"/>
    </xf>
    <xf numFmtId="0" fontId="198" fillId="42" borderId="215" xfId="0" applyFont="1" applyFill="1" applyBorder="1" applyAlignment="1" applyProtection="1">
      <alignment horizontal="center" vertical="center" shrinkToFit="1"/>
      <protection locked="0"/>
    </xf>
    <xf numFmtId="177" fontId="229" fillId="0" borderId="98" xfId="0" applyNumberFormat="1" applyFont="1" applyBorder="1" applyAlignment="1">
      <alignment horizontal="center" vertical="top"/>
    </xf>
    <xf numFmtId="186" fontId="229" fillId="0" borderId="195" xfId="0" applyNumberFormat="1" applyFont="1" applyBorder="1" applyAlignment="1">
      <alignment horizontal="center" vertical="top"/>
    </xf>
    <xf numFmtId="192" fontId="229" fillId="0" borderId="96" xfId="0" applyNumberFormat="1" applyFont="1" applyBorder="1" applyAlignment="1">
      <alignment horizontal="right" vertical="top"/>
    </xf>
    <xf numFmtId="186" fontId="229" fillId="0" borderId="216" xfId="0" applyNumberFormat="1" applyFont="1" applyBorder="1" applyAlignment="1">
      <alignment horizontal="center" vertical="top"/>
    </xf>
    <xf numFmtId="0" fontId="36" fillId="44" borderId="217" xfId="0" applyFont="1" applyFill="1" applyBorder="1" applyAlignment="1">
      <alignment horizontal="center" vertical="center" wrapText="1"/>
    </xf>
    <xf numFmtId="0" fontId="36" fillId="44" borderId="218" xfId="0" applyFont="1" applyFill="1" applyBorder="1" applyAlignment="1">
      <alignment horizontal="center" vertical="center" wrapText="1"/>
    </xf>
    <xf numFmtId="186" fontId="36" fillId="0" borderId="219" xfId="0" applyNumberFormat="1" applyFont="1" applyBorder="1" applyAlignment="1" applyProtection="1">
      <alignment horizontal="center" vertical="center" wrapText="1"/>
      <protection locked="0"/>
    </xf>
    <xf numFmtId="0" fontId="2" fillId="44" borderId="217" xfId="0" applyFont="1" applyFill="1" applyBorder="1" applyAlignment="1">
      <alignment vertical="center" shrinkToFit="1"/>
    </xf>
    <xf numFmtId="0" fontId="2" fillId="44" borderId="218" xfId="0" applyFont="1" applyFill="1" applyBorder="1" applyAlignment="1">
      <alignment vertical="center" shrinkToFit="1"/>
    </xf>
    <xf numFmtId="185" fontId="0" fillId="44" borderId="218" xfId="0" applyNumberFormat="1" applyFill="1" applyBorder="1">
      <alignment vertical="center"/>
    </xf>
    <xf numFmtId="0" fontId="0" fillId="0" borderId="220" xfId="0" applyBorder="1" applyAlignment="1">
      <alignment horizontal="center" vertical="center"/>
    </xf>
    <xf numFmtId="0" fontId="198" fillId="42" borderId="86" xfId="0" applyFont="1" applyFill="1" applyBorder="1" applyAlignment="1" applyProtection="1">
      <alignment horizontal="center" vertical="center" shrinkToFit="1"/>
      <protection locked="0"/>
    </xf>
    <xf numFmtId="49" fontId="68" fillId="0" borderId="71" xfId="0" applyNumberFormat="1" applyFont="1" applyBorder="1" applyAlignment="1">
      <alignment horizontal="center" vertical="center" shrinkToFit="1"/>
    </xf>
    <xf numFmtId="192" fontId="68" fillId="0" borderId="221" xfId="0" applyNumberFormat="1" applyFont="1" applyBorder="1" applyAlignment="1">
      <alignment horizontal="right" vertical="center"/>
    </xf>
    <xf numFmtId="186" fontId="68" fillId="0" borderId="219" xfId="0" applyNumberFormat="1" applyFont="1" applyBorder="1" applyAlignment="1">
      <alignment horizontal="center" vertical="center"/>
    </xf>
    <xf numFmtId="0" fontId="36" fillId="44" borderId="187" xfId="0" applyFont="1" applyFill="1" applyBorder="1" applyAlignment="1">
      <alignment horizontal="center" vertical="center" wrapText="1"/>
    </xf>
    <xf numFmtId="0" fontId="36" fillId="44" borderId="188" xfId="0" applyFont="1" applyFill="1" applyBorder="1" applyAlignment="1">
      <alignment horizontal="center" vertical="center" wrapText="1"/>
    </xf>
    <xf numFmtId="186" fontId="2" fillId="0" borderId="193" xfId="0" applyNumberFormat="1" applyFont="1" applyBorder="1" applyAlignment="1" applyProtection="1">
      <alignment horizontal="left" vertical="center" wrapText="1"/>
      <protection locked="0"/>
    </xf>
    <xf numFmtId="186" fontId="36" fillId="0" borderId="108" xfId="0" applyNumberFormat="1" applyFont="1" applyBorder="1" applyAlignment="1" applyProtection="1">
      <alignment horizontal="center" vertical="center" wrapText="1"/>
      <protection locked="0"/>
    </xf>
    <xf numFmtId="186" fontId="36" fillId="0" borderId="80" xfId="0" applyNumberFormat="1" applyFont="1" applyBorder="1" applyAlignment="1">
      <alignment horizontal="center" vertical="center"/>
    </xf>
    <xf numFmtId="0" fontId="0" fillId="0" borderId="222" xfId="0" applyBorder="1" applyAlignment="1">
      <alignment horizontal="center" vertical="center"/>
    </xf>
    <xf numFmtId="49" fontId="68" fillId="0" borderId="35" xfId="0" applyNumberFormat="1" applyFont="1" applyBorder="1" applyAlignment="1">
      <alignment horizontal="center" vertical="center" shrinkToFit="1"/>
    </xf>
    <xf numFmtId="192" fontId="68" fillId="0" borderId="108" xfId="0" applyNumberFormat="1" applyFont="1" applyBorder="1" applyAlignment="1">
      <alignment horizontal="right" vertical="center"/>
    </xf>
    <xf numFmtId="186" fontId="68" fillId="0" borderId="196" xfId="0" applyNumberFormat="1" applyFont="1" applyBorder="1" applyAlignment="1">
      <alignment horizontal="center" vertical="center"/>
    </xf>
    <xf numFmtId="0" fontId="36" fillId="0" borderId="206" xfId="0" applyFont="1" applyBorder="1" applyAlignment="1" applyProtection="1">
      <alignment horizontal="center" vertical="center" wrapText="1"/>
      <protection locked="0"/>
    </xf>
    <xf numFmtId="0" fontId="36" fillId="0" borderId="207" xfId="0" applyFont="1" applyBorder="1" applyAlignment="1" applyProtection="1">
      <alignment horizontal="center" vertical="center" wrapText="1"/>
      <protection locked="0"/>
    </xf>
    <xf numFmtId="186" fontId="2" fillId="0" borderId="207" xfId="0" applyNumberFormat="1" applyFont="1" applyBorder="1" applyAlignment="1" applyProtection="1">
      <alignment horizontal="left" vertical="center" wrapText="1"/>
      <protection locked="0"/>
    </xf>
    <xf numFmtId="186" fontId="36" fillId="0" borderId="208" xfId="0" applyNumberFormat="1" applyFont="1" applyBorder="1" applyAlignment="1" applyProtection="1">
      <alignment horizontal="center" vertical="center" wrapText="1"/>
      <protection locked="0"/>
    </xf>
    <xf numFmtId="186" fontId="36" fillId="0" borderId="223" xfId="0" applyNumberFormat="1" applyFont="1" applyBorder="1" applyAlignment="1">
      <alignment horizontal="center" vertical="center" wrapText="1"/>
    </xf>
    <xf numFmtId="0" fontId="2" fillId="0" borderId="68" xfId="0" applyFont="1" applyBorder="1" applyAlignment="1">
      <alignment vertical="center" shrinkToFit="1"/>
    </xf>
    <xf numFmtId="185" fontId="0" fillId="0" borderId="0" xfId="0" applyNumberFormat="1" applyProtection="1">
      <alignment vertical="center"/>
      <protection locked="0"/>
    </xf>
    <xf numFmtId="0" fontId="0" fillId="0" borderId="224" xfId="0" applyBorder="1" applyAlignment="1">
      <alignment horizontal="center" vertical="center"/>
    </xf>
    <xf numFmtId="0" fontId="198" fillId="0" borderId="210" xfId="0" applyFont="1" applyBorder="1" applyAlignment="1" applyProtection="1">
      <alignment horizontal="center" vertical="center" shrinkToFit="1"/>
      <protection locked="0"/>
    </xf>
    <xf numFmtId="0" fontId="36" fillId="44" borderId="221" xfId="0" applyFont="1" applyFill="1" applyBorder="1" applyAlignment="1">
      <alignment horizontal="center" vertical="center" wrapText="1"/>
    </xf>
    <xf numFmtId="186" fontId="2" fillId="0" borderId="218" xfId="0" applyNumberFormat="1" applyFont="1" applyBorder="1" applyAlignment="1" applyProtection="1">
      <alignment horizontal="left" vertical="center" wrapText="1"/>
      <protection locked="0"/>
    </xf>
    <xf numFmtId="186" fontId="36" fillId="0" borderId="71" xfId="0" applyNumberFormat="1" applyFont="1" applyBorder="1" applyAlignment="1" applyProtection="1">
      <alignment horizontal="center" vertical="center" wrapText="1"/>
      <protection locked="0"/>
    </xf>
    <xf numFmtId="186" fontId="36" fillId="0" borderId="34" xfId="0" applyNumberFormat="1" applyFont="1" applyBorder="1" applyAlignment="1">
      <alignment horizontal="center" vertical="center"/>
    </xf>
    <xf numFmtId="0" fontId="36" fillId="44" borderId="211" xfId="0" applyFont="1" applyFill="1" applyBorder="1" applyAlignment="1">
      <alignment horizontal="center" vertical="center" wrapText="1"/>
    </xf>
    <xf numFmtId="0" fontId="36" fillId="44" borderId="212" xfId="0" applyFont="1" applyFill="1" applyBorder="1" applyAlignment="1">
      <alignment horizontal="center" vertical="center" wrapText="1"/>
    </xf>
    <xf numFmtId="0" fontId="36" fillId="44" borderId="213" xfId="0" applyFont="1" applyFill="1" applyBorder="1" applyAlignment="1">
      <alignment horizontal="center" vertical="center" wrapText="1"/>
    </xf>
    <xf numFmtId="186" fontId="2" fillId="0" borderId="212" xfId="0" applyNumberFormat="1" applyFont="1" applyBorder="1" applyAlignment="1" applyProtection="1">
      <alignment horizontal="left" vertical="center" wrapText="1"/>
      <protection locked="0"/>
    </xf>
    <xf numFmtId="186" fontId="36" fillId="0" borderId="225" xfId="0" applyNumberFormat="1" applyFont="1" applyBorder="1" applyAlignment="1" applyProtection="1">
      <alignment horizontal="center" vertical="center" wrapText="1"/>
      <protection locked="0"/>
    </xf>
    <xf numFmtId="186" fontId="36" fillId="0" borderId="150" xfId="0" applyNumberFormat="1" applyFont="1" applyBorder="1" applyAlignment="1">
      <alignment horizontal="center" vertical="center"/>
    </xf>
    <xf numFmtId="0" fontId="199" fillId="44" borderId="197" xfId="0" applyFont="1" applyFill="1" applyBorder="1" applyAlignment="1">
      <alignment horizontal="center" vertical="center" wrapText="1"/>
    </xf>
    <xf numFmtId="0" fontId="199" fillId="44" borderId="198" xfId="0" applyFont="1" applyFill="1" applyBorder="1" applyAlignment="1">
      <alignment horizontal="center" vertical="center" wrapText="1"/>
    </xf>
    <xf numFmtId="0" fontId="199" fillId="44" borderId="199" xfId="0" applyFont="1" applyFill="1" applyBorder="1" applyAlignment="1">
      <alignment horizontal="center" vertical="center" wrapText="1"/>
    </xf>
    <xf numFmtId="0" fontId="2" fillId="44" borderId="197" xfId="0" applyFont="1" applyFill="1" applyBorder="1" applyAlignment="1">
      <alignment vertical="center" shrinkToFit="1"/>
    </xf>
    <xf numFmtId="0" fontId="2" fillId="44" borderId="198" xfId="0" applyFont="1" applyFill="1" applyBorder="1" applyAlignment="1">
      <alignment vertical="center" shrinkToFit="1"/>
    </xf>
    <xf numFmtId="185" fontId="0" fillId="44" borderId="198" xfId="0" applyNumberFormat="1" applyFill="1" applyBorder="1">
      <alignment vertical="center"/>
    </xf>
    <xf numFmtId="0" fontId="0" fillId="0" borderId="226" xfId="0" applyBorder="1" applyAlignment="1">
      <alignment horizontal="center" vertical="center"/>
    </xf>
    <xf numFmtId="0" fontId="2" fillId="44" borderId="203" xfId="0" applyFont="1" applyFill="1" applyBorder="1" applyAlignment="1">
      <alignment vertical="center" shrinkToFit="1"/>
    </xf>
    <xf numFmtId="0" fontId="2" fillId="44" borderId="204" xfId="0" applyFont="1" applyFill="1" applyBorder="1" applyAlignment="1">
      <alignment vertical="center" shrinkToFit="1"/>
    </xf>
    <xf numFmtId="185" fontId="0" fillId="44" borderId="204" xfId="0" applyNumberFormat="1" applyFill="1" applyBorder="1">
      <alignment vertical="center"/>
    </xf>
    <xf numFmtId="0" fontId="198" fillId="42" borderId="47" xfId="0" applyFont="1" applyFill="1" applyBorder="1" applyAlignment="1" applyProtection="1">
      <alignment horizontal="center" vertical="center" shrinkToFit="1"/>
      <protection locked="0"/>
    </xf>
    <xf numFmtId="185" fontId="0" fillId="44" borderId="212" xfId="0" applyNumberFormat="1" applyFill="1" applyBorder="1">
      <alignment vertical="center"/>
    </xf>
    <xf numFmtId="0" fontId="199" fillId="44" borderId="211" xfId="0" applyFont="1" applyFill="1" applyBorder="1" applyAlignment="1">
      <alignment horizontal="center" vertical="center" wrapText="1"/>
    </xf>
    <xf numFmtId="0" fontId="199" fillId="44" borderId="212" xfId="0" applyFont="1" applyFill="1" applyBorder="1" applyAlignment="1">
      <alignment horizontal="center" vertical="center" wrapText="1"/>
    </xf>
    <xf numFmtId="0" fontId="199" fillId="44" borderId="213" xfId="0" applyFont="1" applyFill="1" applyBorder="1" applyAlignment="1">
      <alignment horizontal="center" vertical="center" wrapText="1"/>
    </xf>
    <xf numFmtId="49" fontId="68" fillId="0" borderId="35" xfId="0" applyNumberFormat="1" applyFont="1" applyBorder="1" applyAlignment="1">
      <alignment horizontal="center" vertical="top" shrinkToFit="1"/>
    </xf>
    <xf numFmtId="0" fontId="0" fillId="0" borderId="228" xfId="0" applyBorder="1" applyAlignment="1">
      <alignment horizontal="center" vertical="center"/>
    </xf>
    <xf numFmtId="0" fontId="36" fillId="0" borderId="229" xfId="0" applyFont="1" applyBorder="1" applyAlignment="1" applyProtection="1">
      <alignment horizontal="center" vertical="center" wrapText="1"/>
      <protection locked="0"/>
    </xf>
    <xf numFmtId="0" fontId="36" fillId="0" borderId="218" xfId="0" applyFont="1" applyBorder="1" applyAlignment="1" applyProtection="1">
      <alignment horizontal="center" vertical="center" wrapText="1"/>
      <protection locked="0"/>
    </xf>
    <xf numFmtId="0" fontId="36" fillId="0" borderId="230" xfId="0" applyFont="1" applyBorder="1" applyAlignment="1" applyProtection="1">
      <alignment horizontal="center" vertical="center" wrapText="1"/>
      <protection locked="0"/>
    </xf>
    <xf numFmtId="186" fontId="2" fillId="0" borderId="200" xfId="0" applyNumberFormat="1" applyFont="1" applyBorder="1" applyAlignment="1" applyProtection="1">
      <alignment horizontal="left" vertical="center" wrapText="1"/>
      <protection locked="0"/>
    </xf>
    <xf numFmtId="186" fontId="36" fillId="0" borderId="191" xfId="0" applyNumberFormat="1" applyFont="1" applyBorder="1" applyAlignment="1" applyProtection="1">
      <alignment horizontal="center" vertical="center" wrapText="1"/>
      <protection locked="0"/>
    </xf>
    <xf numFmtId="0" fontId="36" fillId="0" borderId="201" xfId="0" applyFont="1" applyBorder="1" applyAlignment="1">
      <alignment horizontal="center" vertical="center" wrapText="1"/>
    </xf>
    <xf numFmtId="0" fontId="2" fillId="0" borderId="70" xfId="0" applyFont="1" applyBorder="1" applyAlignment="1">
      <alignment vertical="center" shrinkToFit="1"/>
    </xf>
    <xf numFmtId="0" fontId="2" fillId="0" borderId="71" xfId="0" applyFont="1" applyBorder="1" applyAlignment="1">
      <alignment vertical="center" shrinkToFit="1"/>
    </xf>
    <xf numFmtId="185" fontId="0" fillId="0" borderId="71" xfId="0" applyNumberFormat="1" applyBorder="1" applyProtection="1">
      <alignment vertical="center"/>
      <protection locked="0"/>
    </xf>
    <xf numFmtId="0" fontId="198" fillId="0" borderId="86" xfId="0" applyFont="1" applyBorder="1" applyAlignment="1" applyProtection="1">
      <alignment horizontal="center" vertical="center" shrinkToFit="1"/>
      <protection locked="0"/>
    </xf>
    <xf numFmtId="0" fontId="36" fillId="44" borderId="208" xfId="0" applyFont="1" applyFill="1" applyBorder="1" applyAlignment="1">
      <alignment horizontal="center" vertical="center" wrapText="1"/>
    </xf>
    <xf numFmtId="186" fontId="36" fillId="0" borderId="231" xfId="0" applyNumberFormat="1" applyFont="1" applyBorder="1" applyAlignment="1" applyProtection="1">
      <alignment horizontal="center" vertical="center" wrapText="1"/>
      <protection locked="0"/>
    </xf>
    <xf numFmtId="186" fontId="36" fillId="0" borderId="223" xfId="0" applyNumberFormat="1" applyFont="1" applyBorder="1" applyAlignment="1">
      <alignment horizontal="center" vertical="center"/>
    </xf>
    <xf numFmtId="49" fontId="68" fillId="0" borderId="12" xfId="0" applyNumberFormat="1" applyFont="1" applyBorder="1" applyAlignment="1">
      <alignment horizontal="center" vertical="top" shrinkToFit="1"/>
    </xf>
    <xf numFmtId="192" fontId="68" fillId="0" borderId="96" xfId="0" applyNumberFormat="1" applyFont="1" applyBorder="1" applyAlignment="1">
      <alignment horizontal="right" vertical="top"/>
    </xf>
    <xf numFmtId="186" fontId="68" fillId="0" borderId="216" xfId="0" applyNumberFormat="1" applyFont="1" applyBorder="1" applyAlignment="1">
      <alignment horizontal="center" vertical="top"/>
    </xf>
    <xf numFmtId="0" fontId="36" fillId="0" borderId="227" xfId="0" applyFont="1" applyBorder="1" applyAlignment="1" applyProtection="1">
      <alignment horizontal="center" vertical="center" wrapText="1"/>
      <protection locked="0"/>
    </xf>
    <xf numFmtId="0" fontId="36" fillId="0" borderId="188" xfId="0" applyFont="1" applyBorder="1" applyAlignment="1" applyProtection="1">
      <alignment horizontal="center" vertical="center" wrapText="1"/>
      <protection locked="0"/>
    </xf>
    <xf numFmtId="0" fontId="36" fillId="0" borderId="232" xfId="0" applyFont="1" applyBorder="1" applyAlignment="1" applyProtection="1">
      <alignment horizontal="center" vertical="center" wrapText="1"/>
      <protection locked="0"/>
    </xf>
    <xf numFmtId="186" fontId="2" fillId="0" borderId="188" xfId="0" applyNumberFormat="1" applyFont="1" applyBorder="1" applyAlignment="1" applyProtection="1">
      <alignment horizontal="left" vertical="center" wrapText="1"/>
      <protection locked="0"/>
    </xf>
    <xf numFmtId="0" fontId="36" fillId="0" borderId="182" xfId="0" applyFont="1" applyBorder="1" applyAlignment="1">
      <alignment horizontal="center" vertical="center" wrapText="1"/>
    </xf>
    <xf numFmtId="0" fontId="2" fillId="0" borderId="233" xfId="0" applyFont="1" applyBorder="1" applyAlignment="1">
      <alignment vertical="center" shrinkToFit="1"/>
    </xf>
    <xf numFmtId="0" fontId="2" fillId="0" borderId="231" xfId="0" applyFont="1" applyBorder="1" applyAlignment="1">
      <alignment vertical="center" shrinkToFit="1"/>
    </xf>
    <xf numFmtId="185" fontId="0" fillId="0" borderId="231" xfId="0" applyNumberFormat="1" applyBorder="1" applyProtection="1">
      <alignment vertical="center"/>
      <protection locked="0"/>
    </xf>
    <xf numFmtId="0" fontId="198" fillId="0" borderId="234" xfId="0" applyFont="1" applyBorder="1" applyAlignment="1" applyProtection="1">
      <alignment horizontal="center" vertical="center" shrinkToFit="1"/>
      <protection locked="0"/>
    </xf>
    <xf numFmtId="0" fontId="36" fillId="0" borderId="200" xfId="0" applyFont="1" applyBorder="1" applyAlignment="1" applyProtection="1">
      <alignment horizontal="center" vertical="center" wrapText="1"/>
      <protection locked="0"/>
    </xf>
    <xf numFmtId="0" fontId="2" fillId="0" borderId="229" xfId="0" applyFont="1" applyBorder="1" applyAlignment="1">
      <alignment vertical="center" shrinkToFit="1"/>
    </xf>
    <xf numFmtId="0" fontId="2" fillId="0" borderId="235" xfId="0" applyFont="1" applyBorder="1" applyAlignment="1">
      <alignment vertical="center" shrinkToFit="1"/>
    </xf>
    <xf numFmtId="185" fontId="0" fillId="0" borderId="235" xfId="0" applyNumberFormat="1" applyBorder="1" applyProtection="1">
      <alignment vertical="center"/>
      <protection locked="0"/>
    </xf>
    <xf numFmtId="0" fontId="198" fillId="0" borderId="236" xfId="0" applyFont="1" applyBorder="1" applyAlignment="1" applyProtection="1">
      <alignment horizontal="center" vertical="center" shrinkToFit="1"/>
      <protection locked="0"/>
    </xf>
    <xf numFmtId="0" fontId="12" fillId="58" borderId="80" xfId="0" applyFont="1" applyFill="1" applyBorder="1" applyAlignment="1">
      <alignment horizontal="left" vertical="center" wrapText="1"/>
    </xf>
    <xf numFmtId="0" fontId="12" fillId="58" borderId="68" xfId="0" applyFont="1" applyFill="1" applyBorder="1" applyAlignment="1">
      <alignment horizontal="left" vertical="center" wrapText="1"/>
    </xf>
    <xf numFmtId="0" fontId="36" fillId="44" borderId="237" xfId="0" applyFont="1" applyFill="1" applyBorder="1" applyAlignment="1">
      <alignment horizontal="center" vertical="center" wrapText="1"/>
    </xf>
    <xf numFmtId="186" fontId="36" fillId="0" borderId="213" xfId="0" applyNumberFormat="1" applyFont="1" applyBorder="1" applyAlignment="1" applyProtection="1">
      <alignment horizontal="center" vertical="center" wrapText="1"/>
      <protection locked="0"/>
    </xf>
    <xf numFmtId="0" fontId="198" fillId="42" borderId="234" xfId="0" applyFont="1" applyFill="1" applyBorder="1" applyAlignment="1" applyProtection="1">
      <alignment horizontal="center" vertical="center" shrinkToFit="1"/>
      <protection locked="0"/>
    </xf>
    <xf numFmtId="0" fontId="36" fillId="0" borderId="238" xfId="0" applyFont="1" applyBorder="1" applyAlignment="1" applyProtection="1">
      <alignment horizontal="center" vertical="center" wrapText="1"/>
      <protection locked="0"/>
    </xf>
    <xf numFmtId="186" fontId="36" fillId="0" borderId="201" xfId="0" applyNumberFormat="1" applyFont="1" applyBorder="1" applyAlignment="1">
      <alignment horizontal="center" vertical="center"/>
    </xf>
    <xf numFmtId="0" fontId="198" fillId="0" borderId="47" xfId="0" applyFont="1" applyBorder="1" applyAlignment="1" applyProtection="1">
      <alignment horizontal="center" vertical="center" shrinkToFit="1"/>
      <protection locked="0"/>
    </xf>
    <xf numFmtId="0" fontId="36" fillId="0" borderId="233" xfId="0" applyFont="1" applyBorder="1" applyAlignment="1" applyProtection="1">
      <alignment horizontal="center" vertical="center" wrapText="1"/>
      <protection locked="0"/>
    </xf>
    <xf numFmtId="0" fontId="36" fillId="0" borderId="239" xfId="0" applyFont="1" applyBorder="1" applyAlignment="1" applyProtection="1">
      <alignment horizontal="center" vertical="center" wrapText="1"/>
      <protection locked="0"/>
    </xf>
    <xf numFmtId="0" fontId="36" fillId="0" borderId="223" xfId="0" applyFont="1" applyBorder="1" applyAlignment="1">
      <alignment horizontal="center" vertical="center" wrapText="1"/>
    </xf>
    <xf numFmtId="0" fontId="199" fillId="44" borderId="206" xfId="0" applyFont="1" applyFill="1" applyBorder="1" applyAlignment="1">
      <alignment horizontal="center" vertical="center" wrapText="1"/>
    </xf>
    <xf numFmtId="0" fontId="199" fillId="44" borderId="207" xfId="0" applyFont="1" applyFill="1" applyBorder="1" applyAlignment="1">
      <alignment horizontal="center" vertical="center" wrapText="1"/>
    </xf>
    <xf numFmtId="0" fontId="198" fillId="42" borderId="210" xfId="0" applyFont="1" applyFill="1" applyBorder="1" applyAlignment="1" applyProtection="1">
      <alignment horizontal="center" vertical="center" shrinkToFit="1"/>
      <protection locked="0"/>
    </xf>
    <xf numFmtId="177" fontId="68" fillId="0" borderId="108" xfId="0" applyNumberFormat="1" applyFont="1" applyBorder="1" applyAlignment="1">
      <alignment horizontal="center" vertical="top"/>
    </xf>
    <xf numFmtId="0" fontId="36" fillId="0" borderId="197" xfId="0" applyFont="1" applyBorder="1" applyAlignment="1" applyProtection="1">
      <alignment horizontal="center" vertical="center" wrapText="1"/>
      <protection locked="0"/>
    </xf>
    <xf numFmtId="0" fontId="36" fillId="0" borderId="198" xfId="0" applyFont="1" applyBorder="1" applyAlignment="1" applyProtection="1">
      <alignment horizontal="center" vertical="center" wrapText="1"/>
      <protection locked="0"/>
    </xf>
    <xf numFmtId="186" fontId="36" fillId="0" borderId="199" xfId="0" applyNumberFormat="1" applyFont="1" applyBorder="1" applyAlignment="1" applyProtection="1">
      <alignment horizontal="center" vertical="center" wrapText="1"/>
      <protection locked="0"/>
    </xf>
    <xf numFmtId="0" fontId="12" fillId="59" borderId="68" xfId="0" applyFont="1" applyFill="1" applyBorder="1" applyAlignment="1">
      <alignment horizontal="left" vertical="top" wrapText="1"/>
    </xf>
    <xf numFmtId="0" fontId="12" fillId="59" borderId="80" xfId="0" applyFont="1" applyFill="1" applyBorder="1" applyAlignment="1">
      <alignment horizontal="left" vertical="top" wrapText="1"/>
    </xf>
    <xf numFmtId="186" fontId="36" fillId="0" borderId="196" xfId="0" applyNumberFormat="1" applyFont="1" applyBorder="1" applyAlignment="1" applyProtection="1">
      <alignment horizontal="center" vertical="center" wrapText="1"/>
      <protection locked="0"/>
    </xf>
    <xf numFmtId="0" fontId="12" fillId="59" borderId="80" xfId="0" applyFont="1" applyFill="1" applyBorder="1" applyAlignment="1">
      <alignment horizontal="left" vertical="center" wrapText="1"/>
    </xf>
    <xf numFmtId="0" fontId="12" fillId="59" borderId="68" xfId="0" applyFont="1" applyFill="1" applyBorder="1" applyAlignment="1">
      <alignment horizontal="left" vertical="center" wrapText="1"/>
    </xf>
    <xf numFmtId="49" fontId="232" fillId="0" borderId="35" xfId="0" applyNumberFormat="1" applyFont="1" applyBorder="1" applyAlignment="1">
      <alignment horizontal="center" vertical="top" shrinkToFit="1"/>
    </xf>
    <xf numFmtId="0" fontId="12" fillId="59" borderId="82" xfId="0" applyFont="1" applyFill="1" applyBorder="1" applyAlignment="1">
      <alignment horizontal="left" vertical="center" wrapText="1"/>
    </xf>
    <xf numFmtId="186" fontId="36" fillId="0" borderId="202" xfId="0" applyNumberFormat="1" applyFont="1" applyBorder="1" applyAlignment="1" applyProtection="1">
      <alignment horizontal="center" vertical="center" wrapText="1"/>
      <protection locked="0"/>
    </xf>
    <xf numFmtId="49" fontId="232" fillId="0" borderId="12" xfId="0" applyNumberFormat="1" applyFont="1" applyBorder="1" applyAlignment="1">
      <alignment horizontal="center" vertical="top" shrinkToFit="1"/>
    </xf>
    <xf numFmtId="186" fontId="36" fillId="0" borderId="35" xfId="0" applyNumberFormat="1" applyFont="1" applyBorder="1" applyAlignment="1" applyProtection="1">
      <alignment horizontal="center" vertical="center" wrapText="1"/>
      <protection locked="0"/>
    </xf>
    <xf numFmtId="186" fontId="36" fillId="0" borderId="33" xfId="0" applyNumberFormat="1" applyFont="1" applyBorder="1" applyAlignment="1">
      <alignment horizontal="center" vertical="center"/>
    </xf>
    <xf numFmtId="0" fontId="2" fillId="44" borderId="187" xfId="0" applyFont="1" applyFill="1" applyBorder="1" applyAlignment="1">
      <alignment vertical="center" shrinkToFit="1"/>
    </xf>
    <xf numFmtId="0" fontId="2" fillId="44" borderId="188" xfId="0" applyFont="1" applyFill="1" applyBorder="1" applyAlignment="1">
      <alignment vertical="center" shrinkToFit="1"/>
    </xf>
    <xf numFmtId="185" fontId="0" fillId="44" borderId="188" xfId="0" applyNumberFormat="1" applyFill="1" applyBorder="1">
      <alignment vertical="center"/>
    </xf>
    <xf numFmtId="0" fontId="12" fillId="60" borderId="68" xfId="0" applyFont="1" applyFill="1" applyBorder="1" applyAlignment="1">
      <alignment horizontal="left" vertical="top" wrapText="1"/>
    </xf>
    <xf numFmtId="0" fontId="36" fillId="44" borderId="238" xfId="0" applyFont="1" applyFill="1" applyBorder="1" applyAlignment="1">
      <alignment horizontal="center" vertical="center" wrapText="1"/>
    </xf>
    <xf numFmtId="0" fontId="36" fillId="44" borderId="200" xfId="0" applyFont="1" applyFill="1" applyBorder="1" applyAlignment="1">
      <alignment horizontal="center" vertical="center" wrapText="1"/>
    </xf>
    <xf numFmtId="186" fontId="36" fillId="0" borderId="235" xfId="0" applyNumberFormat="1" applyFont="1" applyBorder="1" applyAlignment="1" applyProtection="1">
      <alignment horizontal="center" vertical="center" wrapText="1"/>
      <protection locked="0"/>
    </xf>
    <xf numFmtId="0" fontId="198" fillId="42" borderId="240" xfId="0" applyFont="1" applyFill="1" applyBorder="1" applyAlignment="1" applyProtection="1">
      <alignment horizontal="center" vertical="center" shrinkToFit="1"/>
      <protection locked="0"/>
    </xf>
    <xf numFmtId="0" fontId="12" fillId="60" borderId="80" xfId="0" applyFont="1" applyFill="1" applyBorder="1" applyAlignment="1">
      <alignment horizontal="left" vertical="top" wrapText="1"/>
    </xf>
    <xf numFmtId="0" fontId="12" fillId="60" borderId="80" xfId="0" applyFont="1" applyFill="1" applyBorder="1" applyAlignment="1">
      <alignment horizontal="left" vertical="center" wrapText="1"/>
    </xf>
    <xf numFmtId="0" fontId="36" fillId="44" borderId="192" xfId="0" applyFont="1" applyFill="1" applyBorder="1" applyAlignment="1">
      <alignment horizontal="center" vertical="center" wrapText="1"/>
    </xf>
    <xf numFmtId="0" fontId="36" fillId="44" borderId="193" xfId="0" applyFont="1" applyFill="1" applyBorder="1" applyAlignment="1">
      <alignment horizontal="center" vertical="center" wrapText="1"/>
    </xf>
    <xf numFmtId="186" fontId="36" fillId="0" borderId="0" xfId="0" applyNumberFormat="1" applyFont="1" applyAlignment="1" applyProtection="1">
      <alignment horizontal="center" vertical="center" wrapText="1"/>
      <protection locked="0"/>
    </xf>
    <xf numFmtId="0" fontId="12" fillId="60" borderId="68" xfId="0" applyFont="1" applyFill="1" applyBorder="1" applyAlignment="1">
      <alignment horizontal="left" vertical="center" wrapText="1"/>
    </xf>
    <xf numFmtId="49" fontId="68" fillId="0" borderId="71" xfId="0" applyNumberFormat="1" applyFont="1" applyBorder="1" applyAlignment="1">
      <alignment horizontal="center" vertical="top" shrinkToFit="1"/>
    </xf>
    <xf numFmtId="192" fontId="68" fillId="0" borderId="221" xfId="0" applyNumberFormat="1" applyFont="1" applyBorder="1" applyAlignment="1">
      <alignment horizontal="right" vertical="top"/>
    </xf>
    <xf numFmtId="186" fontId="68" fillId="0" borderId="219" xfId="0" applyNumberFormat="1" applyFont="1" applyBorder="1" applyAlignment="1">
      <alignment horizontal="center" vertical="top"/>
    </xf>
    <xf numFmtId="0" fontId="2" fillId="44" borderId="238" xfId="0" applyFont="1" applyFill="1" applyBorder="1" applyAlignment="1">
      <alignment vertical="center" shrinkToFit="1"/>
    </xf>
    <xf numFmtId="0" fontId="2" fillId="44" borderId="200" xfId="0" applyFont="1" applyFill="1" applyBorder="1" applyAlignment="1">
      <alignment vertical="center" shrinkToFit="1"/>
    </xf>
    <xf numFmtId="185" fontId="0" fillId="44" borderId="200" xfId="0" applyNumberFormat="1" applyFill="1" applyBorder="1">
      <alignment vertical="center"/>
    </xf>
    <xf numFmtId="0" fontId="198" fillId="42" borderId="90" xfId="0" applyFont="1" applyFill="1" applyBorder="1" applyAlignment="1" applyProtection="1">
      <alignment horizontal="center" vertical="center" shrinkToFit="1"/>
      <protection locked="0"/>
    </xf>
    <xf numFmtId="0" fontId="36" fillId="44" borderId="241" xfId="0" applyFont="1" applyFill="1" applyBorder="1" applyAlignment="1">
      <alignment horizontal="center" vertical="center" wrapText="1"/>
    </xf>
    <xf numFmtId="186" fontId="36" fillId="0" borderId="205" xfId="0" applyNumberFormat="1" applyFont="1" applyBorder="1" applyAlignment="1" applyProtection="1">
      <alignment horizontal="center" vertical="center" wrapText="1"/>
      <protection locked="0"/>
    </xf>
    <xf numFmtId="0" fontId="198" fillId="42" borderId="242" xfId="0" applyFont="1" applyFill="1" applyBorder="1" applyAlignment="1" applyProtection="1">
      <alignment horizontal="center" vertical="center" shrinkToFit="1"/>
      <protection locked="0"/>
    </xf>
    <xf numFmtId="0" fontId="36" fillId="44" borderId="49" xfId="0" applyFont="1" applyFill="1" applyBorder="1" applyAlignment="1">
      <alignment horizontal="center" vertical="center" wrapText="1"/>
    </xf>
    <xf numFmtId="0" fontId="36" fillId="44" borderId="232" xfId="0" applyFont="1" applyFill="1" applyBorder="1" applyAlignment="1">
      <alignment horizontal="center" vertical="center" wrapText="1"/>
    </xf>
    <xf numFmtId="0" fontId="198" fillId="42" borderId="236" xfId="0" applyFont="1" applyFill="1" applyBorder="1" applyAlignment="1" applyProtection="1">
      <alignment horizontal="center" vertical="center" shrinkToFit="1"/>
      <protection locked="0"/>
    </xf>
    <xf numFmtId="0" fontId="12" fillId="60" borderId="91" xfId="0" applyFont="1" applyFill="1" applyBorder="1" applyAlignment="1">
      <alignment horizontal="left" vertical="center" wrapText="1"/>
    </xf>
    <xf numFmtId="177" fontId="68" fillId="0" borderId="96" xfId="0" applyNumberFormat="1" applyFont="1" applyBorder="1" applyAlignment="1">
      <alignment horizontal="center" vertical="top"/>
    </xf>
    <xf numFmtId="0" fontId="36" fillId="0" borderId="243" xfId="0" applyFont="1" applyBorder="1" applyAlignment="1" applyProtection="1">
      <alignment horizontal="center" vertical="center" wrapText="1"/>
      <protection locked="0"/>
    </xf>
    <xf numFmtId="0" fontId="36" fillId="0" borderId="212" xfId="0" applyFont="1" applyBorder="1" applyAlignment="1" applyProtection="1">
      <alignment horizontal="center" vertical="center" wrapText="1"/>
      <protection locked="0"/>
    </xf>
    <xf numFmtId="0" fontId="36" fillId="0" borderId="237" xfId="0" applyFont="1" applyBorder="1" applyAlignment="1" applyProtection="1">
      <alignment horizontal="center" vertical="center" wrapText="1"/>
      <protection locked="0"/>
    </xf>
    <xf numFmtId="0" fontId="36" fillId="0" borderId="150" xfId="0" applyFont="1" applyBorder="1" applyAlignment="1">
      <alignment horizontal="center" vertical="center" wrapText="1"/>
    </xf>
    <xf numFmtId="0" fontId="2" fillId="0" borderId="243" xfId="0" applyFont="1" applyBorder="1" applyAlignment="1">
      <alignment vertical="center" shrinkToFit="1"/>
    </xf>
    <xf numFmtId="0" fontId="2" fillId="0" borderId="225" xfId="0" applyFont="1" applyBorder="1" applyAlignment="1">
      <alignment vertical="center" shrinkToFit="1"/>
    </xf>
    <xf numFmtId="185" fontId="0" fillId="0" borderId="225" xfId="0" applyNumberFormat="1" applyBorder="1" applyProtection="1">
      <alignment vertical="center"/>
      <protection locked="0"/>
    </xf>
    <xf numFmtId="0" fontId="198" fillId="0" borderId="242" xfId="0" applyFont="1" applyBorder="1" applyAlignment="1" applyProtection="1">
      <alignment horizontal="center" vertical="center" shrinkToFit="1"/>
      <protection locked="0"/>
    </xf>
    <xf numFmtId="0" fontId="36" fillId="0" borderId="91" xfId="0" applyFont="1" applyBorder="1" applyAlignment="1" applyProtection="1">
      <alignment horizontal="center" vertical="center" wrapText="1"/>
      <protection locked="0"/>
    </xf>
    <xf numFmtId="0" fontId="36" fillId="0" borderId="190" xfId="0" applyFont="1" applyBorder="1" applyAlignment="1" applyProtection="1">
      <alignment horizontal="center" vertical="center" wrapText="1"/>
      <protection locked="0"/>
    </xf>
    <xf numFmtId="0" fontId="36" fillId="0" borderId="66" xfId="0" applyFont="1" applyBorder="1" applyAlignment="1" applyProtection="1">
      <alignment horizontal="center" vertical="center" wrapText="1"/>
      <protection locked="0"/>
    </xf>
    <xf numFmtId="186" fontId="36" fillId="0" borderId="96" xfId="0" applyNumberFormat="1" applyFont="1" applyBorder="1" applyAlignment="1" applyProtection="1">
      <alignment horizontal="center" vertical="center" wrapText="1"/>
      <protection locked="0"/>
    </xf>
    <xf numFmtId="0" fontId="36" fillId="0" borderId="82" xfId="0" applyFont="1" applyBorder="1" applyAlignment="1">
      <alignment horizontal="center" vertical="center" wrapText="1"/>
    </xf>
    <xf numFmtId="186" fontId="36" fillId="0" borderId="221" xfId="0" applyNumberFormat="1" applyFont="1" applyBorder="1" applyAlignment="1" applyProtection="1">
      <alignment horizontal="center" vertical="center" wrapText="1"/>
      <protection locked="0"/>
    </xf>
    <xf numFmtId="186" fontId="175" fillId="0" borderId="200" xfId="0" applyNumberFormat="1" applyFont="1" applyBorder="1" applyAlignment="1" applyProtection="1">
      <alignment horizontal="left" vertical="center" wrapText="1"/>
      <protection locked="0"/>
    </xf>
    <xf numFmtId="0" fontId="36" fillId="44" borderId="244" xfId="0" applyFont="1" applyFill="1" applyBorder="1" applyAlignment="1">
      <alignment horizontal="center" vertical="center" wrapText="1"/>
    </xf>
    <xf numFmtId="0" fontId="36" fillId="44" borderId="239" xfId="0" applyFont="1" applyFill="1" applyBorder="1" applyAlignment="1">
      <alignment horizontal="center" vertical="center" wrapText="1"/>
    </xf>
    <xf numFmtId="0" fontId="12" fillId="61" borderId="68" xfId="0" applyFont="1" applyFill="1" applyBorder="1" applyAlignment="1">
      <alignment horizontal="left" vertical="top" wrapText="1"/>
    </xf>
    <xf numFmtId="0" fontId="12" fillId="61" borderId="80" xfId="0" applyFont="1" applyFill="1" applyBorder="1" applyAlignment="1">
      <alignment horizontal="left" vertical="top" wrapText="1"/>
    </xf>
    <xf numFmtId="0" fontId="230" fillId="62" borderId="33" xfId="0" applyFont="1" applyFill="1" applyBorder="1" applyAlignment="1">
      <alignment horizontal="left" vertical="top" wrapText="1"/>
    </xf>
    <xf numFmtId="0" fontId="12" fillId="62" borderId="69" xfId="0" applyFont="1" applyFill="1" applyBorder="1" applyAlignment="1">
      <alignment horizontal="left" vertical="top" wrapText="1"/>
    </xf>
    <xf numFmtId="0" fontId="12" fillId="62" borderId="80" xfId="0" applyFont="1" applyFill="1" applyBorder="1" applyAlignment="1">
      <alignment horizontal="left" vertical="center" wrapText="1"/>
    </xf>
    <xf numFmtId="0" fontId="12" fillId="62" borderId="68" xfId="0" applyFont="1" applyFill="1" applyBorder="1" applyAlignment="1">
      <alignment horizontal="left" vertical="center" wrapText="1"/>
    </xf>
    <xf numFmtId="0" fontId="2" fillId="44" borderId="192" xfId="0" applyFont="1" applyFill="1" applyBorder="1" applyAlignment="1">
      <alignment vertical="center" shrinkToFit="1"/>
    </xf>
    <xf numFmtId="0" fontId="2" fillId="44" borderId="193" xfId="0" applyFont="1" applyFill="1" applyBorder="1" applyAlignment="1">
      <alignment vertical="center" shrinkToFit="1"/>
    </xf>
    <xf numFmtId="185" fontId="0" fillId="44" borderId="193" xfId="0" applyNumberFormat="1" applyFill="1" applyBorder="1">
      <alignment vertical="center"/>
    </xf>
    <xf numFmtId="0" fontId="36" fillId="44" borderId="245" xfId="0" applyFont="1" applyFill="1" applyBorder="1" applyAlignment="1">
      <alignment horizontal="center" vertical="center" wrapText="1"/>
    </xf>
    <xf numFmtId="0" fontId="36" fillId="44" borderId="230" xfId="0" applyFont="1" applyFill="1" applyBorder="1" applyAlignment="1">
      <alignment horizontal="center" vertical="center" wrapText="1"/>
    </xf>
    <xf numFmtId="0" fontId="12" fillId="63" borderId="69" xfId="0" applyFont="1" applyFill="1" applyBorder="1" applyAlignment="1">
      <alignment horizontal="left" vertical="top" wrapText="1"/>
    </xf>
    <xf numFmtId="0" fontId="12" fillId="63" borderId="68" xfId="0" applyFont="1" applyFill="1" applyBorder="1" applyAlignment="1">
      <alignment horizontal="left" vertical="top" wrapText="1"/>
    </xf>
    <xf numFmtId="0" fontId="12" fillId="63" borderId="80" xfId="0" applyFont="1" applyFill="1" applyBorder="1" applyAlignment="1">
      <alignment horizontal="left" vertical="top" wrapText="1"/>
    </xf>
    <xf numFmtId="0" fontId="12" fillId="63" borderId="80" xfId="0" applyFont="1" applyFill="1" applyBorder="1" applyAlignment="1">
      <alignment horizontal="left" vertical="center" wrapText="1"/>
    </xf>
    <xf numFmtId="0" fontId="12" fillId="63" borderId="91" xfId="0" applyFont="1" applyFill="1" applyBorder="1" applyAlignment="1">
      <alignment horizontal="left" vertical="center" wrapText="1"/>
    </xf>
    <xf numFmtId="0" fontId="199" fillId="44" borderId="217" xfId="0" applyFont="1" applyFill="1" applyBorder="1" applyAlignment="1">
      <alignment horizontal="center" vertical="center" wrapText="1"/>
    </xf>
    <xf numFmtId="0" fontId="199" fillId="44" borderId="244" xfId="0" applyFont="1" applyFill="1" applyBorder="1" applyAlignment="1">
      <alignment horizontal="center" vertical="center" wrapText="1"/>
    </xf>
    <xf numFmtId="0" fontId="12" fillId="63" borderId="82" xfId="0" applyFont="1" applyFill="1" applyBorder="1" applyAlignment="1">
      <alignment horizontal="left" vertical="center" wrapText="1"/>
    </xf>
    <xf numFmtId="0" fontId="230" fillId="64" borderId="34" xfId="0" applyFont="1" applyFill="1" applyBorder="1" applyAlignment="1">
      <alignment horizontal="left" vertical="top" wrapText="1"/>
    </xf>
    <xf numFmtId="49" fontId="2" fillId="42" borderId="70" xfId="0" applyNumberFormat="1" applyFont="1" applyFill="1" applyBorder="1" applyAlignment="1">
      <alignment horizontal="left" vertical="center"/>
    </xf>
    <xf numFmtId="49" fontId="2" fillId="42" borderId="71" xfId="0" applyNumberFormat="1" applyFont="1" applyFill="1" applyBorder="1" applyAlignment="1">
      <alignment horizontal="left" vertical="center" wrapText="1"/>
    </xf>
    <xf numFmtId="49" fontId="2" fillId="42" borderId="71" xfId="0" applyNumberFormat="1" applyFont="1" applyFill="1" applyBorder="1" applyAlignment="1">
      <alignment horizontal="center" vertical="center"/>
    </xf>
    <xf numFmtId="49" fontId="2" fillId="42" borderId="86" xfId="0" applyNumberFormat="1" applyFont="1" applyFill="1" applyBorder="1" applyAlignment="1">
      <alignment horizontal="center" vertical="center"/>
    </xf>
    <xf numFmtId="0" fontId="12" fillId="64" borderId="70" xfId="0" applyFont="1" applyFill="1" applyBorder="1" applyAlignment="1">
      <alignment horizontal="left" vertical="top" wrapText="1"/>
    </xf>
    <xf numFmtId="177" fontId="68" fillId="42" borderId="221" xfId="0" applyNumberFormat="1" applyFont="1" applyFill="1" applyBorder="1" applyAlignment="1">
      <alignment horizontal="center" vertical="top"/>
    </xf>
    <xf numFmtId="186" fontId="68" fillId="42" borderId="219" xfId="0" applyNumberFormat="1" applyFont="1" applyFill="1" applyBorder="1" applyAlignment="1">
      <alignment horizontal="center" vertical="top"/>
    </xf>
    <xf numFmtId="49" fontId="68" fillId="42" borderId="71" xfId="0" applyNumberFormat="1" applyFont="1" applyFill="1" applyBorder="1" applyAlignment="1">
      <alignment horizontal="left" vertical="top"/>
    </xf>
    <xf numFmtId="192" fontId="68" fillId="42" borderId="221" xfId="0" applyNumberFormat="1" applyFont="1" applyFill="1" applyBorder="1" applyAlignment="1">
      <alignment horizontal="right" vertical="top"/>
    </xf>
    <xf numFmtId="0" fontId="12" fillId="65" borderId="68" xfId="0" applyFont="1" applyFill="1" applyBorder="1" applyAlignment="1">
      <alignment horizontal="left" vertical="top" wrapText="1"/>
    </xf>
    <xf numFmtId="0" fontId="12" fillId="65" borderId="80" xfId="0" applyFont="1" applyFill="1" applyBorder="1" applyAlignment="1">
      <alignment horizontal="left" vertical="top" wrapText="1"/>
    </xf>
    <xf numFmtId="0" fontId="36" fillId="44" borderId="189" xfId="0" applyFont="1" applyFill="1" applyBorder="1" applyAlignment="1">
      <alignment horizontal="center" vertical="center" wrapText="1"/>
    </xf>
    <xf numFmtId="0" fontId="36" fillId="44" borderId="66" xfId="0" applyFont="1" applyFill="1" applyBorder="1" applyAlignment="1">
      <alignment horizontal="center" vertical="center" wrapText="1"/>
    </xf>
    <xf numFmtId="0" fontId="2" fillId="44" borderId="189" xfId="0" applyFont="1" applyFill="1" applyBorder="1" applyAlignment="1">
      <alignment vertical="center" shrinkToFit="1"/>
    </xf>
    <xf numFmtId="0" fontId="2" fillId="44" borderId="190" xfId="0" applyFont="1" applyFill="1" applyBorder="1" applyAlignment="1">
      <alignment vertical="center" shrinkToFit="1"/>
    </xf>
    <xf numFmtId="185" fontId="0" fillId="44" borderId="190" xfId="0" applyNumberFormat="1" applyFill="1" applyBorder="1">
      <alignment vertical="center"/>
    </xf>
    <xf numFmtId="0" fontId="0" fillId="0" borderId="246" xfId="0" applyBorder="1" applyAlignment="1">
      <alignment horizontal="center" vertical="center"/>
    </xf>
    <xf numFmtId="0" fontId="2" fillId="44" borderId="70" xfId="0" applyFont="1" applyFill="1" applyBorder="1" applyAlignment="1">
      <alignment vertical="center" shrinkToFit="1"/>
    </xf>
    <xf numFmtId="0" fontId="2" fillId="44" borderId="71" xfId="0" applyFont="1" applyFill="1" applyBorder="1" applyAlignment="1">
      <alignment vertical="center" shrinkToFit="1"/>
    </xf>
    <xf numFmtId="185" fontId="0" fillId="44" borderId="71" xfId="0" applyNumberFormat="1" applyFill="1" applyBorder="1">
      <alignment vertical="center"/>
    </xf>
    <xf numFmtId="0" fontId="12" fillId="65" borderId="82" xfId="0" applyFont="1" applyFill="1" applyBorder="1" applyAlignment="1">
      <alignment horizontal="left" vertical="top" wrapText="1"/>
    </xf>
    <xf numFmtId="0" fontId="230" fillId="66" borderId="80" xfId="0" applyFont="1" applyFill="1" applyBorder="1" applyAlignment="1">
      <alignment horizontal="left" vertical="top" wrapText="1"/>
    </xf>
    <xf numFmtId="0" fontId="36" fillId="0" borderId="217" xfId="0" applyFont="1" applyBorder="1" applyAlignment="1" applyProtection="1">
      <alignment horizontal="center" vertical="center" wrapText="1"/>
      <protection locked="0"/>
    </xf>
    <xf numFmtId="0" fontId="36" fillId="0" borderId="34" xfId="0" applyFont="1" applyBorder="1" applyAlignment="1">
      <alignment horizontal="center" vertical="center" wrapText="1"/>
    </xf>
    <xf numFmtId="0" fontId="12" fillId="66" borderId="68" xfId="0" applyFont="1" applyFill="1" applyBorder="1" applyAlignment="1">
      <alignment horizontal="left" vertical="top" wrapText="1"/>
    </xf>
    <xf numFmtId="0" fontId="12" fillId="66" borderId="80" xfId="0" applyFont="1" applyFill="1" applyBorder="1" applyAlignment="1">
      <alignment horizontal="left" vertical="top" wrapText="1"/>
    </xf>
    <xf numFmtId="0" fontId="36" fillId="0" borderId="49" xfId="0" applyFont="1" applyBorder="1" applyAlignment="1" applyProtection="1">
      <alignment horizontal="center" vertical="center" wrapText="1"/>
      <protection locked="0"/>
    </xf>
    <xf numFmtId="0" fontId="36" fillId="0" borderId="80" xfId="0" applyFont="1" applyBorder="1" applyAlignment="1">
      <alignment horizontal="center" vertical="center" wrapText="1"/>
    </xf>
    <xf numFmtId="0" fontId="2" fillId="0" borderId="69" xfId="0" applyFont="1" applyBorder="1" applyAlignment="1">
      <alignment vertical="center" shrinkToFit="1"/>
    </xf>
    <xf numFmtId="0" fontId="2" fillId="0" borderId="35" xfId="0" applyFont="1" applyBorder="1" applyAlignment="1">
      <alignment vertical="center" shrinkToFit="1"/>
    </xf>
    <xf numFmtId="185" fontId="0" fillId="0" borderId="35" xfId="0" applyNumberFormat="1" applyBorder="1" applyProtection="1">
      <alignment vertical="center"/>
      <protection locked="0"/>
    </xf>
    <xf numFmtId="0" fontId="198" fillId="0" borderId="45" xfId="0" applyFont="1" applyBorder="1" applyAlignment="1" applyProtection="1">
      <alignment horizontal="center" vertical="center" shrinkToFit="1"/>
      <protection locked="0"/>
    </xf>
    <xf numFmtId="0" fontId="12" fillId="66" borderId="80" xfId="0" applyFont="1" applyFill="1" applyBorder="1" applyAlignment="1">
      <alignment horizontal="left" vertical="center" wrapText="1"/>
    </xf>
    <xf numFmtId="0" fontId="12" fillId="66" borderId="68" xfId="0" applyFont="1" applyFill="1" applyBorder="1" applyAlignment="1">
      <alignment horizontal="left" vertical="center" wrapText="1"/>
    </xf>
    <xf numFmtId="0" fontId="199" fillId="44" borderId="239" xfId="0" applyFont="1" applyFill="1" applyBorder="1" applyAlignment="1">
      <alignment horizontal="center" vertical="center" wrapText="1"/>
    </xf>
    <xf numFmtId="0" fontId="199" fillId="44" borderId="237" xfId="0" applyFont="1" applyFill="1" applyBorder="1" applyAlignment="1">
      <alignment horizontal="center" vertical="center" wrapText="1"/>
    </xf>
    <xf numFmtId="0" fontId="199" fillId="44" borderId="189" xfId="0" applyFont="1" applyFill="1" applyBorder="1" applyAlignment="1">
      <alignment horizontal="center" vertical="center" wrapText="1"/>
    </xf>
    <xf numFmtId="0" fontId="199" fillId="44" borderId="66" xfId="0" applyFont="1" applyFill="1" applyBorder="1" applyAlignment="1">
      <alignment horizontal="center" vertical="center" wrapText="1"/>
    </xf>
    <xf numFmtId="186" fontId="36" fillId="0" borderId="12" xfId="0" applyNumberFormat="1" applyFont="1" applyBorder="1" applyAlignment="1" applyProtection="1">
      <alignment horizontal="center" vertical="center" wrapText="1"/>
      <protection locked="0"/>
    </xf>
    <xf numFmtId="0" fontId="199" fillId="44" borderId="238" xfId="0" applyFont="1" applyFill="1" applyBorder="1" applyAlignment="1">
      <alignment horizontal="center" vertical="center" wrapText="1"/>
    </xf>
    <xf numFmtId="0" fontId="199" fillId="44" borderId="230" xfId="0" applyFont="1" applyFill="1" applyBorder="1" applyAlignment="1">
      <alignment horizontal="center" vertical="center" wrapText="1"/>
    </xf>
    <xf numFmtId="0" fontId="230" fillId="67" borderId="33" xfId="0" applyFont="1" applyFill="1" applyBorder="1" applyAlignment="1">
      <alignment vertical="top" wrapText="1"/>
    </xf>
    <xf numFmtId="0" fontId="230" fillId="67" borderId="80" xfId="0" applyFont="1" applyFill="1" applyBorder="1" applyAlignment="1">
      <alignment vertical="top" wrapText="1"/>
    </xf>
    <xf numFmtId="0" fontId="230" fillId="67" borderId="80" xfId="0" applyFont="1" applyFill="1" applyBorder="1" applyAlignment="1">
      <alignment horizontal="left" vertical="center" wrapText="1"/>
    </xf>
    <xf numFmtId="0" fontId="12" fillId="67" borderId="68" xfId="0" applyFont="1" applyFill="1" applyBorder="1" applyAlignment="1">
      <alignment horizontal="left" vertical="center" wrapText="1"/>
    </xf>
    <xf numFmtId="49" fontId="68" fillId="0" borderId="91" xfId="0" applyNumberFormat="1" applyFont="1" applyBorder="1" applyAlignment="1">
      <alignment horizontal="center" vertical="top" shrinkToFit="1"/>
    </xf>
    <xf numFmtId="0" fontId="36" fillId="0" borderId="12" xfId="0" applyFont="1" applyBorder="1" applyAlignment="1" applyProtection="1">
      <alignment horizontal="center" vertical="center" wrapText="1"/>
      <protection locked="0"/>
    </xf>
    <xf numFmtId="186" fontId="2" fillId="0" borderId="12" xfId="0" applyNumberFormat="1" applyFont="1" applyBorder="1" applyAlignment="1" applyProtection="1">
      <alignment horizontal="left" vertical="center" wrapText="1"/>
      <protection locked="0"/>
    </xf>
    <xf numFmtId="0" fontId="36" fillId="0" borderId="90" xfId="0" applyFont="1" applyBorder="1" applyAlignment="1">
      <alignment horizontal="center" vertical="center" wrapText="1"/>
    </xf>
    <xf numFmtId="0" fontId="0" fillId="0" borderId="66" xfId="0" applyBorder="1" applyAlignment="1">
      <alignment horizontal="center" vertical="center"/>
    </xf>
    <xf numFmtId="0" fontId="230" fillId="67" borderId="82" xfId="0" applyFont="1" applyFill="1" applyBorder="1" applyAlignment="1">
      <alignment horizontal="left" vertical="center" wrapText="1"/>
    </xf>
    <xf numFmtId="0" fontId="230" fillId="68" borderId="34" xfId="0" applyFont="1" applyFill="1" applyBorder="1" applyAlignment="1">
      <alignment horizontal="left" vertical="top" wrapText="1"/>
    </xf>
    <xf numFmtId="49" fontId="2" fillId="42" borderId="34" xfId="0" applyNumberFormat="1" applyFont="1" applyFill="1" applyBorder="1" applyAlignment="1">
      <alignment horizontal="left" vertical="center"/>
    </xf>
    <xf numFmtId="49" fontId="2" fillId="42" borderId="70" xfId="0" applyNumberFormat="1" applyFont="1" applyFill="1" applyBorder="1" applyAlignment="1">
      <alignment horizontal="left" vertical="center" wrapText="1"/>
    </xf>
    <xf numFmtId="49" fontId="2" fillId="42" borderId="86" xfId="0" applyNumberFormat="1" applyFont="1" applyFill="1" applyBorder="1" applyAlignment="1">
      <alignment horizontal="left" vertical="center" wrapText="1"/>
    </xf>
    <xf numFmtId="0" fontId="36" fillId="42" borderId="71" xfId="0" applyFont="1" applyFill="1" applyBorder="1">
      <alignment vertical="center"/>
    </xf>
    <xf numFmtId="186" fontId="2" fillId="42" borderId="71" xfId="0" applyNumberFormat="1" applyFont="1" applyFill="1" applyBorder="1" applyAlignment="1">
      <alignment horizontal="left" vertical="center"/>
    </xf>
    <xf numFmtId="186" fontId="36" fillId="42" borderId="71" xfId="0" applyNumberFormat="1" applyFont="1" applyFill="1" applyBorder="1" applyAlignment="1">
      <alignment horizontal="center" vertical="center"/>
    </xf>
    <xf numFmtId="186" fontId="36" fillId="42" borderId="86" xfId="0" applyNumberFormat="1" applyFont="1" applyFill="1" applyBorder="1" applyAlignment="1">
      <alignment horizontal="center" vertical="center"/>
    </xf>
    <xf numFmtId="0" fontId="2" fillId="42" borderId="70" xfId="0" applyFont="1" applyFill="1" applyBorder="1" applyAlignment="1">
      <alignment vertical="center" shrinkToFit="1"/>
    </xf>
    <xf numFmtId="0" fontId="2" fillId="42" borderId="71" xfId="0" applyFont="1" applyFill="1" applyBorder="1" applyAlignment="1">
      <alignment vertical="center" shrinkToFit="1"/>
    </xf>
    <xf numFmtId="185" fontId="0" fillId="42" borderId="71" xfId="0" applyNumberFormat="1" applyFill="1" applyBorder="1">
      <alignment vertical="center"/>
    </xf>
    <xf numFmtId="0" fontId="0" fillId="42" borderId="244" xfId="0" applyFill="1" applyBorder="1" applyAlignment="1">
      <alignment horizontal="center" vertical="center"/>
    </xf>
    <xf numFmtId="0" fontId="12" fillId="68" borderId="70" xfId="0" applyFont="1" applyFill="1" applyBorder="1" applyAlignment="1">
      <alignment horizontal="left" vertical="top" wrapText="1"/>
    </xf>
    <xf numFmtId="0" fontId="230" fillId="69" borderId="33" xfId="0" applyFont="1" applyFill="1" applyBorder="1" applyAlignment="1">
      <alignment horizontal="left" vertical="center" wrapText="1"/>
    </xf>
    <xf numFmtId="0" fontId="12" fillId="69" borderId="68" xfId="0" applyFont="1" applyFill="1" applyBorder="1" applyAlignment="1">
      <alignment horizontal="left" vertical="center" wrapText="1"/>
    </xf>
    <xf numFmtId="0" fontId="230" fillId="69" borderId="80" xfId="0" applyFont="1" applyFill="1" applyBorder="1" applyAlignment="1">
      <alignment horizontal="left" vertical="center" wrapText="1"/>
    </xf>
    <xf numFmtId="0" fontId="36" fillId="44" borderId="227" xfId="0" applyFont="1" applyFill="1" applyBorder="1" applyAlignment="1">
      <alignment horizontal="center" vertical="center" wrapText="1"/>
    </xf>
    <xf numFmtId="0" fontId="2" fillId="44" borderId="227" xfId="0" applyFont="1" applyFill="1" applyBorder="1" applyAlignment="1">
      <alignment vertical="center" shrinkToFit="1"/>
    </xf>
    <xf numFmtId="0" fontId="2" fillId="44" borderId="126" xfId="0" applyFont="1" applyFill="1" applyBorder="1" applyAlignment="1">
      <alignment vertical="center" shrinkToFit="1"/>
    </xf>
    <xf numFmtId="185" fontId="0" fillId="44" borderId="126" xfId="0" applyNumberFormat="1" applyFill="1" applyBorder="1">
      <alignment vertical="center"/>
    </xf>
    <xf numFmtId="186" fontId="2" fillId="0" borderId="71" xfId="0" applyNumberFormat="1" applyFont="1" applyBorder="1" applyAlignment="1" applyProtection="1">
      <alignment horizontal="left" vertical="center" wrapText="1"/>
      <protection locked="0"/>
    </xf>
    <xf numFmtId="0" fontId="0" fillId="0" borderId="244" xfId="0" applyBorder="1" applyAlignment="1">
      <alignment horizontal="center" vertical="center"/>
    </xf>
    <xf numFmtId="0" fontId="230" fillId="70" borderId="33" xfId="0" applyFont="1" applyFill="1" applyBorder="1" applyAlignment="1">
      <alignment horizontal="left" vertical="top" wrapText="1"/>
    </xf>
    <xf numFmtId="0" fontId="12" fillId="70" borderId="70" xfId="0" applyFont="1" applyFill="1" applyBorder="1" applyAlignment="1">
      <alignment horizontal="left" vertical="top" wrapText="1"/>
    </xf>
    <xf numFmtId="0" fontId="230" fillId="70" borderId="80" xfId="0" applyFont="1" applyFill="1" applyBorder="1" applyAlignment="1">
      <alignment horizontal="left" vertical="top" wrapText="1"/>
    </xf>
    <xf numFmtId="0" fontId="12" fillId="70" borderId="68" xfId="0" applyFont="1" applyFill="1" applyBorder="1" applyAlignment="1">
      <alignment horizontal="left" vertical="top" wrapText="1"/>
    </xf>
    <xf numFmtId="0" fontId="230" fillId="70" borderId="82" xfId="0" applyFont="1" applyFill="1" applyBorder="1" applyAlignment="1">
      <alignment horizontal="left" vertical="top" wrapText="1"/>
    </xf>
    <xf numFmtId="0" fontId="36" fillId="0" borderId="68" xfId="0" applyFont="1" applyBorder="1" applyAlignment="1" applyProtection="1">
      <alignment horizontal="center" vertical="center" wrapText="1"/>
      <protection locked="0"/>
    </xf>
    <xf numFmtId="0" fontId="230" fillId="71" borderId="33" xfId="0" applyFont="1" applyFill="1" applyBorder="1" applyAlignment="1">
      <alignment horizontal="left" vertical="top" wrapText="1"/>
    </xf>
    <xf numFmtId="0" fontId="12" fillId="71" borderId="68" xfId="0" applyFont="1" applyFill="1" applyBorder="1" applyAlignment="1">
      <alignment horizontal="left" vertical="top" wrapText="1"/>
    </xf>
    <xf numFmtId="0" fontId="230" fillId="71" borderId="80" xfId="0" applyFont="1" applyFill="1" applyBorder="1" applyAlignment="1">
      <alignment horizontal="left" vertical="center" wrapText="1"/>
    </xf>
    <xf numFmtId="0" fontId="12" fillId="71" borderId="68" xfId="0" applyFont="1" applyFill="1" applyBorder="1" applyAlignment="1">
      <alignment horizontal="left" vertical="center" wrapText="1"/>
    </xf>
    <xf numFmtId="49" fontId="68" fillId="0" borderId="0" xfId="0" applyNumberFormat="1" applyFont="1" applyAlignment="1">
      <alignment vertical="top" shrinkToFit="1"/>
    </xf>
    <xf numFmtId="0" fontId="230" fillId="71" borderId="82" xfId="0" applyFont="1" applyFill="1" applyBorder="1" applyAlignment="1">
      <alignment horizontal="left" vertical="center" wrapText="1"/>
    </xf>
    <xf numFmtId="49" fontId="2" fillId="0" borderId="34" xfId="0" applyNumberFormat="1" applyFont="1" applyBorder="1" applyAlignment="1">
      <alignment vertical="center" wrapText="1" shrinkToFit="1"/>
    </xf>
    <xf numFmtId="186" fontId="2" fillId="0" borderId="0" xfId="0" applyNumberFormat="1" applyFont="1" applyAlignment="1">
      <alignment horizontal="center" vertical="center"/>
    </xf>
    <xf numFmtId="186" fontId="36" fillId="0" borderId="0" xfId="0" applyNumberFormat="1" applyFont="1" applyAlignment="1">
      <alignment horizontal="center" vertical="center"/>
    </xf>
    <xf numFmtId="0" fontId="68" fillId="0" borderId="0" xfId="0" applyFont="1">
      <alignment vertical="center"/>
    </xf>
    <xf numFmtId="0" fontId="2" fillId="0" borderId="0" xfId="0" applyFont="1" applyAlignment="1">
      <alignment horizontal="right" vertical="center"/>
    </xf>
    <xf numFmtId="180" fontId="234" fillId="0" borderId="0" xfId="0" applyNumberFormat="1" applyFont="1" applyAlignment="1">
      <alignment horizontal="center" vertical="center" wrapText="1"/>
    </xf>
    <xf numFmtId="0" fontId="234" fillId="0" borderId="34" xfId="0" applyFont="1" applyBorder="1" applyAlignment="1">
      <alignment horizontal="center" vertical="center" wrapText="1"/>
    </xf>
    <xf numFmtId="180" fontId="235" fillId="72" borderId="34" xfId="0" applyNumberFormat="1" applyFont="1" applyFill="1" applyBorder="1" applyAlignment="1">
      <alignment horizontal="center" vertical="center" wrapText="1"/>
    </xf>
    <xf numFmtId="2" fontId="234" fillId="0" borderId="34" xfId="0" applyNumberFormat="1" applyFont="1" applyBorder="1" applyAlignment="1">
      <alignment horizontal="center" vertical="center"/>
    </xf>
    <xf numFmtId="2" fontId="234" fillId="0" borderId="34" xfId="0" applyNumberFormat="1" applyFont="1" applyBorder="1">
      <alignment vertical="center"/>
    </xf>
    <xf numFmtId="180" fontId="235" fillId="72" borderId="34" xfId="0" applyNumberFormat="1" applyFont="1" applyFill="1" applyBorder="1" applyAlignment="1">
      <alignment horizontal="center" vertical="center"/>
    </xf>
    <xf numFmtId="0" fontId="63" fillId="0" borderId="33" xfId="0" applyFont="1" applyBorder="1" applyProtection="1">
      <alignment vertical="center"/>
      <protection hidden="1"/>
    </xf>
    <xf numFmtId="0" fontId="171" fillId="0" borderId="68" xfId="0" applyFont="1" applyBorder="1" applyAlignment="1" applyProtection="1">
      <alignment horizontal="left" vertical="center"/>
      <protection hidden="1"/>
    </xf>
    <xf numFmtId="0" fontId="63" fillId="0" borderId="82" xfId="0" applyFont="1" applyBorder="1" applyProtection="1">
      <alignment vertical="center"/>
      <protection hidden="1"/>
    </xf>
    <xf numFmtId="0" fontId="0" fillId="0" borderId="0" xfId="0" applyAlignment="1">
      <alignment vertical="center" wrapText="1"/>
    </xf>
    <xf numFmtId="0" fontId="63" fillId="0" borderId="70" xfId="0" applyFont="1" applyBorder="1" applyProtection="1">
      <alignment vertical="center"/>
      <protection hidden="1"/>
    </xf>
    <xf numFmtId="0" fontId="63" fillId="0" borderId="71" xfId="0" applyFont="1" applyBorder="1" applyProtection="1">
      <alignment vertical="center"/>
      <protection hidden="1"/>
    </xf>
    <xf numFmtId="0" fontId="63" fillId="0" borderId="86" xfId="0" applyFont="1" applyBorder="1" applyProtection="1">
      <alignment vertical="center"/>
      <protection hidden="1"/>
    </xf>
    <xf numFmtId="0" fontId="2" fillId="0" borderId="34" xfId="0" applyFont="1" applyBorder="1" applyAlignment="1" applyProtection="1">
      <alignment vertical="center" wrapText="1"/>
      <protection locked="0"/>
    </xf>
    <xf numFmtId="49" fontId="2" fillId="42" borderId="71" xfId="0" applyNumberFormat="1" applyFont="1" applyFill="1" applyBorder="1" applyAlignment="1" applyProtection="1">
      <alignment horizontal="center" vertical="center"/>
      <protection locked="0"/>
    </xf>
    <xf numFmtId="49" fontId="2" fillId="42" borderId="71" xfId="0" applyNumberFormat="1" applyFont="1" applyFill="1" applyBorder="1" applyAlignment="1" applyProtection="1">
      <alignment horizontal="left" vertical="center" wrapText="1"/>
      <protection locked="0"/>
    </xf>
    <xf numFmtId="49" fontId="2" fillId="42" borderId="90" xfId="0" applyNumberFormat="1" applyFont="1" applyFill="1" applyBorder="1" applyAlignment="1">
      <alignment horizontal="left" vertical="center" wrapText="1"/>
    </xf>
    <xf numFmtId="0" fontId="171" fillId="0" borderId="69" xfId="0" applyFont="1" applyBorder="1" applyProtection="1">
      <alignment vertical="center"/>
      <protection hidden="1"/>
    </xf>
    <xf numFmtId="0" fontId="171" fillId="0" borderId="70" xfId="0" applyFont="1" applyBorder="1" applyProtection="1">
      <alignment vertical="center"/>
      <protection hidden="1"/>
    </xf>
    <xf numFmtId="0" fontId="171" fillId="0" borderId="91" xfId="0" applyFont="1" applyBorder="1" applyProtection="1">
      <alignment vertical="center"/>
      <protection hidden="1"/>
    </xf>
    <xf numFmtId="0" fontId="171" fillId="36" borderId="34" xfId="0" applyFont="1" applyFill="1" applyBorder="1" applyAlignment="1" applyProtection="1">
      <alignment horizontal="center" vertical="center"/>
      <protection hidden="1"/>
    </xf>
    <xf numFmtId="0" fontId="215" fillId="0" borderId="34" xfId="0" applyFont="1" applyBorder="1">
      <alignment vertical="center"/>
    </xf>
    <xf numFmtId="0" fontId="2" fillId="0" borderId="33" xfId="0" applyFont="1" applyBorder="1" applyAlignment="1">
      <alignment horizontal="left" vertical="center" wrapText="1"/>
    </xf>
    <xf numFmtId="49" fontId="2" fillId="0" borderId="33" xfId="0" applyNumberFormat="1" applyFont="1" applyBorder="1" applyAlignment="1">
      <alignment horizontal="center" vertical="center" wrapText="1"/>
    </xf>
    <xf numFmtId="49" fontId="2" fillId="0" borderId="33" xfId="0" applyNumberFormat="1" applyFont="1" applyBorder="1" applyAlignment="1">
      <alignment horizontal="left" vertical="center" wrapText="1"/>
    </xf>
    <xf numFmtId="0" fontId="2" fillId="0" borderId="80" xfId="0" applyFont="1" applyBorder="1" applyAlignment="1">
      <alignment horizontal="left" vertical="center" wrapText="1"/>
    </xf>
    <xf numFmtId="49" fontId="2" fillId="0" borderId="33" xfId="0" applyNumberFormat="1" applyFont="1" applyBorder="1" applyAlignment="1">
      <alignment horizontal="center" vertical="center" shrinkToFit="1"/>
    </xf>
    <xf numFmtId="49" fontId="2" fillId="0" borderId="33" xfId="0" applyNumberFormat="1" applyFont="1" applyBorder="1" applyAlignment="1">
      <alignment horizontal="left" vertical="center" wrapText="1" shrinkToFit="1"/>
    </xf>
    <xf numFmtId="0" fontId="2" fillId="0" borderId="80" xfId="0" applyFont="1" applyBorder="1" applyAlignment="1">
      <alignment horizontal="center" vertical="center" wrapText="1"/>
    </xf>
    <xf numFmtId="49" fontId="2" fillId="0" borderId="33" xfId="0" applyNumberFormat="1" applyFont="1" applyBorder="1" applyAlignment="1">
      <alignment horizontal="center" vertical="center" wrapText="1" shrinkToFit="1"/>
    </xf>
    <xf numFmtId="0" fontId="2" fillId="0" borderId="33" xfId="0" applyFont="1" applyBorder="1" applyAlignment="1">
      <alignment horizontal="left" vertical="center" wrapText="1" shrinkToFit="1"/>
    </xf>
    <xf numFmtId="49" fontId="2" fillId="0" borderId="34" xfId="0" applyNumberFormat="1" applyFont="1" applyBorder="1" applyAlignment="1">
      <alignment horizontal="center" vertical="center" wrapText="1"/>
    </xf>
    <xf numFmtId="0" fontId="49" fillId="0" borderId="0" xfId="0" applyFont="1">
      <alignment vertical="center"/>
    </xf>
    <xf numFmtId="0" fontId="241" fillId="0" borderId="0" xfId="0" applyFont="1">
      <alignment vertical="center"/>
    </xf>
    <xf numFmtId="0" fontId="0" fillId="73" borderId="34" xfId="0" applyFill="1" applyBorder="1">
      <alignment vertical="center"/>
    </xf>
    <xf numFmtId="0" fontId="32" fillId="0" borderId="34" xfId="0" applyFont="1" applyBorder="1" applyAlignment="1" applyProtection="1">
      <alignment horizontal="center" vertical="center" wrapText="1"/>
      <protection locked="0"/>
    </xf>
    <xf numFmtId="0" fontId="32" fillId="0" borderId="12" xfId="0" applyFont="1" applyBorder="1" applyAlignment="1">
      <alignment horizontal="left" vertical="center"/>
    </xf>
    <xf numFmtId="0" fontId="26" fillId="47" borderId="35" xfId="0" applyFont="1" applyFill="1" applyBorder="1" applyAlignment="1">
      <alignment horizontal="center" vertical="center"/>
    </xf>
    <xf numFmtId="0" fontId="26" fillId="47" borderId="12" xfId="0" applyFont="1" applyFill="1" applyBorder="1" applyAlignment="1">
      <alignment horizontal="center" vertical="center" wrapText="1"/>
    </xf>
    <xf numFmtId="0" fontId="33" fillId="0" borderId="0" xfId="0" applyFont="1" applyAlignment="1" applyProtection="1">
      <alignment horizontal="right" vertical="center"/>
      <protection hidden="1"/>
    </xf>
    <xf numFmtId="0" fontId="242" fillId="24" borderId="0" xfId="0" applyFont="1" applyFill="1" applyAlignment="1" applyProtection="1">
      <alignment horizontal="left" vertical="center"/>
      <protection hidden="1"/>
    </xf>
    <xf numFmtId="55" fontId="12" fillId="24" borderId="98" xfId="0" applyNumberFormat="1"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189" fontId="12" fillId="24" borderId="98" xfId="0" applyNumberFormat="1" applyFont="1" applyFill="1" applyBorder="1" applyAlignment="1" applyProtection="1">
      <alignment horizontal="left" vertical="center"/>
      <protection hidden="1"/>
    </xf>
    <xf numFmtId="189" fontId="12" fillId="24" borderId="11" xfId="0" applyNumberFormat="1" applyFont="1" applyFill="1" applyBorder="1" applyAlignment="1" applyProtection="1">
      <alignment horizontal="left" vertical="center"/>
      <protection hidden="1"/>
    </xf>
    <xf numFmtId="0" fontId="12" fillId="0" borderId="96" xfId="0" applyFont="1" applyBorder="1" applyAlignment="1" applyProtection="1">
      <alignment horizontal="left" vertical="center" shrinkToFit="1"/>
      <protection hidden="1"/>
    </xf>
    <xf numFmtId="0" fontId="0" fillId="0" borderId="13" xfId="0" applyBorder="1" applyAlignment="1">
      <alignment horizontal="left" vertical="center" shrinkToFit="1"/>
    </xf>
    <xf numFmtId="56" fontId="160" fillId="28" borderId="43" xfId="0" applyNumberFormat="1" applyFont="1" applyFill="1" applyBorder="1" applyAlignment="1" applyProtection="1">
      <alignment horizontal="left" vertical="center"/>
      <protection hidden="1"/>
    </xf>
    <xf numFmtId="56" fontId="160" fillId="28" borderId="20" xfId="0" applyNumberFormat="1" applyFont="1" applyFill="1" applyBorder="1" applyAlignment="1" applyProtection="1">
      <alignment horizontal="left" vertical="center"/>
      <protection hidden="1"/>
    </xf>
    <xf numFmtId="56" fontId="160" fillId="28" borderId="21" xfId="0" applyNumberFormat="1" applyFont="1" applyFill="1" applyBorder="1" applyAlignment="1" applyProtection="1">
      <alignment horizontal="left" vertical="center"/>
      <protection hidden="1"/>
    </xf>
    <xf numFmtId="3" fontId="12" fillId="24" borderId="96" xfId="0" applyNumberFormat="1" applyFont="1" applyFill="1" applyBorder="1" applyAlignment="1" applyProtection="1">
      <alignment horizontal="left" vertical="center"/>
      <protection hidden="1"/>
    </xf>
    <xf numFmtId="3" fontId="12" fillId="24" borderId="13" xfId="0" applyNumberFormat="1" applyFont="1" applyFill="1" applyBorder="1" applyAlignment="1" applyProtection="1">
      <alignment horizontal="left" vertical="center"/>
      <protection hidden="1"/>
    </xf>
    <xf numFmtId="0" fontId="12" fillId="0" borderId="98" xfId="0" applyFont="1" applyBorder="1" applyAlignment="1" applyProtection="1">
      <alignment horizontal="left" vertical="center" shrinkToFit="1"/>
      <protection hidden="1"/>
    </xf>
    <xf numFmtId="0" fontId="0" fillId="0" borderId="11" xfId="0" applyBorder="1" applyAlignment="1">
      <alignment horizontal="left" vertical="center" shrinkToFit="1"/>
    </xf>
    <xf numFmtId="0" fontId="32" fillId="0" borderId="110" xfId="29" applyNumberFormat="1" applyFont="1" applyFill="1" applyBorder="1" applyAlignment="1" applyProtection="1">
      <alignment horizontal="center" vertical="center"/>
      <protection hidden="1"/>
    </xf>
    <xf numFmtId="0" fontId="32" fillId="0" borderId="111" xfId="29" applyNumberFormat="1" applyFont="1" applyFill="1" applyBorder="1" applyAlignment="1" applyProtection="1">
      <alignment horizontal="center" vertical="center"/>
      <protection hidden="1"/>
    </xf>
    <xf numFmtId="0" fontId="32" fillId="0" borderId="112" xfId="29" applyNumberFormat="1" applyFont="1" applyFill="1" applyBorder="1" applyAlignment="1" applyProtection="1">
      <alignment horizontal="center" vertical="center"/>
      <protection hidden="1"/>
    </xf>
    <xf numFmtId="0" fontId="12" fillId="0" borderId="108" xfId="0" applyFont="1" applyBorder="1" applyAlignment="1" applyProtection="1">
      <alignment horizontal="left" vertical="center"/>
      <protection hidden="1"/>
    </xf>
    <xf numFmtId="0" fontId="12" fillId="0" borderId="46" xfId="0" applyFont="1" applyBorder="1" applyAlignment="1" applyProtection="1">
      <alignment horizontal="left" vertical="center"/>
      <protection hidden="1"/>
    </xf>
    <xf numFmtId="190" fontId="12" fillId="24" borderId="98" xfId="0" applyNumberFormat="1" applyFont="1" applyFill="1" applyBorder="1" applyAlignment="1" applyProtection="1">
      <alignment horizontal="left" vertical="center"/>
      <protection hidden="1"/>
    </xf>
    <xf numFmtId="190" fontId="12" fillId="24" borderId="11" xfId="0" applyNumberFormat="1" applyFont="1" applyFill="1" applyBorder="1" applyAlignment="1" applyProtection="1">
      <alignment horizontal="left" vertical="center"/>
      <protection hidden="1"/>
    </xf>
    <xf numFmtId="0" fontId="12" fillId="0" borderId="11" xfId="0" applyFont="1" applyBorder="1" applyAlignment="1" applyProtection="1">
      <alignment horizontal="left" vertical="center" shrinkToFit="1"/>
      <protection hidden="1"/>
    </xf>
    <xf numFmtId="0" fontId="63" fillId="36" borderId="70" xfId="0" applyFont="1" applyFill="1" applyBorder="1" applyAlignment="1" applyProtection="1">
      <alignment horizontal="left" vertical="center"/>
      <protection hidden="1"/>
    </xf>
    <xf numFmtId="0" fontId="63" fillId="36" borderId="71" xfId="0" applyFont="1" applyFill="1" applyBorder="1" applyAlignment="1" applyProtection="1">
      <alignment horizontal="left" vertical="center"/>
      <protection hidden="1"/>
    </xf>
    <xf numFmtId="0" fontId="63" fillId="36" borderId="86" xfId="0" applyFont="1" applyFill="1" applyBorder="1" applyAlignment="1" applyProtection="1">
      <alignment horizontal="left" vertical="center"/>
      <protection hidden="1"/>
    </xf>
    <xf numFmtId="0" fontId="35" fillId="36" borderId="70" xfId="0" applyFont="1" applyFill="1" applyBorder="1" applyAlignment="1" applyProtection="1">
      <alignment horizontal="left" vertical="center"/>
      <protection hidden="1"/>
    </xf>
    <xf numFmtId="0" fontId="35" fillId="36" borderId="71" xfId="0" applyFont="1" applyFill="1" applyBorder="1" applyAlignment="1" applyProtection="1">
      <alignment horizontal="left" vertical="center"/>
      <protection hidden="1"/>
    </xf>
    <xf numFmtId="0" fontId="35" fillId="36" borderId="86" xfId="0" applyFont="1" applyFill="1" applyBorder="1" applyAlignment="1" applyProtection="1">
      <alignment horizontal="left" vertical="center"/>
      <protection hidden="1"/>
    </xf>
    <xf numFmtId="0" fontId="48" fillId="0" borderId="10" xfId="0" applyFont="1" applyBorder="1" applyAlignment="1" applyProtection="1">
      <alignment horizontal="left" vertical="center" wrapText="1"/>
      <protection hidden="1"/>
    </xf>
    <xf numFmtId="0" fontId="48" fillId="0" borderId="0" xfId="0" applyFont="1" applyAlignment="1" applyProtection="1">
      <alignment horizontal="left" vertical="center" wrapText="1"/>
      <protection hidden="1"/>
    </xf>
    <xf numFmtId="0" fontId="48" fillId="0" borderId="11" xfId="0" applyFont="1" applyBorder="1" applyAlignment="1" applyProtection="1">
      <alignment horizontal="left" vertical="center" wrapText="1"/>
      <protection hidden="1"/>
    </xf>
    <xf numFmtId="0" fontId="48" fillId="0" borderId="25" xfId="0" applyFont="1" applyBorder="1" applyAlignment="1" applyProtection="1">
      <alignment horizontal="left" vertical="center" wrapText="1"/>
      <protection hidden="1"/>
    </xf>
    <xf numFmtId="0" fontId="48" fillId="0" borderId="26" xfId="0" applyFont="1" applyBorder="1" applyAlignment="1" applyProtection="1">
      <alignment horizontal="left" vertical="center" wrapText="1"/>
      <protection hidden="1"/>
    </xf>
    <xf numFmtId="0" fontId="48" fillId="0" borderId="27" xfId="0" applyFont="1" applyBorder="1" applyAlignment="1" applyProtection="1">
      <alignment horizontal="left" vertical="center" wrapText="1"/>
      <protection hidden="1"/>
    </xf>
    <xf numFmtId="0" fontId="13" fillId="31" borderId="44" xfId="0" applyFont="1" applyFill="1" applyBorder="1" applyAlignment="1" applyProtection="1">
      <alignment horizontal="left" vertical="center"/>
      <protection hidden="1"/>
    </xf>
    <xf numFmtId="0" fontId="13" fillId="31" borderId="35" xfId="0" applyFont="1" applyFill="1" applyBorder="1" applyAlignment="1" applyProtection="1">
      <alignment horizontal="left" vertical="center"/>
      <protection hidden="1"/>
    </xf>
    <xf numFmtId="0" fontId="13" fillId="31" borderId="46" xfId="0" applyFont="1" applyFill="1" applyBorder="1" applyAlignment="1" applyProtection="1">
      <alignment horizontal="left" vertical="center"/>
      <protection hidden="1"/>
    </xf>
    <xf numFmtId="0" fontId="64" fillId="0" borderId="32" xfId="0" applyFont="1" applyBorder="1" applyAlignment="1" applyProtection="1">
      <alignment horizontal="left" vertical="top" wrapText="1"/>
      <protection hidden="1"/>
    </xf>
    <xf numFmtId="0" fontId="64" fillId="0" borderId="12" xfId="0" applyFont="1" applyBorder="1" applyAlignment="1" applyProtection="1">
      <alignment horizontal="left" vertical="top" wrapText="1"/>
      <protection hidden="1"/>
    </xf>
    <xf numFmtId="0" fontId="64" fillId="0" borderId="90" xfId="0" applyFont="1" applyBorder="1" applyAlignment="1" applyProtection="1">
      <alignment horizontal="left" vertical="top" wrapText="1"/>
      <protection hidden="1"/>
    </xf>
    <xf numFmtId="0" fontId="64" fillId="24" borderId="12" xfId="0" applyFont="1" applyFill="1" applyBorder="1" applyAlignment="1" applyProtection="1">
      <alignment horizontal="left" vertical="top" wrapText="1"/>
      <protection hidden="1"/>
    </xf>
    <xf numFmtId="0" fontId="64" fillId="24" borderId="13" xfId="0" applyFont="1" applyFill="1" applyBorder="1" applyAlignment="1" applyProtection="1">
      <alignment horizontal="left" vertical="top" wrapText="1"/>
      <protection hidden="1"/>
    </xf>
    <xf numFmtId="0" fontId="18" fillId="24" borderId="10" xfId="0" applyFont="1" applyFill="1" applyBorder="1" applyAlignment="1" applyProtection="1">
      <alignment horizontal="left" vertical="top" wrapText="1"/>
      <protection hidden="1"/>
    </xf>
    <xf numFmtId="0" fontId="18" fillId="24" borderId="0" xfId="0" applyFont="1" applyFill="1" applyAlignment="1" applyProtection="1">
      <alignment horizontal="left" vertical="top" wrapText="1"/>
      <protection hidden="1"/>
    </xf>
    <xf numFmtId="0" fontId="18" fillId="24" borderId="11" xfId="0" applyFont="1" applyFill="1" applyBorder="1" applyAlignment="1" applyProtection="1">
      <alignment horizontal="left" vertical="top" wrapText="1"/>
      <protection hidden="1"/>
    </xf>
    <xf numFmtId="0" fontId="18" fillId="24" borderId="25" xfId="0" applyFont="1" applyFill="1" applyBorder="1" applyAlignment="1" applyProtection="1">
      <alignment horizontal="left" vertical="top" wrapText="1"/>
      <protection hidden="1"/>
    </xf>
    <xf numFmtId="0" fontId="18" fillId="24" borderId="26" xfId="0" applyFont="1" applyFill="1" applyBorder="1" applyAlignment="1" applyProtection="1">
      <alignment horizontal="left" vertical="top" wrapText="1"/>
      <protection hidden="1"/>
    </xf>
    <xf numFmtId="0" fontId="18" fillId="24" borderId="27" xfId="0" applyFont="1" applyFill="1" applyBorder="1" applyAlignment="1" applyProtection="1">
      <alignment horizontal="left" vertical="top" wrapText="1"/>
      <protection hidden="1"/>
    </xf>
    <xf numFmtId="0" fontId="64" fillId="24" borderId="32" xfId="0" applyFont="1" applyFill="1" applyBorder="1" applyAlignment="1" applyProtection="1">
      <alignment horizontal="left" vertical="top" wrapText="1"/>
      <protection hidden="1"/>
    </xf>
    <xf numFmtId="0" fontId="64" fillId="24" borderId="90" xfId="0" applyFont="1" applyFill="1" applyBorder="1" applyAlignment="1" applyProtection="1">
      <alignment horizontal="left" vertical="top" wrapText="1"/>
      <protection hidden="1"/>
    </xf>
    <xf numFmtId="0" fontId="64" fillId="24" borderId="91" xfId="0" applyFont="1" applyFill="1" applyBorder="1" applyAlignment="1" applyProtection="1">
      <alignment horizontal="left" vertical="top" wrapText="1"/>
      <protection hidden="1"/>
    </xf>
    <xf numFmtId="0" fontId="64" fillId="24" borderId="25" xfId="0" applyFont="1" applyFill="1" applyBorder="1" applyAlignment="1" applyProtection="1">
      <alignment horizontal="left" vertical="top" wrapText="1"/>
      <protection hidden="1"/>
    </xf>
    <xf numFmtId="0" fontId="64" fillId="24" borderId="26" xfId="0" applyFont="1" applyFill="1" applyBorder="1" applyAlignment="1" applyProtection="1">
      <alignment horizontal="left" vertical="top" wrapText="1"/>
      <protection hidden="1"/>
    </xf>
    <xf numFmtId="0" fontId="64" fillId="24" borderId="109" xfId="0" applyFont="1" applyFill="1" applyBorder="1" applyAlignment="1" applyProtection="1">
      <alignment horizontal="left" vertical="top" wrapText="1"/>
      <protection hidden="1"/>
    </xf>
    <xf numFmtId="0" fontId="64" fillId="24" borderId="81" xfId="0" applyFont="1" applyFill="1" applyBorder="1" applyAlignment="1" applyProtection="1">
      <alignment horizontal="left" vertical="top" wrapText="1"/>
      <protection hidden="1"/>
    </xf>
    <xf numFmtId="0" fontId="64" fillId="24" borderId="27" xfId="0" applyFont="1" applyFill="1" applyBorder="1" applyAlignment="1" applyProtection="1">
      <alignment horizontal="left" vertical="top" wrapText="1"/>
      <protection hidden="1"/>
    </xf>
    <xf numFmtId="0" fontId="12" fillId="24" borderId="99" xfId="0" applyFont="1" applyFill="1" applyBorder="1" applyAlignment="1" applyProtection="1">
      <alignment horizontal="right" vertical="center"/>
      <protection locked="0"/>
    </xf>
    <xf numFmtId="0" fontId="12" fillId="24" borderId="100" xfId="0" applyFont="1" applyFill="1" applyBorder="1" applyAlignment="1" applyProtection="1">
      <alignment horizontal="right" vertical="center"/>
      <protection locked="0"/>
    </xf>
    <xf numFmtId="0" fontId="12" fillId="24" borderId="70" xfId="0" applyFont="1" applyFill="1" applyBorder="1" applyAlignment="1" applyProtection="1">
      <alignment horizontal="right" vertical="center"/>
      <protection locked="0"/>
    </xf>
    <xf numFmtId="0" fontId="12" fillId="24" borderId="86" xfId="0" applyFont="1" applyFill="1" applyBorder="1" applyAlignment="1" applyProtection="1">
      <alignment horizontal="right" vertical="center"/>
      <protection locked="0"/>
    </xf>
    <xf numFmtId="55" fontId="12" fillId="24" borderId="70" xfId="0" applyNumberFormat="1" applyFont="1" applyFill="1" applyBorder="1" applyAlignment="1" applyProtection="1">
      <alignment horizontal="right" vertical="center"/>
      <protection locked="0"/>
    </xf>
    <xf numFmtId="55" fontId="12" fillId="24" borderId="86" xfId="0" applyNumberFormat="1" applyFont="1" applyFill="1" applyBorder="1" applyAlignment="1" applyProtection="1">
      <alignment horizontal="right" vertical="center"/>
      <protection locked="0"/>
    </xf>
    <xf numFmtId="0" fontId="12" fillId="24" borderId="91" xfId="0" applyFont="1" applyFill="1" applyBorder="1" applyAlignment="1" applyProtection="1">
      <alignment horizontal="right" vertical="center"/>
      <protection hidden="1"/>
    </xf>
    <xf numFmtId="0" fontId="12" fillId="24" borderId="90" xfId="0" applyFont="1" applyFill="1" applyBorder="1" applyAlignment="1" applyProtection="1">
      <alignment horizontal="right" vertical="center"/>
      <protection hidden="1"/>
    </xf>
    <xf numFmtId="185" fontId="12" fillId="24" borderId="70" xfId="36" applyNumberFormat="1" applyFont="1" applyFill="1" applyBorder="1" applyAlignment="1" applyProtection="1">
      <alignment horizontal="right" vertical="center"/>
      <protection locked="0"/>
    </xf>
    <xf numFmtId="185" fontId="12" fillId="24" borderId="86" xfId="36" applyNumberFormat="1" applyFont="1" applyFill="1" applyBorder="1" applyAlignment="1" applyProtection="1">
      <alignment horizontal="right" vertical="center"/>
      <protection locked="0"/>
    </xf>
    <xf numFmtId="179" fontId="12" fillId="24" borderId="101" xfId="0" applyNumberFormat="1" applyFont="1" applyFill="1" applyBorder="1" applyAlignment="1" applyProtection="1">
      <alignment horizontal="left" vertical="center"/>
      <protection locked="0"/>
    </xf>
    <xf numFmtId="179" fontId="12" fillId="24" borderId="51" xfId="0" applyNumberFormat="1" applyFont="1" applyFill="1" applyBorder="1" applyAlignment="1" applyProtection="1">
      <alignment horizontal="left" vertical="center"/>
      <protection locked="0"/>
    </xf>
    <xf numFmtId="179" fontId="12" fillId="24" borderId="52" xfId="0" applyNumberFormat="1" applyFont="1" applyFill="1" applyBorder="1" applyAlignment="1" applyProtection="1">
      <alignment horizontal="left" vertical="center"/>
      <protection locked="0"/>
    </xf>
    <xf numFmtId="179" fontId="12" fillId="24" borderId="91" xfId="0" applyNumberFormat="1"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38" fontId="12" fillId="24" borderId="70" xfId="36" applyFont="1" applyFill="1" applyBorder="1" applyAlignment="1" applyProtection="1">
      <alignment horizontal="right" vertical="center"/>
      <protection locked="0"/>
    </xf>
    <xf numFmtId="38" fontId="12" fillId="24" borderId="86" xfId="36" applyFont="1" applyFill="1" applyBorder="1" applyAlignment="1" applyProtection="1">
      <alignment horizontal="right" vertical="center"/>
      <protection locked="0"/>
    </xf>
    <xf numFmtId="186" fontId="12" fillId="24" borderId="70" xfId="36" applyNumberFormat="1" applyFont="1" applyFill="1" applyBorder="1" applyAlignment="1" applyProtection="1">
      <alignment horizontal="right" vertical="center"/>
      <protection locked="0"/>
    </xf>
    <xf numFmtId="186" fontId="12" fillId="24" borderId="86" xfId="36" applyNumberFormat="1" applyFont="1" applyFill="1" applyBorder="1" applyAlignment="1" applyProtection="1">
      <alignment horizontal="right" vertical="center"/>
      <protection locked="0"/>
    </xf>
    <xf numFmtId="185" fontId="12" fillId="24" borderId="69" xfId="36" applyNumberFormat="1" applyFont="1" applyFill="1" applyBorder="1" applyAlignment="1" applyProtection="1">
      <alignment horizontal="right" vertical="center"/>
      <protection locked="0"/>
    </xf>
    <xf numFmtId="185" fontId="12" fillId="24" borderId="45" xfId="36" applyNumberFormat="1" applyFont="1" applyFill="1" applyBorder="1" applyAlignment="1" applyProtection="1">
      <alignment horizontal="right" vertical="center"/>
      <protection locked="0"/>
    </xf>
    <xf numFmtId="56" fontId="14" fillId="28" borderId="43" xfId="0" applyNumberFormat="1" applyFont="1" applyFill="1" applyBorder="1" applyAlignment="1" applyProtection="1">
      <alignment horizontal="left" vertical="center"/>
      <protection hidden="1"/>
    </xf>
    <xf numFmtId="56" fontId="14" fillId="28" borderId="20" xfId="0" applyNumberFormat="1" applyFont="1" applyFill="1" applyBorder="1" applyAlignment="1" applyProtection="1">
      <alignment horizontal="left" vertical="center"/>
      <protection hidden="1"/>
    </xf>
    <xf numFmtId="56" fontId="14" fillId="28" borderId="21" xfId="0" applyNumberFormat="1" applyFont="1" applyFill="1" applyBorder="1" applyAlignment="1" applyProtection="1">
      <alignment horizontal="left" vertical="center"/>
      <protection hidden="1"/>
    </xf>
    <xf numFmtId="0" fontId="185" fillId="0" borderId="26" xfId="0" applyFont="1" applyBorder="1" applyAlignment="1" applyProtection="1">
      <alignment horizontal="center" vertical="center"/>
      <protection hidden="1"/>
    </xf>
    <xf numFmtId="0" fontId="185" fillId="0" borderId="0" xfId="0" applyFont="1" applyAlignment="1" applyProtection="1">
      <alignment horizontal="center" vertical="center"/>
      <protection hidden="1"/>
    </xf>
    <xf numFmtId="0" fontId="136" fillId="0" borderId="33" xfId="0" applyFont="1" applyBorder="1" applyAlignment="1" applyProtection="1">
      <alignment horizontal="center" vertical="center" wrapText="1"/>
      <protection hidden="1"/>
    </xf>
    <xf numFmtId="0" fontId="136" fillId="0" borderId="80" xfId="0" applyFont="1" applyBorder="1" applyAlignment="1" applyProtection="1">
      <alignment horizontal="center" vertical="center"/>
      <protection hidden="1"/>
    </xf>
    <xf numFmtId="0" fontId="136" fillId="0" borderId="82" xfId="0" applyFont="1" applyBorder="1" applyAlignment="1" applyProtection="1">
      <alignment horizontal="center" vertical="center"/>
      <protection hidden="1"/>
    </xf>
    <xf numFmtId="0" fontId="136" fillId="0" borderId="129" xfId="0" applyFont="1" applyBorder="1" applyAlignment="1" applyProtection="1">
      <alignment horizontal="center" vertical="center" wrapText="1"/>
      <protection hidden="1"/>
    </xf>
    <xf numFmtId="0" fontId="200" fillId="47" borderId="10" xfId="0" applyFont="1" applyFill="1" applyBorder="1" applyAlignment="1" applyProtection="1">
      <alignment horizontal="left" vertical="center"/>
      <protection hidden="1"/>
    </xf>
    <xf numFmtId="0" fontId="200" fillId="47" borderId="0" xfId="0" applyFont="1" applyFill="1" applyAlignment="1" applyProtection="1">
      <alignment horizontal="left" vertical="center"/>
      <protection hidden="1"/>
    </xf>
    <xf numFmtId="0" fontId="200" fillId="47" borderId="11" xfId="0" applyFont="1" applyFill="1" applyBorder="1" applyAlignment="1" applyProtection="1">
      <alignment horizontal="left" vertical="center"/>
      <protection hidden="1"/>
    </xf>
    <xf numFmtId="0" fontId="202" fillId="44" borderId="92" xfId="0" applyFont="1" applyFill="1" applyBorder="1" applyAlignment="1">
      <alignment horizontal="center" vertical="center"/>
    </xf>
    <xf numFmtId="0" fontId="202" fillId="44" borderId="86" xfId="0" applyFont="1" applyFill="1" applyBorder="1" applyAlignment="1">
      <alignment horizontal="center" vertical="center"/>
    </xf>
    <xf numFmtId="0" fontId="136" fillId="37" borderId="92" xfId="0" applyFont="1" applyFill="1" applyBorder="1" applyAlignment="1" applyProtection="1">
      <alignment horizontal="left" vertical="center" indent="2"/>
      <protection hidden="1"/>
    </xf>
    <xf numFmtId="0" fontId="136" fillId="37" borderId="86" xfId="0" applyFont="1" applyFill="1" applyBorder="1" applyAlignment="1" applyProtection="1">
      <alignment horizontal="left" vertical="center" indent="2"/>
      <protection hidden="1"/>
    </xf>
    <xf numFmtId="0" fontId="183" fillId="0" borderId="26" xfId="0" applyFont="1" applyBorder="1" applyAlignment="1" applyProtection="1">
      <alignment horizontal="center" vertical="center"/>
      <protection hidden="1"/>
    </xf>
    <xf numFmtId="0" fontId="39" fillId="0" borderId="0" xfId="0" applyFont="1" applyAlignment="1" applyProtection="1">
      <alignment horizontal="center" vertical="center"/>
      <protection hidden="1"/>
    </xf>
    <xf numFmtId="182" fontId="62" fillId="0" borderId="11" xfId="36" applyNumberFormat="1" applyFont="1" applyFill="1" applyBorder="1" applyAlignment="1" applyProtection="1">
      <alignment horizontal="center" vertical="center"/>
      <protection hidden="1"/>
    </xf>
    <xf numFmtId="56" fontId="104" fillId="28" borderId="43" xfId="0" applyNumberFormat="1" applyFont="1" applyFill="1" applyBorder="1" applyAlignment="1" applyProtection="1">
      <alignment horizontal="left" vertical="center"/>
      <protection hidden="1"/>
    </xf>
    <xf numFmtId="56" fontId="104" fillId="28" borderId="20" xfId="0" applyNumberFormat="1" applyFont="1" applyFill="1" applyBorder="1" applyAlignment="1" applyProtection="1">
      <alignment horizontal="left" vertical="center"/>
      <protection hidden="1"/>
    </xf>
    <xf numFmtId="56" fontId="104" fillId="28" borderId="21" xfId="0" applyNumberFormat="1" applyFont="1" applyFill="1" applyBorder="1" applyAlignment="1" applyProtection="1">
      <alignment horizontal="left" vertical="center"/>
      <protection hidden="1"/>
    </xf>
    <xf numFmtId="2" fontId="0" fillId="0" borderId="33" xfId="0" applyNumberFormat="1" applyBorder="1" applyAlignment="1">
      <alignment horizontal="center" vertical="center"/>
    </xf>
    <xf numFmtId="2" fontId="0" fillId="0" borderId="80" xfId="0" applyNumberFormat="1" applyBorder="1" applyAlignment="1">
      <alignment horizontal="center" vertical="center"/>
    </xf>
    <xf numFmtId="2" fontId="0" fillId="0" borderId="82" xfId="0" applyNumberFormat="1" applyBorder="1" applyAlignment="1">
      <alignment horizontal="center" vertical="center"/>
    </xf>
    <xf numFmtId="184" fontId="4" fillId="0" borderId="14" xfId="0" applyNumberFormat="1" applyFont="1" applyBorder="1" applyAlignment="1">
      <alignment horizontal="center" vertical="center"/>
    </xf>
    <xf numFmtId="184" fontId="4" fillId="0" borderId="20" xfId="0" applyNumberFormat="1" applyFont="1" applyBorder="1" applyAlignment="1">
      <alignment horizontal="center" vertical="center"/>
    </xf>
    <xf numFmtId="184" fontId="4" fillId="0" borderId="21" xfId="0" applyNumberFormat="1" applyFont="1" applyBorder="1" applyAlignment="1">
      <alignment horizontal="center" vertical="center"/>
    </xf>
    <xf numFmtId="0" fontId="0" fillId="30" borderId="102" xfId="0" applyFill="1" applyBorder="1" applyAlignment="1" applyProtection="1">
      <alignment horizontal="center" vertical="center"/>
      <protection hidden="1"/>
    </xf>
    <xf numFmtId="0" fontId="0" fillId="30" borderId="37" xfId="0" applyFill="1" applyBorder="1" applyAlignment="1" applyProtection="1">
      <alignment horizontal="center" vertical="center"/>
      <protection hidden="1"/>
    </xf>
    <xf numFmtId="0" fontId="0" fillId="30" borderId="103" xfId="0" applyFill="1" applyBorder="1" applyAlignment="1" applyProtection="1">
      <alignment horizontal="center" vertical="center"/>
      <protection hidden="1"/>
    </xf>
    <xf numFmtId="0" fontId="0" fillId="33" borderId="68" xfId="0" applyFill="1" applyBorder="1" applyAlignment="1" applyProtection="1">
      <alignment horizontal="left" vertical="top" wrapText="1"/>
      <protection locked="0" hidden="1"/>
    </xf>
    <xf numFmtId="0" fontId="0" fillId="33" borderId="0" xfId="0" applyFill="1" applyAlignment="1" applyProtection="1">
      <alignment horizontal="left" vertical="top" wrapText="1"/>
      <protection locked="0" hidden="1"/>
    </xf>
    <xf numFmtId="0" fontId="0" fillId="33" borderId="11" xfId="0" applyFill="1" applyBorder="1" applyAlignment="1" applyProtection="1">
      <alignment horizontal="left" vertical="top" wrapText="1"/>
      <protection locked="0" hidden="1"/>
    </xf>
    <xf numFmtId="0" fontId="0" fillId="33" borderId="70" xfId="0" applyFill="1" applyBorder="1" applyAlignment="1" applyProtection="1">
      <alignment horizontal="left" vertical="top" wrapText="1"/>
      <protection locked="0" hidden="1"/>
    </xf>
    <xf numFmtId="0" fontId="0" fillId="33" borderId="71" xfId="0" applyFill="1" applyBorder="1" applyAlignment="1" applyProtection="1">
      <alignment horizontal="left" vertical="top" wrapText="1"/>
      <protection locked="0" hidden="1"/>
    </xf>
    <xf numFmtId="0" fontId="0" fillId="0" borderId="88" xfId="0" applyBorder="1" applyAlignment="1" applyProtection="1">
      <alignment horizontal="left" vertical="top" wrapText="1"/>
      <protection locked="0" hidden="1"/>
    </xf>
    <xf numFmtId="0" fontId="0" fillId="33" borderId="104" xfId="0" applyFill="1" applyBorder="1" applyAlignment="1" applyProtection="1">
      <alignment horizontal="left" vertical="top" wrapText="1"/>
      <protection locked="0" hidden="1"/>
    </xf>
    <xf numFmtId="0" fontId="0" fillId="33" borderId="105" xfId="0" applyFill="1" applyBorder="1" applyAlignment="1" applyProtection="1">
      <alignment horizontal="left" vertical="top" wrapText="1"/>
      <protection locked="0" hidden="1"/>
    </xf>
    <xf numFmtId="0" fontId="0" fillId="0" borderId="106" xfId="0" applyBorder="1" applyAlignment="1" applyProtection="1">
      <alignment horizontal="left" vertical="top" wrapText="1"/>
      <protection locked="0" hidden="1"/>
    </xf>
    <xf numFmtId="0" fontId="0" fillId="33" borderId="82" xfId="0" applyFill="1" applyBorder="1" applyAlignment="1" applyProtection="1">
      <alignment vertical="top" wrapText="1"/>
      <protection locked="0" hidden="1"/>
    </xf>
    <xf numFmtId="0" fontId="0" fillId="33" borderId="34" xfId="0" applyFill="1" applyBorder="1" applyAlignment="1" applyProtection="1">
      <alignment vertical="top" wrapText="1"/>
      <protection locked="0" hidden="1"/>
    </xf>
    <xf numFmtId="0" fontId="0" fillId="35" borderId="34" xfId="0" applyFill="1" applyBorder="1" applyAlignment="1" applyProtection="1">
      <alignment vertical="top" wrapText="1"/>
      <protection locked="0" hidden="1"/>
    </xf>
    <xf numFmtId="0" fontId="0" fillId="33" borderId="107" xfId="0" applyFill="1" applyBorder="1" applyAlignment="1" applyProtection="1">
      <alignment vertical="top" wrapText="1"/>
      <protection locked="0" hidden="1"/>
    </xf>
    <xf numFmtId="0" fontId="0" fillId="33" borderId="87" xfId="0" applyFill="1" applyBorder="1" applyAlignment="1" applyProtection="1">
      <alignment vertical="top" wrapText="1"/>
      <protection locked="0" hidden="1"/>
    </xf>
    <xf numFmtId="0" fontId="0" fillId="33" borderId="81" xfId="0" applyFill="1" applyBorder="1" applyAlignment="1" applyProtection="1">
      <alignment horizontal="left" vertical="top" wrapText="1"/>
      <protection locked="0" hidden="1"/>
    </xf>
    <xf numFmtId="0" fontId="0" fillId="33" borderId="26" xfId="0" applyFill="1" applyBorder="1" applyAlignment="1" applyProtection="1">
      <alignment horizontal="left" vertical="top" wrapText="1"/>
      <protection locked="0" hidden="1"/>
    </xf>
    <xf numFmtId="0" fontId="0" fillId="0" borderId="27" xfId="0" applyBorder="1" applyAlignment="1" applyProtection="1">
      <alignment horizontal="left" vertical="top" wrapText="1"/>
      <protection locked="0" hidden="1"/>
    </xf>
    <xf numFmtId="0" fontId="0" fillId="0" borderId="11" xfId="0" applyBorder="1" applyAlignment="1" applyProtection="1">
      <alignment horizontal="left" vertical="top" wrapText="1"/>
      <protection locked="0" hidden="1"/>
    </xf>
    <xf numFmtId="0" fontId="12" fillId="34" borderId="128" xfId="0" applyFont="1" applyFill="1" applyBorder="1" applyAlignment="1" applyProtection="1">
      <alignment horizontal="left" vertical="center" wrapText="1"/>
      <protection hidden="1"/>
    </xf>
    <xf numFmtId="0" fontId="12" fillId="34" borderId="146" xfId="0" applyFont="1" applyFill="1" applyBorder="1" applyAlignment="1" applyProtection="1">
      <alignment horizontal="left" vertical="center" wrapText="1"/>
      <protection hidden="1"/>
    </xf>
    <xf numFmtId="0" fontId="12" fillId="34" borderId="147" xfId="0" applyFont="1" applyFill="1" applyBorder="1" applyAlignment="1" applyProtection="1">
      <alignment horizontal="left" vertical="center" wrapText="1"/>
      <protection hidden="1"/>
    </xf>
    <xf numFmtId="0" fontId="18" fillId="34" borderId="92" xfId="0" applyFont="1" applyFill="1" applyBorder="1" applyAlignment="1" applyProtection="1">
      <alignment horizontal="left" vertical="center" wrapText="1"/>
      <protection hidden="1"/>
    </xf>
    <xf numFmtId="0" fontId="18" fillId="34" borderId="71" xfId="0" applyFont="1" applyFill="1" applyBorder="1" applyAlignment="1" applyProtection="1">
      <alignment horizontal="left" vertical="center" wrapText="1"/>
      <protection hidden="1"/>
    </xf>
    <xf numFmtId="0" fontId="18" fillId="34" borderId="86" xfId="0" applyFont="1" applyFill="1" applyBorder="1" applyAlignment="1" applyProtection="1">
      <alignment horizontal="left" vertical="center" wrapText="1"/>
      <protection hidden="1"/>
    </xf>
    <xf numFmtId="0" fontId="18" fillId="34" borderId="35" xfId="0" applyFont="1" applyFill="1" applyBorder="1" applyAlignment="1" applyProtection="1">
      <alignment horizontal="left" vertical="center" wrapText="1"/>
      <protection hidden="1"/>
    </xf>
    <xf numFmtId="0" fontId="18" fillId="34" borderId="45" xfId="0" applyFont="1" applyFill="1" applyBorder="1" applyAlignment="1" applyProtection="1">
      <alignment horizontal="left" vertical="center" wrapText="1"/>
      <protection hidden="1"/>
    </xf>
    <xf numFmtId="0" fontId="18" fillId="34" borderId="0" xfId="0" applyFont="1" applyFill="1" applyAlignment="1" applyProtection="1">
      <alignment horizontal="left" vertical="center" wrapText="1"/>
      <protection hidden="1"/>
    </xf>
    <xf numFmtId="0" fontId="18" fillId="34" borderId="47" xfId="0" applyFont="1" applyFill="1" applyBorder="1" applyAlignment="1" applyProtection="1">
      <alignment horizontal="left" vertical="center" wrapText="1"/>
      <protection hidden="1"/>
    </xf>
    <xf numFmtId="0" fontId="18" fillId="34" borderId="12" xfId="0" applyFont="1" applyFill="1" applyBorder="1" applyAlignment="1" applyProtection="1">
      <alignment horizontal="left" vertical="center" wrapText="1"/>
      <protection hidden="1"/>
    </xf>
    <xf numFmtId="0" fontId="18" fillId="34" borderId="90" xfId="0" applyFont="1" applyFill="1" applyBorder="1" applyAlignment="1" applyProtection="1">
      <alignment horizontal="left" vertical="center" wrapText="1"/>
      <protection hidden="1"/>
    </xf>
    <xf numFmtId="0" fontId="64" fillId="34" borderId="92" xfId="0" applyFont="1" applyFill="1" applyBorder="1" applyAlignment="1" applyProtection="1">
      <alignment horizontal="left" vertical="center" wrapText="1"/>
      <protection hidden="1"/>
    </xf>
    <xf numFmtId="0" fontId="64" fillId="34" borderId="71" xfId="0" applyFont="1" applyFill="1" applyBorder="1" applyAlignment="1" applyProtection="1">
      <alignment horizontal="left" vertical="center" wrapText="1"/>
      <protection hidden="1"/>
    </xf>
    <xf numFmtId="0" fontId="64" fillId="34" borderId="86" xfId="0" applyFont="1" applyFill="1" applyBorder="1" applyAlignment="1" applyProtection="1">
      <alignment horizontal="left" vertical="center" wrapText="1"/>
      <protection hidden="1"/>
    </xf>
    <xf numFmtId="0" fontId="12" fillId="40" borderId="70" xfId="0" applyFont="1" applyFill="1" applyBorder="1" applyAlignment="1" applyProtection="1">
      <alignment horizontal="center" vertical="center" shrinkToFit="1"/>
      <protection hidden="1"/>
    </xf>
    <xf numFmtId="0" fontId="12" fillId="40" borderId="71" xfId="0" applyFont="1" applyFill="1" applyBorder="1" applyAlignment="1" applyProtection="1">
      <alignment horizontal="center" vertical="center" shrinkToFit="1"/>
      <protection hidden="1"/>
    </xf>
    <xf numFmtId="0" fontId="12" fillId="40" borderId="86" xfId="0" applyFont="1" applyFill="1" applyBorder="1" applyAlignment="1" applyProtection="1">
      <alignment horizontal="center" vertical="center" shrinkToFit="1"/>
      <protection hidden="1"/>
    </xf>
    <xf numFmtId="0" fontId="167" fillId="40" borderId="70" xfId="0" applyFont="1" applyFill="1" applyBorder="1" applyAlignment="1" applyProtection="1">
      <alignment horizontal="center" vertical="center" shrinkToFit="1"/>
      <protection hidden="1"/>
    </xf>
    <xf numFmtId="0" fontId="18" fillId="40" borderId="71" xfId="0" applyFont="1" applyFill="1" applyBorder="1" applyAlignment="1" applyProtection="1">
      <alignment horizontal="center" vertical="center" shrinkToFit="1"/>
      <protection hidden="1"/>
    </xf>
    <xf numFmtId="0" fontId="18" fillId="40" borderId="86" xfId="0" applyFont="1" applyFill="1" applyBorder="1" applyAlignment="1" applyProtection="1">
      <alignment horizontal="center" vertical="center" shrinkToFit="1"/>
      <protection hidden="1"/>
    </xf>
    <xf numFmtId="0" fontId="18" fillId="34" borderId="71" xfId="0" applyFont="1" applyFill="1" applyBorder="1" applyAlignment="1" applyProtection="1">
      <alignment horizontal="left" vertical="center"/>
      <protection hidden="1"/>
    </xf>
    <xf numFmtId="0" fontId="18" fillId="34" borderId="86" xfId="0" applyFont="1" applyFill="1" applyBorder="1" applyAlignment="1" applyProtection="1">
      <alignment horizontal="left" vertical="center"/>
      <protection hidden="1"/>
    </xf>
    <xf numFmtId="0" fontId="167" fillId="40" borderId="71" xfId="0" applyFont="1" applyFill="1" applyBorder="1" applyAlignment="1" applyProtection="1">
      <alignment horizontal="center" vertical="center" shrinkToFit="1"/>
      <protection hidden="1"/>
    </xf>
    <xf numFmtId="0" fontId="145" fillId="34" borderId="71" xfId="0" applyFont="1" applyFill="1" applyBorder="1" applyAlignment="1" applyProtection="1">
      <alignment horizontal="left" vertical="center" wrapText="1"/>
      <protection hidden="1"/>
    </xf>
    <xf numFmtId="0" fontId="145" fillId="34" borderId="86" xfId="0" applyFont="1" applyFill="1" applyBorder="1" applyAlignment="1" applyProtection="1">
      <alignment horizontal="left" vertical="center" wrapText="1"/>
      <protection hidden="1"/>
    </xf>
    <xf numFmtId="0" fontId="146" fillId="34" borderId="71" xfId="0" applyFont="1" applyFill="1" applyBorder="1" applyAlignment="1" applyProtection="1">
      <alignment horizontal="left" vertical="center" wrapText="1"/>
      <protection hidden="1"/>
    </xf>
    <xf numFmtId="0" fontId="190" fillId="34" borderId="71" xfId="0" applyFont="1" applyFill="1" applyBorder="1" applyAlignment="1" applyProtection="1">
      <alignment horizontal="left" vertical="center" wrapText="1"/>
      <protection hidden="1"/>
    </xf>
    <xf numFmtId="0" fontId="190" fillId="34" borderId="86" xfId="0" applyFont="1" applyFill="1" applyBorder="1" applyAlignment="1" applyProtection="1">
      <alignment horizontal="left" vertical="center" wrapText="1"/>
      <protection hidden="1"/>
    </xf>
    <xf numFmtId="0" fontId="0" fillId="0" borderId="146" xfId="0" applyBorder="1" applyAlignment="1">
      <alignment horizontal="left" vertical="center" wrapText="1"/>
    </xf>
    <xf numFmtId="0" fontId="0" fillId="0" borderId="147" xfId="0" applyBorder="1" applyAlignment="1">
      <alignment horizontal="left" vertical="center" wrapText="1"/>
    </xf>
    <xf numFmtId="0" fontId="2" fillId="34" borderId="70" xfId="0" applyFont="1" applyFill="1" applyBorder="1" applyAlignment="1" applyProtection="1">
      <alignment horizontal="left" vertical="center" wrapText="1"/>
      <protection hidden="1"/>
    </xf>
    <xf numFmtId="0" fontId="2" fillId="34" borderId="71" xfId="0" applyFont="1" applyFill="1" applyBorder="1" applyAlignment="1" applyProtection="1">
      <alignment horizontal="left" vertical="center" wrapText="1"/>
      <protection hidden="1"/>
    </xf>
    <xf numFmtId="0" fontId="2" fillId="34" borderId="86" xfId="0" applyFont="1" applyFill="1" applyBorder="1" applyAlignment="1" applyProtection="1">
      <alignment horizontal="left" vertical="center" wrapText="1"/>
      <protection hidden="1"/>
    </xf>
    <xf numFmtId="0" fontId="2" fillId="34" borderId="70" xfId="0" applyFont="1" applyFill="1" applyBorder="1" applyAlignment="1" applyProtection="1">
      <alignment horizontal="center" vertical="center" wrapText="1"/>
      <protection hidden="1"/>
    </xf>
    <xf numFmtId="0" fontId="2" fillId="34" borderId="86" xfId="0" applyFont="1" applyFill="1" applyBorder="1" applyAlignment="1" applyProtection="1">
      <alignment horizontal="center" vertical="center" wrapText="1"/>
      <protection hidden="1"/>
    </xf>
    <xf numFmtId="0" fontId="12" fillId="25" borderId="119" xfId="0" applyFont="1" applyFill="1" applyBorder="1" applyAlignment="1" applyProtection="1">
      <alignment horizontal="left" vertical="center" wrapText="1"/>
      <protection hidden="1"/>
    </xf>
    <xf numFmtId="0" fontId="12" fillId="25" borderId="120" xfId="0" applyFont="1" applyFill="1" applyBorder="1" applyAlignment="1" applyProtection="1">
      <alignment horizontal="left" vertical="center" wrapText="1"/>
      <protection hidden="1"/>
    </xf>
    <xf numFmtId="0" fontId="12" fillId="25" borderId="121" xfId="0" applyFont="1" applyFill="1" applyBorder="1" applyAlignment="1" applyProtection="1">
      <alignment horizontal="left" vertical="center" wrapText="1"/>
      <protection hidden="1"/>
    </xf>
    <xf numFmtId="0" fontId="12" fillId="34" borderId="119" xfId="0" applyFont="1" applyFill="1" applyBorder="1" applyAlignment="1" applyProtection="1">
      <alignment horizontal="left" vertical="center" wrapText="1"/>
      <protection hidden="1"/>
    </xf>
    <xf numFmtId="0" fontId="0" fillId="0" borderId="120" xfId="0" applyBorder="1" applyAlignment="1">
      <alignment horizontal="left" vertical="center" wrapText="1"/>
    </xf>
    <xf numFmtId="0" fontId="0" fillId="0" borderId="121" xfId="0" applyBorder="1" applyAlignment="1">
      <alignment horizontal="left" vertical="center" wrapText="1"/>
    </xf>
    <xf numFmtId="0" fontId="2" fillId="34" borderId="92" xfId="0" applyFont="1" applyFill="1" applyBorder="1" applyAlignment="1" applyProtection="1">
      <alignment horizontal="left" vertical="center" wrapText="1"/>
      <protection hidden="1"/>
    </xf>
    <xf numFmtId="0" fontId="12" fillId="34" borderId="71" xfId="0" applyFont="1" applyFill="1" applyBorder="1" applyAlignment="1" applyProtection="1">
      <alignment horizontal="left" vertical="center"/>
      <protection hidden="1"/>
    </xf>
    <xf numFmtId="0" fontId="12" fillId="34" borderId="86" xfId="0" applyFont="1" applyFill="1" applyBorder="1" applyAlignment="1" applyProtection="1">
      <alignment horizontal="left" vertical="center"/>
      <protection hidden="1"/>
    </xf>
    <xf numFmtId="0" fontId="12" fillId="34" borderId="71" xfId="0" applyFont="1" applyFill="1" applyBorder="1" applyAlignment="1" applyProtection="1">
      <alignment horizontal="left" vertical="center" wrapText="1"/>
      <protection hidden="1"/>
    </xf>
    <xf numFmtId="0" fontId="12" fillId="34" borderId="86"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protection hidden="1"/>
    </xf>
    <xf numFmtId="0" fontId="12" fillId="25" borderId="128" xfId="0" applyFont="1" applyFill="1" applyBorder="1" applyAlignment="1" applyProtection="1">
      <alignment horizontal="left" vertical="center" wrapText="1"/>
      <protection hidden="1"/>
    </xf>
    <xf numFmtId="0" fontId="12" fillId="25" borderId="146" xfId="0" applyFont="1" applyFill="1" applyBorder="1" applyAlignment="1" applyProtection="1">
      <alignment horizontal="left" vertical="center" wrapText="1"/>
      <protection hidden="1"/>
    </xf>
    <xf numFmtId="0" fontId="12" fillId="25" borderId="147" xfId="0" applyFont="1" applyFill="1" applyBorder="1" applyAlignment="1" applyProtection="1">
      <alignment horizontal="left" vertical="center" wrapText="1"/>
      <protection hidden="1"/>
    </xf>
    <xf numFmtId="0" fontId="12" fillId="34" borderId="92" xfId="0" applyFont="1" applyFill="1" applyBorder="1" applyAlignment="1" applyProtection="1">
      <alignment horizontal="left" vertical="center" shrinkToFit="1"/>
      <protection hidden="1"/>
    </xf>
    <xf numFmtId="0" fontId="12" fillId="34" borderId="86" xfId="0" applyFont="1" applyFill="1" applyBorder="1" applyAlignment="1" applyProtection="1">
      <alignment horizontal="left" vertical="center" shrinkToFit="1"/>
      <protection hidden="1"/>
    </xf>
    <xf numFmtId="0" fontId="12" fillId="25" borderId="115" xfId="0" applyFont="1" applyFill="1" applyBorder="1" applyAlignment="1" applyProtection="1">
      <alignment horizontal="left" vertical="center" wrapText="1"/>
      <protection hidden="1"/>
    </xf>
    <xf numFmtId="0" fontId="12" fillId="25" borderId="116" xfId="0" applyFont="1" applyFill="1" applyBorder="1" applyAlignment="1" applyProtection="1">
      <alignment horizontal="left" vertical="center" wrapText="1"/>
      <protection hidden="1"/>
    </xf>
    <xf numFmtId="0" fontId="12" fillId="25" borderId="117" xfId="0" applyFont="1" applyFill="1" applyBorder="1" applyAlignment="1" applyProtection="1">
      <alignment horizontal="left" vertical="center" wrapText="1"/>
      <protection hidden="1"/>
    </xf>
    <xf numFmtId="0" fontId="0" fillId="34" borderId="71" xfId="0" applyFill="1" applyBorder="1" applyAlignment="1">
      <alignment horizontal="left" vertical="center" wrapText="1"/>
    </xf>
    <xf numFmtId="0" fontId="0" fillId="34" borderId="86" xfId="0" applyFill="1" applyBorder="1" applyAlignment="1">
      <alignment horizontal="left" vertical="center" wrapText="1"/>
    </xf>
    <xf numFmtId="0" fontId="12" fillId="34" borderId="70" xfId="0" applyFont="1" applyFill="1" applyBorder="1" applyAlignment="1" applyProtection="1">
      <alignment horizontal="left" vertical="center" wrapText="1"/>
      <protection hidden="1"/>
    </xf>
    <xf numFmtId="0" fontId="12" fillId="34" borderId="71" xfId="0" applyFont="1" applyFill="1" applyBorder="1" applyProtection="1">
      <alignment vertical="center"/>
      <protection hidden="1"/>
    </xf>
    <xf numFmtId="0" fontId="12" fillId="34" borderId="86" xfId="0" applyFont="1" applyFill="1" applyBorder="1" applyProtection="1">
      <alignment vertical="center"/>
      <protection hidden="1"/>
    </xf>
    <xf numFmtId="0" fontId="0" fillId="34" borderId="71" xfId="0" applyFill="1" applyBorder="1" applyAlignment="1">
      <alignment vertical="center" wrapText="1"/>
    </xf>
    <xf numFmtId="0" fontId="0" fillId="34" borderId="86" xfId="0" applyFill="1" applyBorder="1" applyAlignment="1">
      <alignment vertical="center" wrapText="1"/>
    </xf>
    <xf numFmtId="0" fontId="12" fillId="34" borderId="120" xfId="0" applyFont="1" applyFill="1" applyBorder="1" applyAlignment="1" applyProtection="1">
      <alignment horizontal="left" vertical="center" wrapText="1"/>
      <protection hidden="1"/>
    </xf>
    <xf numFmtId="0" fontId="12" fillId="34" borderId="121" xfId="0" applyFont="1" applyFill="1" applyBorder="1" applyAlignment="1" applyProtection="1">
      <alignment horizontal="left" vertical="center" wrapText="1"/>
      <protection hidden="1"/>
    </xf>
    <xf numFmtId="0" fontId="12" fillId="25" borderId="115" xfId="0" applyFont="1" applyFill="1" applyBorder="1" applyAlignment="1" applyProtection="1">
      <alignment horizontal="left" vertical="top" wrapText="1"/>
      <protection hidden="1"/>
    </xf>
    <xf numFmtId="0" fontId="12" fillId="25" borderId="116" xfId="0" applyFont="1" applyFill="1" applyBorder="1" applyAlignment="1" applyProtection="1">
      <alignment horizontal="left" vertical="top" wrapText="1"/>
      <protection hidden="1"/>
    </xf>
    <xf numFmtId="0" fontId="12" fillId="25" borderId="117" xfId="0" applyFont="1" applyFill="1" applyBorder="1" applyAlignment="1" applyProtection="1">
      <alignment horizontal="left" vertical="top" wrapText="1"/>
      <protection hidden="1"/>
    </xf>
    <xf numFmtId="0" fontId="12" fillId="25" borderId="119" xfId="0" applyFont="1" applyFill="1" applyBorder="1" applyAlignment="1" applyProtection="1">
      <alignment horizontal="left" vertical="top" wrapText="1"/>
      <protection hidden="1"/>
    </xf>
    <xf numFmtId="0" fontId="0" fillId="0" borderId="120" xfId="0" applyBorder="1" applyAlignment="1">
      <alignment horizontal="left" vertical="top" wrapText="1"/>
    </xf>
    <xf numFmtId="0" fontId="0" fillId="0" borderId="121" xfId="0" applyBorder="1" applyAlignment="1">
      <alignment horizontal="left" vertical="top" wrapText="1"/>
    </xf>
    <xf numFmtId="0" fontId="12" fillId="34" borderId="119" xfId="0" applyFont="1" applyFill="1" applyBorder="1" applyAlignment="1" applyProtection="1">
      <alignment horizontal="left" vertical="top" wrapText="1"/>
      <protection hidden="1"/>
    </xf>
    <xf numFmtId="0" fontId="12" fillId="34" borderId="128" xfId="0" applyFont="1" applyFill="1" applyBorder="1" applyAlignment="1" applyProtection="1">
      <alignment horizontal="left" vertical="top" wrapText="1"/>
      <protection hidden="1"/>
    </xf>
    <xf numFmtId="0" fontId="0" fillId="0" borderId="146" xfId="0" applyBorder="1" applyAlignment="1">
      <alignment horizontal="left" vertical="top" wrapText="1"/>
    </xf>
    <xf numFmtId="0" fontId="0" fillId="0" borderId="147" xfId="0" applyBorder="1" applyAlignment="1">
      <alignment horizontal="left" vertical="top" wrapText="1"/>
    </xf>
    <xf numFmtId="0" fontId="202" fillId="25" borderId="119" xfId="0" applyFont="1" applyFill="1" applyBorder="1" applyAlignment="1" applyProtection="1">
      <alignment horizontal="left" vertical="center" wrapText="1"/>
      <protection hidden="1"/>
    </xf>
    <xf numFmtId="0" fontId="202" fillId="25" borderId="120" xfId="0" applyFont="1" applyFill="1" applyBorder="1" applyAlignment="1" applyProtection="1">
      <alignment horizontal="left" vertical="center" wrapText="1"/>
      <protection hidden="1"/>
    </xf>
    <xf numFmtId="0" fontId="202" fillId="25" borderId="121" xfId="0" applyFont="1" applyFill="1" applyBorder="1" applyAlignment="1" applyProtection="1">
      <alignment horizontal="left" vertical="center" wrapText="1"/>
      <protection hidden="1"/>
    </xf>
    <xf numFmtId="191" fontId="26" fillId="40" borderId="180" xfId="0" applyNumberFormat="1" applyFont="1" applyFill="1" applyBorder="1" applyAlignment="1" applyProtection="1">
      <alignment horizontal="center" vertical="center"/>
      <protection hidden="1"/>
    </xf>
    <xf numFmtId="191" fontId="26" fillId="40" borderId="113" xfId="0" applyNumberFormat="1" applyFont="1" applyFill="1" applyBorder="1" applyAlignment="1" applyProtection="1">
      <alignment horizontal="center" vertical="center"/>
      <protection hidden="1"/>
    </xf>
    <xf numFmtId="0" fontId="170" fillId="30" borderId="92" xfId="0" applyFont="1" applyFill="1" applyBorder="1" applyAlignment="1" applyProtection="1">
      <alignment horizontal="left" vertical="center" wrapText="1" shrinkToFit="1"/>
      <protection hidden="1"/>
    </xf>
    <xf numFmtId="0" fontId="170" fillId="30" borderId="71" xfId="0" applyFont="1" applyFill="1" applyBorder="1" applyAlignment="1" applyProtection="1">
      <alignment horizontal="left" vertical="center" wrapText="1" shrinkToFit="1"/>
      <protection hidden="1"/>
    </xf>
    <xf numFmtId="0" fontId="0" fillId="0" borderId="71" xfId="0" applyBorder="1" applyAlignment="1">
      <alignment horizontal="left" vertical="center" wrapText="1"/>
    </xf>
    <xf numFmtId="0" fontId="0" fillId="0" borderId="86" xfId="0" applyBorder="1" applyAlignment="1">
      <alignment horizontal="left" vertical="center" wrapText="1"/>
    </xf>
    <xf numFmtId="0" fontId="12" fillId="34" borderId="35" xfId="0" applyFont="1" applyFill="1" applyBorder="1" applyAlignment="1" applyProtection="1">
      <alignment horizontal="center" vertical="center" wrapText="1"/>
      <protection hidden="1"/>
    </xf>
    <xf numFmtId="0" fontId="12" fillId="34" borderId="0" xfId="0" applyFont="1" applyFill="1" applyAlignment="1" applyProtection="1">
      <alignment horizontal="center" vertical="center" wrapText="1"/>
      <protection hidden="1"/>
    </xf>
    <xf numFmtId="0" fontId="12" fillId="34" borderId="12" xfId="0" applyFont="1" applyFill="1" applyBorder="1" applyAlignment="1" applyProtection="1">
      <alignment horizontal="center" vertical="center" wrapText="1"/>
      <protection hidden="1"/>
    </xf>
    <xf numFmtId="0" fontId="186" fillId="0" borderId="14" xfId="0" applyFont="1" applyBorder="1" applyAlignment="1" applyProtection="1">
      <alignment horizontal="center" vertical="center"/>
      <protection hidden="1"/>
    </xf>
    <xf numFmtId="0" fontId="186" fillId="0" borderId="20" xfId="0" applyFont="1" applyBorder="1" applyAlignment="1" applyProtection="1">
      <alignment horizontal="center" vertical="center"/>
      <protection hidden="1"/>
    </xf>
    <xf numFmtId="0" fontId="186" fillId="0" borderId="21" xfId="0" applyFont="1" applyBorder="1" applyAlignment="1" applyProtection="1">
      <alignment horizontal="center" vertical="center"/>
      <protection hidden="1"/>
    </xf>
    <xf numFmtId="0" fontId="186" fillId="0" borderId="19" xfId="0" applyFont="1" applyBorder="1" applyAlignment="1" applyProtection="1">
      <alignment horizontal="center" vertical="center"/>
      <protection hidden="1"/>
    </xf>
    <xf numFmtId="0" fontId="12" fillId="25" borderId="69" xfId="0" applyFont="1" applyFill="1" applyBorder="1" applyAlignment="1" applyProtection="1">
      <alignment horizontal="left" vertical="center" wrapText="1"/>
      <protection hidden="1"/>
    </xf>
    <xf numFmtId="0" fontId="12" fillId="25" borderId="35" xfId="0" applyFont="1" applyFill="1" applyBorder="1" applyAlignment="1" applyProtection="1">
      <alignment horizontal="left" vertical="center" wrapText="1"/>
      <protection hidden="1"/>
    </xf>
    <xf numFmtId="0" fontId="12" fillId="25" borderId="45" xfId="0" applyFont="1" applyFill="1" applyBorder="1" applyAlignment="1" applyProtection="1">
      <alignment horizontal="left" vertical="center" wrapText="1"/>
      <protection hidden="1"/>
    </xf>
    <xf numFmtId="0" fontId="12" fillId="25" borderId="68" xfId="0" applyFont="1" applyFill="1" applyBorder="1" applyAlignment="1" applyProtection="1">
      <alignment horizontal="left" vertical="center" wrapText="1"/>
      <protection hidden="1"/>
    </xf>
    <xf numFmtId="0" fontId="12" fillId="25" borderId="0" xfId="0" applyFont="1" applyFill="1" applyAlignment="1" applyProtection="1">
      <alignment horizontal="left" vertical="center" wrapText="1"/>
      <protection hidden="1"/>
    </xf>
    <xf numFmtId="0" fontId="12" fillId="25" borderId="47" xfId="0" applyFont="1" applyFill="1" applyBorder="1" applyAlignment="1" applyProtection="1">
      <alignment horizontal="left" vertical="center" wrapText="1"/>
      <protection hidden="1"/>
    </xf>
    <xf numFmtId="0" fontId="12" fillId="25" borderId="91" xfId="0" applyFont="1" applyFill="1" applyBorder="1" applyAlignment="1" applyProtection="1">
      <alignment horizontal="left" vertical="center" wrapText="1"/>
      <protection hidden="1"/>
    </xf>
    <xf numFmtId="0" fontId="12" fillId="25" borderId="12" xfId="0" applyFont="1" applyFill="1" applyBorder="1" applyAlignment="1" applyProtection="1">
      <alignment horizontal="left" vertical="center" wrapText="1"/>
      <protection hidden="1"/>
    </xf>
    <xf numFmtId="0" fontId="12" fillId="25" borderId="90" xfId="0" applyFont="1" applyFill="1" applyBorder="1" applyAlignment="1" applyProtection="1">
      <alignment horizontal="left" vertical="center" wrapText="1"/>
      <protection hidden="1"/>
    </xf>
    <xf numFmtId="9" fontId="12" fillId="37" borderId="34" xfId="28" applyFont="1" applyFill="1" applyBorder="1" applyAlignment="1">
      <alignment horizontal="center" vertical="center"/>
    </xf>
    <xf numFmtId="0" fontId="12" fillId="37" borderId="34" xfId="0" applyFont="1" applyFill="1" applyBorder="1" applyAlignment="1">
      <alignment horizontal="center" vertical="center"/>
    </xf>
    <xf numFmtId="195" fontId="12" fillId="37" borderId="34" xfId="28" applyNumberFormat="1" applyFont="1" applyFill="1" applyBorder="1" applyAlignment="1">
      <alignment horizontal="center" vertical="center"/>
    </xf>
    <xf numFmtId="0" fontId="186" fillId="0" borderId="26" xfId="0" applyFont="1" applyBorder="1" applyAlignment="1" applyProtection="1">
      <alignment horizontal="center" vertical="center"/>
      <protection hidden="1"/>
    </xf>
    <xf numFmtId="0" fontId="202" fillId="0" borderId="14" xfId="0" applyFont="1" applyBorder="1" applyAlignment="1" applyProtection="1">
      <alignment horizontal="left" vertical="center"/>
      <protection hidden="1"/>
    </xf>
    <xf numFmtId="0" fontId="202" fillId="0" borderId="20" xfId="0" applyFont="1" applyBorder="1" applyAlignment="1" applyProtection="1">
      <alignment horizontal="left" vertical="center"/>
      <protection hidden="1"/>
    </xf>
    <xf numFmtId="0" fontId="202" fillId="0" borderId="21" xfId="0" applyFont="1" applyBorder="1" applyAlignment="1" applyProtection="1">
      <alignment horizontal="left" vertical="center"/>
      <protection hidden="1"/>
    </xf>
    <xf numFmtId="0" fontId="2" fillId="35" borderId="19" xfId="0" applyFont="1" applyFill="1" applyBorder="1" applyAlignment="1" applyProtection="1">
      <alignment horizontal="center" vertical="center"/>
      <protection locked="0"/>
    </xf>
    <xf numFmtId="0" fontId="202" fillId="0" borderId="19" xfId="0" applyFont="1" applyBorder="1" applyAlignment="1" applyProtection="1">
      <alignment horizontal="left" vertical="center" wrapText="1"/>
      <protection hidden="1"/>
    </xf>
    <xf numFmtId="197" fontId="233" fillId="0" borderId="0" xfId="0" applyNumberFormat="1" applyFont="1" applyAlignment="1">
      <alignment horizontal="right" vertical="center"/>
    </xf>
    <xf numFmtId="49" fontId="2" fillId="0" borderId="33" xfId="0" applyNumberFormat="1" applyFont="1" applyBorder="1" applyAlignment="1">
      <alignment horizontal="center" vertical="center" wrapText="1" shrinkToFit="1"/>
    </xf>
    <xf numFmtId="0" fontId="0" fillId="0" borderId="80" xfId="0" applyBorder="1" applyAlignment="1">
      <alignment horizontal="center" vertical="center" wrapText="1" shrinkToFit="1"/>
    </xf>
    <xf numFmtId="0" fontId="0" fillId="0" borderId="82" xfId="0" applyBorder="1" applyAlignment="1">
      <alignment horizontal="center" vertical="center" wrapText="1" shrinkToFit="1"/>
    </xf>
    <xf numFmtId="49" fontId="2" fillId="0" borderId="33" xfId="0" applyNumberFormat="1" applyFont="1" applyBorder="1" applyAlignment="1">
      <alignment horizontal="left" vertical="center" wrapText="1" shrinkToFit="1"/>
    </xf>
    <xf numFmtId="0" fontId="0" fillId="0" borderId="80" xfId="0" applyBorder="1" applyAlignment="1">
      <alignment horizontal="left" vertical="center" wrapText="1" shrinkToFit="1"/>
    </xf>
    <xf numFmtId="0" fontId="0" fillId="0" borderId="82" xfId="0" applyBorder="1" applyAlignment="1">
      <alignment horizontal="left" vertical="center" wrapText="1" shrinkToFit="1"/>
    </xf>
    <xf numFmtId="49" fontId="2" fillId="0" borderId="33" xfId="0" applyNumberFormat="1" applyFont="1" applyBorder="1" applyAlignment="1">
      <alignment horizontal="center" vertical="center" wrapText="1"/>
    </xf>
    <xf numFmtId="0" fontId="0" fillId="0" borderId="80" xfId="0" applyBorder="1" applyAlignment="1">
      <alignment horizontal="center" vertical="center" wrapText="1"/>
    </xf>
    <xf numFmtId="0" fontId="0" fillId="0" borderId="82" xfId="0" applyBorder="1" applyAlignment="1">
      <alignment horizontal="center" vertical="center" wrapText="1"/>
    </xf>
    <xf numFmtId="49" fontId="2" fillId="0" borderId="33" xfId="0" applyNumberFormat="1" applyFont="1" applyBorder="1" applyAlignment="1">
      <alignment horizontal="left" vertical="center" wrapText="1"/>
    </xf>
    <xf numFmtId="0" fontId="0" fillId="0" borderId="80" xfId="0" applyBorder="1" applyAlignment="1">
      <alignment horizontal="left" vertical="center" wrapText="1"/>
    </xf>
    <xf numFmtId="0" fontId="0" fillId="0" borderId="82" xfId="0" applyBorder="1" applyAlignment="1">
      <alignment horizontal="left" vertical="center" wrapText="1"/>
    </xf>
    <xf numFmtId="49" fontId="2" fillId="0" borderId="34" xfId="0" applyNumberFormat="1" applyFont="1" applyBorder="1" applyAlignment="1">
      <alignment horizontal="center" vertical="center" shrinkToFit="1"/>
    </xf>
    <xf numFmtId="49" fontId="2" fillId="0" borderId="34" xfId="0" applyNumberFormat="1" applyFont="1" applyBorder="1" applyAlignment="1">
      <alignment horizontal="left" vertical="center" wrapText="1" shrinkToFit="1"/>
    </xf>
    <xf numFmtId="49" fontId="68" fillId="0" borderId="0" xfId="0" applyNumberFormat="1" applyFont="1" applyAlignment="1">
      <alignment horizontal="center" vertical="top" shrinkToFit="1"/>
    </xf>
    <xf numFmtId="49" fontId="2" fillId="0" borderId="82" xfId="0" applyNumberFormat="1" applyFont="1" applyBorder="1" applyAlignment="1">
      <alignment horizontal="left" vertical="center" wrapText="1" shrinkToFit="1"/>
    </xf>
    <xf numFmtId="49" fontId="68" fillId="0" borderId="35" xfId="0" applyNumberFormat="1" applyFont="1" applyBorder="1" applyAlignment="1">
      <alignment horizontal="center" vertical="top" shrinkToFit="1"/>
    </xf>
    <xf numFmtId="49" fontId="2" fillId="0" borderId="80" xfId="0" applyNumberFormat="1" applyFont="1" applyBorder="1" applyAlignment="1">
      <alignment horizontal="left" vertical="center" wrapText="1"/>
    </xf>
    <xf numFmtId="49" fontId="2" fillId="0" borderId="82" xfId="0" applyNumberFormat="1" applyFont="1" applyBorder="1" applyAlignment="1">
      <alignment horizontal="left" vertical="center" wrapText="1"/>
    </xf>
    <xf numFmtId="0" fontId="2" fillId="0" borderId="33" xfId="0" applyFont="1" applyBorder="1" applyAlignment="1">
      <alignment horizontal="left" vertical="center" wrapText="1"/>
    </xf>
    <xf numFmtId="0" fontId="12" fillId="67" borderId="68" xfId="0" applyFont="1" applyFill="1" applyBorder="1" applyAlignment="1">
      <alignment horizontal="left" vertical="top" wrapText="1"/>
    </xf>
    <xf numFmtId="49" fontId="68" fillId="0" borderId="12" xfId="0" applyNumberFormat="1" applyFont="1" applyBorder="1" applyAlignment="1">
      <alignment horizontal="center" vertical="top" shrinkToFit="1"/>
    </xf>
    <xf numFmtId="0" fontId="12" fillId="65" borderId="68" xfId="0" applyFont="1" applyFill="1" applyBorder="1" applyAlignment="1">
      <alignment horizontal="left" vertical="top" wrapText="1"/>
    </xf>
    <xf numFmtId="49" fontId="2" fillId="0" borderId="80" xfId="0" applyNumberFormat="1" applyFont="1" applyBorder="1" applyAlignment="1">
      <alignment horizontal="center" vertical="center" wrapText="1"/>
    </xf>
    <xf numFmtId="49" fontId="2" fillId="0" borderId="82" xfId="0" applyNumberFormat="1" applyFont="1" applyBorder="1" applyAlignment="1">
      <alignment horizontal="center" vertical="center" wrapText="1"/>
    </xf>
    <xf numFmtId="0" fontId="2" fillId="0" borderId="80" xfId="0" applyFont="1" applyBorder="1" applyAlignment="1">
      <alignment horizontal="left" vertical="center" wrapText="1"/>
    </xf>
    <xf numFmtId="0" fontId="2" fillId="0" borderId="82" xfId="0" applyFont="1" applyBorder="1" applyAlignment="1">
      <alignment horizontal="left" vertical="center" wrapText="1"/>
    </xf>
    <xf numFmtId="0" fontId="0" fillId="0" borderId="47" xfId="0" applyBorder="1" applyAlignment="1">
      <alignment horizontal="center" vertical="top"/>
    </xf>
    <xf numFmtId="0" fontId="230" fillId="65" borderId="80" xfId="0" applyFont="1" applyFill="1" applyBorder="1" applyAlignment="1">
      <alignment horizontal="left" vertical="top" wrapText="1"/>
    </xf>
    <xf numFmtId="0" fontId="230" fillId="63" borderId="33" xfId="0" applyFont="1" applyFill="1" applyBorder="1" applyAlignment="1">
      <alignment horizontal="left" vertical="top" wrapText="1"/>
    </xf>
    <xf numFmtId="0" fontId="230" fillId="63" borderId="80" xfId="0" applyFont="1" applyFill="1" applyBorder="1" applyAlignment="1">
      <alignment horizontal="left" vertical="top" wrapText="1"/>
    </xf>
    <xf numFmtId="0" fontId="230" fillId="61" borderId="33" xfId="0" applyFont="1" applyFill="1" applyBorder="1" applyAlignment="1">
      <alignment horizontal="left" vertical="top" wrapText="1"/>
    </xf>
    <xf numFmtId="0" fontId="230" fillId="61" borderId="80" xfId="0" applyFont="1" applyFill="1" applyBorder="1" applyAlignment="1">
      <alignment horizontal="left" vertical="top" wrapText="1"/>
    </xf>
    <xf numFmtId="0" fontId="12" fillId="61" borderId="69" xfId="0" applyFont="1" applyFill="1" applyBorder="1" applyAlignment="1">
      <alignment horizontal="left" vertical="top" wrapText="1"/>
    </xf>
    <xf numFmtId="0" fontId="12" fillId="61" borderId="68" xfId="0" applyFont="1" applyFill="1" applyBorder="1" applyAlignment="1">
      <alignment horizontal="left" vertical="top" wrapText="1"/>
    </xf>
    <xf numFmtId="0" fontId="12" fillId="61" borderId="91" xfId="0" applyFont="1" applyFill="1" applyBorder="1" applyAlignment="1">
      <alignment horizontal="left" vertical="top" wrapText="1"/>
    </xf>
    <xf numFmtId="0" fontId="230" fillId="60" borderId="80" xfId="0" applyFont="1" applyFill="1" applyBorder="1" applyAlignment="1">
      <alignment horizontal="left" vertical="top" wrapText="1"/>
    </xf>
    <xf numFmtId="49" fontId="2" fillId="0" borderId="33" xfId="0" applyNumberFormat="1" applyFont="1" applyBorder="1" applyAlignment="1">
      <alignment horizontal="center" vertical="center" shrinkToFit="1"/>
    </xf>
    <xf numFmtId="49" fontId="2" fillId="0" borderId="80" xfId="0" applyNumberFormat="1" applyFont="1" applyBorder="1" applyAlignment="1">
      <alignment horizontal="center" vertical="center" shrinkToFit="1"/>
    </xf>
    <xf numFmtId="49" fontId="2" fillId="0" borderId="82" xfId="0" applyNumberFormat="1" applyFont="1" applyBorder="1" applyAlignment="1">
      <alignment horizontal="center" vertical="center" shrinkToFit="1"/>
    </xf>
    <xf numFmtId="49" fontId="2" fillId="0" borderId="80" xfId="0" applyNumberFormat="1" applyFont="1" applyBorder="1" applyAlignment="1">
      <alignment horizontal="left" vertical="center" wrapText="1" shrinkToFit="1"/>
    </xf>
    <xf numFmtId="0" fontId="12" fillId="60" borderId="68" xfId="0" applyFont="1" applyFill="1" applyBorder="1" applyAlignment="1">
      <alignment horizontal="left" vertical="top" wrapText="1"/>
    </xf>
    <xf numFmtId="0" fontId="230" fillId="59" borderId="33" xfId="0" applyFont="1" applyFill="1" applyBorder="1" applyAlignment="1">
      <alignment horizontal="left" vertical="top" wrapText="1"/>
    </xf>
    <xf numFmtId="0" fontId="230" fillId="59" borderId="80" xfId="0" applyFont="1" applyFill="1" applyBorder="1" applyAlignment="1">
      <alignment horizontal="left" vertical="top" wrapText="1"/>
    </xf>
    <xf numFmtId="0" fontId="12" fillId="59" borderId="69" xfId="0" applyFont="1" applyFill="1" applyBorder="1" applyAlignment="1">
      <alignment horizontal="left" vertical="top" wrapText="1"/>
    </xf>
    <xf numFmtId="0" fontId="12" fillId="59" borderId="68" xfId="0" applyFont="1" applyFill="1" applyBorder="1" applyAlignment="1">
      <alignment horizontal="left" vertical="top" wrapText="1"/>
    </xf>
    <xf numFmtId="0" fontId="230" fillId="58" borderId="33" xfId="0" applyFont="1" applyFill="1" applyBorder="1" applyAlignment="1">
      <alignment horizontal="left" vertical="top" wrapText="1"/>
    </xf>
    <xf numFmtId="0" fontId="230" fillId="58" borderId="80" xfId="0" applyFont="1" applyFill="1" applyBorder="1" applyAlignment="1">
      <alignment horizontal="left" vertical="top" wrapText="1"/>
    </xf>
    <xf numFmtId="0" fontId="12" fillId="58" borderId="68" xfId="0" applyFont="1" applyFill="1" applyBorder="1" applyAlignment="1">
      <alignment horizontal="left" vertical="top" wrapText="1"/>
    </xf>
    <xf numFmtId="49" fontId="68" fillId="0" borderId="126" xfId="0" applyNumberFormat="1" applyFont="1" applyBorder="1" applyAlignment="1">
      <alignment horizontal="center" vertical="top" shrinkToFit="1"/>
    </xf>
    <xf numFmtId="0" fontId="221" fillId="47" borderId="70" xfId="0" applyFont="1" applyFill="1" applyBorder="1" applyAlignment="1">
      <alignment horizontal="center" vertical="center" wrapText="1"/>
    </xf>
    <xf numFmtId="0" fontId="221" fillId="47" borderId="71" xfId="0" applyFont="1" applyFill="1" applyBorder="1" applyAlignment="1">
      <alignment horizontal="center" vertical="center" wrapText="1"/>
    </xf>
    <xf numFmtId="0" fontId="12" fillId="42" borderId="70" xfId="0" applyFont="1" applyFill="1" applyBorder="1" applyAlignment="1">
      <alignment horizontal="center" wrapText="1"/>
    </xf>
    <xf numFmtId="0" fontId="12" fillId="42" borderId="71" xfId="0" applyFont="1" applyFill="1" applyBorder="1" applyAlignment="1">
      <alignment horizontal="center" wrapText="1"/>
    </xf>
    <xf numFmtId="49" fontId="2" fillId="42" borderId="71" xfId="0" applyNumberFormat="1" applyFont="1" applyFill="1" applyBorder="1" applyAlignment="1">
      <alignment horizontal="center" wrapText="1"/>
    </xf>
    <xf numFmtId="49" fontId="2" fillId="42" borderId="71" xfId="0" applyNumberFormat="1" applyFont="1" applyFill="1" applyBorder="1" applyAlignment="1">
      <alignment horizontal="center"/>
    </xf>
    <xf numFmtId="0" fontId="202" fillId="57" borderId="68" xfId="0" applyFont="1" applyFill="1" applyBorder="1" applyAlignment="1">
      <alignment horizontal="left" vertical="top" wrapText="1"/>
    </xf>
    <xf numFmtId="0" fontId="221" fillId="47" borderId="35" xfId="0" applyFont="1" applyFill="1" applyBorder="1" applyAlignment="1">
      <alignment horizontal="center" vertical="center" wrapText="1"/>
    </xf>
    <xf numFmtId="0" fontId="221" fillId="47" borderId="12" xfId="0" applyFont="1" applyFill="1" applyBorder="1" applyAlignment="1">
      <alignment horizontal="center" vertical="center" wrapText="1"/>
    </xf>
    <xf numFmtId="0" fontId="221" fillId="47" borderId="33" xfId="0" applyFont="1" applyFill="1" applyBorder="1" applyAlignment="1">
      <alignment horizontal="center" vertical="center" wrapText="1"/>
    </xf>
    <xf numFmtId="0" fontId="221" fillId="47" borderId="82" xfId="0" applyFont="1" applyFill="1" applyBorder="1" applyAlignment="1">
      <alignment horizontal="center" vertical="center" wrapText="1"/>
    </xf>
    <xf numFmtId="0" fontId="222" fillId="47" borderId="70" xfId="0" applyFont="1" applyFill="1" applyBorder="1" applyAlignment="1">
      <alignment horizontal="center" vertical="center"/>
    </xf>
    <xf numFmtId="0" fontId="222" fillId="47" borderId="71" xfId="0" applyFont="1" applyFill="1" applyBorder="1" applyAlignment="1">
      <alignment horizontal="center" vertical="center"/>
    </xf>
    <xf numFmtId="0" fontId="222" fillId="47" borderId="86" xfId="0" applyFont="1" applyFill="1" applyBorder="1" applyAlignment="1">
      <alignment horizontal="center" vertical="center"/>
    </xf>
    <xf numFmtId="0" fontId="202" fillId="47" borderId="33" xfId="0" applyFont="1" applyFill="1" applyBorder="1" applyAlignment="1">
      <alignment horizontal="center" vertical="center" textRotation="255"/>
    </xf>
    <xf numFmtId="0" fontId="202" fillId="47" borderId="82" xfId="0" applyFont="1" applyFill="1" applyBorder="1" applyAlignment="1">
      <alignment horizontal="center" vertical="center" textRotation="255"/>
    </xf>
    <xf numFmtId="0" fontId="12" fillId="0" borderId="68" xfId="0" applyFont="1" applyBorder="1" applyAlignment="1">
      <alignment horizontal="center" vertical="center" textRotation="255"/>
    </xf>
    <xf numFmtId="49" fontId="26" fillId="47" borderId="34" xfId="0" applyNumberFormat="1" applyFont="1" applyFill="1" applyBorder="1" applyAlignment="1">
      <alignment horizontal="center" vertical="center" wrapText="1"/>
    </xf>
    <xf numFmtId="0" fontId="221" fillId="47" borderId="188" xfId="0" applyFont="1" applyFill="1" applyBorder="1" applyAlignment="1">
      <alignment horizontal="center" vertical="center" wrapText="1"/>
    </xf>
    <xf numFmtId="0" fontId="221" fillId="47" borderId="190" xfId="0" applyFont="1" applyFill="1" applyBorder="1" applyAlignment="1">
      <alignment horizontal="center" vertical="center" wrapText="1"/>
    </xf>
    <xf numFmtId="0" fontId="221" fillId="47" borderId="187" xfId="0" applyFont="1" applyFill="1" applyBorder="1" applyAlignment="1">
      <alignment horizontal="center" vertical="center" wrapText="1"/>
    </xf>
    <xf numFmtId="0" fontId="221" fillId="47" borderId="189" xfId="0" applyFont="1" applyFill="1" applyBorder="1" applyAlignment="1">
      <alignment horizontal="center" vertical="center" wrapText="1"/>
    </xf>
    <xf numFmtId="0" fontId="210" fillId="0" borderId="12" xfId="0" applyFont="1" applyBorder="1" applyAlignment="1">
      <alignment horizontal="center" vertical="center"/>
    </xf>
    <xf numFmtId="0" fontId="36" fillId="0" borderId="0" xfId="0" applyFont="1" applyAlignment="1">
      <alignment horizontal="center" vertical="center"/>
    </xf>
    <xf numFmtId="0" fontId="36" fillId="0" borderId="184" xfId="0" applyFont="1" applyBorder="1" applyAlignment="1">
      <alignment horizontal="center" vertical="center" shrinkToFit="1"/>
    </xf>
    <xf numFmtId="0" fontId="36" fillId="0" borderId="185" xfId="0" applyFont="1" applyBorder="1" applyAlignment="1">
      <alignment horizontal="center" vertical="center" shrinkToFit="1"/>
    </xf>
    <xf numFmtId="0" fontId="36" fillId="0" borderId="186" xfId="0" applyFont="1" applyBorder="1" applyAlignment="1">
      <alignment horizontal="center" vertical="center" shrinkToFit="1"/>
    </xf>
    <xf numFmtId="0" fontId="26" fillId="47" borderId="34" xfId="0" applyFont="1" applyFill="1" applyBorder="1" applyAlignment="1">
      <alignment horizontal="center" vertical="center"/>
    </xf>
    <xf numFmtId="0" fontId="26" fillId="47" borderId="45" xfId="0" applyFont="1" applyFill="1" applyBorder="1" applyAlignment="1">
      <alignment horizontal="center" vertical="center"/>
    </xf>
    <xf numFmtId="0" fontId="26" fillId="47" borderId="90" xfId="0"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ハイパーリンク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0.0]" xfId="37" xr:uid="{00000000-0005-0000-0000-000024000000}"/>
    <cellStyle name="桁区切り 4" xfId="52" xr:uid="{A0B79379-C051-4680-B2B3-C7D1532DD512}"/>
    <cellStyle name="見出し 1" xfId="38" builtinId="16" customBuiltin="1"/>
    <cellStyle name="見出し 2" xfId="39" builtinId="17" customBuiltin="1"/>
    <cellStyle name="見出し 3" xfId="40" builtinId="18" customBuiltin="1"/>
    <cellStyle name="見出し 4" xfId="41" builtinId="19" customBuiltin="1"/>
    <cellStyle name="見出し１" xfId="42" xr:uid="{00000000-0005-0000-0000-000029000000}"/>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3" xfId="51" xr:uid="{A5A3F861-7E12-4516-AB32-E1053161B782}"/>
    <cellStyle name="標準 4" xfId="53" xr:uid="{24DAABAC-274A-4746-9A5E-62C9AF5F1010}"/>
    <cellStyle name="標準_070627LCCO2計算" xfId="48" xr:uid="{00000000-0005-0000-0000-000030000000}"/>
    <cellStyle name="表?-?-?" xfId="49" xr:uid="{00000000-0005-0000-0000-000033000000}"/>
    <cellStyle name="良い" xfId="50" builtinId="26" customBuiltin="1"/>
  </cellStyles>
  <dxfs count="164">
    <dxf>
      <font>
        <color rgb="FFFF0000"/>
      </font>
    </dxf>
    <dxf>
      <fill>
        <patternFill>
          <bgColor theme="0" tint="-4.9989318521683403E-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indexed="14"/>
        </patternFill>
      </fill>
    </dxf>
    <dxf>
      <fill>
        <patternFill patternType="solid">
          <fgColor auto="1"/>
          <bgColor theme="0" tint="-0.24994659260841701"/>
        </patternFill>
      </fill>
    </dxf>
    <dxf>
      <fill>
        <patternFill>
          <bgColor indexed="14"/>
        </patternFill>
      </fill>
    </dxf>
    <dxf>
      <fill>
        <patternFill patternType="solid">
          <bgColor theme="0" tint="-0.24994659260841701"/>
        </patternFill>
      </fill>
    </dxf>
    <dxf>
      <fill>
        <patternFill>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patternType="solid">
          <fgColor auto="1"/>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auto="1"/>
      </font>
      <fill>
        <patternFill>
          <bgColor indexed="47"/>
        </patternFill>
      </fill>
    </dxf>
    <dxf>
      <font>
        <condense val="0"/>
        <extend val="0"/>
        <color auto="1"/>
      </font>
      <fill>
        <patternFill>
          <bgColor indexed="47"/>
        </patternFill>
      </fill>
    </dxf>
    <dxf>
      <fill>
        <patternFill>
          <bgColor indexed="47"/>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dxf>
    <dxf>
      <fill>
        <patternFill>
          <bgColor rgb="FFFFFF00"/>
        </patternFill>
      </fill>
    </dxf>
    <dxf>
      <font>
        <b val="0"/>
        <i val="0"/>
        <color theme="0" tint="-0.499984740745262"/>
      </font>
      <fill>
        <patternFill patternType="none">
          <bgColor auto="1"/>
        </patternFill>
      </fill>
    </dxf>
    <dxf>
      <fill>
        <patternFill>
          <bgColor indexed="27"/>
        </patternFill>
      </fill>
    </dxf>
    <dxf>
      <fill>
        <patternFill>
          <bgColor indexed="27"/>
        </patternFill>
      </fill>
    </dxf>
    <dxf>
      <font>
        <condense val="0"/>
        <extend val="0"/>
        <color auto="1"/>
      </font>
      <fill>
        <patternFill>
          <bgColor indexed="47"/>
        </patternFill>
      </fill>
    </dxf>
    <dxf>
      <font>
        <condense val="0"/>
        <extend val="0"/>
        <color auto="1"/>
      </font>
      <fill>
        <patternFill>
          <bgColor indexed="47"/>
        </patternFill>
      </fill>
    </dxf>
    <dxf>
      <fill>
        <patternFill>
          <bgColor indexed="47"/>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fill>
        <patternFill patternType="none">
          <bgColor auto="1"/>
        </patternFill>
      </fill>
    </dxf>
    <dxf>
      <fill>
        <patternFill>
          <bgColor rgb="FFFFFF00"/>
        </patternFill>
      </fill>
    </dxf>
    <dxf>
      <font>
        <b val="0"/>
        <i val="0"/>
        <color theme="0" tint="-0.499984740745262"/>
      </font>
    </dxf>
    <dxf>
      <fill>
        <patternFill>
          <bgColor rgb="FFFFFF00"/>
        </patternFill>
      </fill>
    </dxf>
    <dxf>
      <font>
        <b val="0"/>
        <i val="0"/>
        <color theme="0" tint="-0.499984740745262"/>
      </font>
      <fill>
        <patternFill patternType="none">
          <bgColor auto="1"/>
        </patternFill>
      </fill>
    </dxf>
    <dxf>
      <fill>
        <patternFill>
          <bgColor indexed="27"/>
        </patternFill>
      </fill>
    </dxf>
    <dxf>
      <fill>
        <patternFill>
          <bgColor indexed="27"/>
        </patternFill>
      </fill>
    </dxf>
    <dxf>
      <fill>
        <patternFill>
          <bgColor indexed="47"/>
        </patternFill>
      </fill>
    </dxf>
    <dxf>
      <font>
        <condense val="0"/>
        <extend val="0"/>
        <color auto="1"/>
      </font>
      <fill>
        <patternFill>
          <bgColor indexed="47"/>
        </patternFill>
      </fill>
    </dxf>
    <dxf>
      <fill>
        <patternFill>
          <bgColor indexed="27"/>
        </patternFill>
      </fill>
    </dxf>
  </dxfs>
  <tableStyles count="0" defaultTableStyle="TableStyleMedium2" defaultPivotStyle="PivotStyleLight16"/>
  <colors>
    <mruColors>
      <color rgb="FFC0C0C0"/>
      <color rgb="FFFFFFCC"/>
      <color rgb="FFCCFFFF"/>
      <color rgb="FF00CC66"/>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charts/_rels/chart13.xml.rels><?xml version="1.0" encoding="UTF-8" standalone="yes"?>
<Relationships xmlns="http://schemas.openxmlformats.org/package/2006/relationships"><Relationship Id="rId1" Type="http://schemas.openxmlformats.org/officeDocument/2006/relationships/image" Target="../media/image21.png"/></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jpeg"/></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charts/_rels/chart27.xml.rels><?xml version="1.0" encoding="UTF-8" standalone="yes"?>
<Relationships xmlns="http://schemas.openxmlformats.org/package/2006/relationships"><Relationship Id="rId1" Type="http://schemas.openxmlformats.org/officeDocument/2006/relationships/image" Target="../media/image21.png"/></Relationships>
</file>

<file path=xl/charts/_rels/chart2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jpe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openxmlformats.org/officeDocument/2006/relationships/image" Target="../media/image27.png"/><Relationship Id="rId1" Type="http://schemas.openxmlformats.org/officeDocument/2006/relationships/image" Target="../media/image26.png"/></Relationships>
</file>

<file path=xl/charts/_rels/chart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jpeg"/></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charts/_rels/chart5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 (2)'!$AD$29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3E1A-468C-8AC6-FED07AAE1594}"/>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3E1A-468C-8AC6-FED07AAE1594}"/>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3E1A-468C-8AC6-FED07AAE1594}"/>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3E1A-468C-8AC6-FED07AAE1594}"/>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3E1A-468C-8AC6-FED07AAE1594}"/>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3E1A-468C-8AC6-FED07AAE1594}"/>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3E1A-468C-8AC6-FED07AAE1594}"/>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3E1A-468C-8AC6-FED07AAE1594}"/>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3E1A-468C-8AC6-FED07AAE1594}"/>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3E1A-468C-8AC6-FED07AAE1594}"/>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3E1A-468C-8AC6-FED07AAE1594}"/>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3E1A-468C-8AC6-FED07AAE1594}"/>
              </c:ext>
            </c:extLst>
          </c:dPt>
          <c:cat>
            <c:strRef>
              <c:f>'結果 (2)'!$AC$30:$AC$41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 (2)'!$AD$30:$AD$41</c:f>
              <c:numCache>
                <c:formatCode>0.0_);[Red]\(0.0\)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18-3E1A-468C-8AC6-FED07AAE1594}"/>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1E0-4149-AF5F-E803F23CFBD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1E0-4149-AF5F-E803F23CFBD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1E0-4149-AF5F-E803F23CFBD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(2)'!$U$60:$U$62</c:f>
              <c:strCache>
                <c:ptCount val="3"/>
                <c:pt idx="0">
                  <c:v>土地資源</c:v>
                </c:pt>
                <c:pt idx="1">
                  <c:v>水資源</c:v>
                </c:pt>
                <c:pt idx="2">
                  <c:v>資源循環</c:v>
                </c:pt>
              </c:strCache>
            </c:strRef>
          </c:cat>
          <c:val>
            <c:numRef>
              <c:f>'結果 (2)'!$V$60:$V$62</c:f>
              <c:numCache>
                <c:formatCode>0.0_ </c:formatCode>
                <c:ptCount val="3"/>
                <c:pt idx="0">
                  <c:v>3</c:v>
                </c:pt>
                <c:pt idx="1">
                  <c:v>3.1</c:v>
                </c:pt>
                <c:pt idx="2">
                  <c:v>3</c:v>
                </c:pt>
              </c:numCache>
            </c:numRef>
          </c:val>
          <c:extLst>
            <c:ext xmlns:c16="http://schemas.microsoft.com/office/drawing/2014/chart" uri="{C3380CC4-5D6E-409C-BE32-E72D297353CC}">
              <c16:uniqueId val="{00000003-A1E0-4149-AF5F-E803F23CFBD4}"/>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F7C-4C69-B6E1-BD706F6ED1D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F7C-4C69-B6E1-BD706F6ED1D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F7C-4C69-B6E1-BD706F6ED1D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(2)'!$X$60:$X$62</c:f>
              <c:strCache>
                <c:ptCount val="3"/>
                <c:pt idx="0">
                  <c:v>地球温暖化
負荷の削減</c:v>
                </c:pt>
                <c:pt idx="1">
                  <c:v>交通負荷
の削減</c:v>
                </c:pt>
                <c:pt idx="2">
                  <c:v>環境阻害
の削減</c:v>
                </c:pt>
              </c:strCache>
            </c:strRef>
          </c:cat>
          <c:val>
            <c:numRef>
              <c:f>'結果 (2)'!$Y$60:$Y$62</c:f>
              <c:numCache>
                <c:formatCode>0.0_ </c:formatCode>
                <c:ptCount val="3"/>
                <c:pt idx="0">
                  <c:v>2</c:v>
                </c:pt>
                <c:pt idx="1">
                  <c:v>3</c:v>
                </c:pt>
                <c:pt idx="2">
                  <c:v>2.9</c:v>
                </c:pt>
              </c:numCache>
            </c:numRef>
          </c:val>
          <c:extLst>
            <c:ext xmlns:c16="http://schemas.microsoft.com/office/drawing/2014/chart" uri="{C3380CC4-5D6E-409C-BE32-E72D297353CC}">
              <c16:uniqueId val="{00000003-8F7C-4C69-B6E1-BD706F6ED1D1}"/>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6774-43BC-9402-1353E27D676A}"/>
              </c:ext>
            </c:extLst>
          </c:dPt>
          <c:cat>
            <c:strRef>
              <c:f>'結果 (2)'!$AC$25:$AE$25</c:f>
              <c:strCache>
                <c:ptCount val="1"/>
                <c:pt idx="0">
                  <c:v>SDGsRank(Ring)</c:v>
                </c:pt>
              </c:strCache>
            </c:strRef>
          </c:cat>
          <c:val>
            <c:numRef>
              <c:f>'結果 (2)'!$AF$25</c:f>
              <c:numCache>
                <c:formatCode>0.00_ </c:formatCode>
                <c:ptCount val="1"/>
                <c:pt idx="0">
                  <c:v>0.2</c:v>
                </c:pt>
              </c:numCache>
            </c:numRef>
          </c:val>
          <c:extLst>
            <c:ext xmlns:c16="http://schemas.microsoft.com/office/drawing/2014/chart" uri="{C3380CC4-5D6E-409C-BE32-E72D297353CC}">
              <c16:uniqueId val="{00000001-6774-43BC-9402-1353E27D676A}"/>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 (2)'!$AC$25:$AE$25</c:f>
              <c:strCache>
                <c:ptCount val="1"/>
                <c:pt idx="0">
                  <c:v>SDGsRank(Ring)</c:v>
                </c:pt>
              </c:strCache>
            </c:strRef>
          </c:cat>
          <c:val>
            <c:numRef>
              <c:f>'結果 (2)'!$AF$26</c:f>
              <c:numCache>
                <c:formatCode>0.00_ </c:formatCode>
                <c:ptCount val="1"/>
                <c:pt idx="0">
                  <c:v>0.8</c:v>
                </c:pt>
              </c:numCache>
            </c:numRef>
          </c:val>
          <c:extLst>
            <c:ext xmlns:c16="http://schemas.microsoft.com/office/drawing/2014/chart" uri="{C3380CC4-5D6E-409C-BE32-E72D297353CC}">
              <c16:uniqueId val="{00000002-6774-43BC-9402-1353E27D676A}"/>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tx>
            <c:strRef>
              <c:f>'結果 (2)'!$W$7</c:f>
              <c:strCache>
                <c:ptCount val="1"/>
                <c:pt idx="0">
                  <c:v>background</c:v>
                </c:pt>
              </c:strCache>
            </c:strRef>
          </c:tx>
          <c:spPr>
            <a:blipFill dpi="0" rotWithShape="0">
              <a:blip xmlns:r="http://schemas.openxmlformats.org/officeDocument/2006/relationships" r:embed="rId1"/>
              <a:srcRect/>
              <a:stretch>
                <a:fillRect/>
              </a:stretch>
            </a:blip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EF3F-42EA-BC8B-042350E6CE75}"/>
            </c:ext>
          </c:extLst>
        </c:ser>
        <c:ser>
          <c:idx val="1"/>
          <c:order val="1"/>
          <c:tx>
            <c:strRef>
              <c:f>'結果 (2)'!$X$7</c:f>
              <c:strCache>
                <c:ptCount val="1"/>
                <c:pt idx="0">
                  <c:v>4</c:v>
                </c:pt>
              </c:strCache>
            </c:strRef>
          </c:tx>
          <c:spPr>
            <a:no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EF3F-42EA-BC8B-042350E6CE75}"/>
            </c:ext>
          </c:extLst>
        </c:ser>
        <c:ser>
          <c:idx val="2"/>
          <c:order val="2"/>
          <c:tx>
            <c:strRef>
              <c:f>'結果 (2)'!$Y$7</c:f>
              <c:strCache>
                <c:ptCount val="1"/>
                <c:pt idx="0">
                  <c:v>2</c:v>
                </c:pt>
              </c:strCache>
            </c:strRef>
          </c:tx>
          <c:spPr>
            <a:no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EF3F-42EA-BC8B-042350E6CE75}"/>
            </c:ext>
          </c:extLst>
        </c:ser>
        <c:ser>
          <c:idx val="3"/>
          <c:order val="3"/>
          <c:tx>
            <c:strRef>
              <c:f>'結果 (2)'!$Z$7</c:f>
              <c:strCache>
                <c:ptCount val="1"/>
                <c:pt idx="0">
                  <c:v>Score(RoundDown)</c:v>
                </c:pt>
              </c:strCache>
            </c:strRef>
          </c:tx>
          <c:spPr>
            <a:pattFill prst="pct50">
              <a:fgClr>
                <a:srgbClr val="CCCCFF"/>
              </a:fgClr>
              <a:bgClr>
                <a:srgbClr val="FFFFFF"/>
              </a:bgClr>
            </a:pattFill>
            <a:ln w="12700">
              <a:solidFill>
                <a:srgbClr val="00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(2)'!$Z$8:$Z$13</c:f>
              <c:numCache>
                <c:formatCode>General</c:formatCode>
                <c:ptCount val="6"/>
                <c:pt idx="0">
                  <c:v>3</c:v>
                </c:pt>
                <c:pt idx="1">
                  <c:v>3.1</c:v>
                </c:pt>
                <c:pt idx="2">
                  <c:v>2.6</c:v>
                </c:pt>
                <c:pt idx="3">
                  <c:v>3</c:v>
                </c:pt>
                <c:pt idx="4">
                  <c:v>3</c:v>
                </c:pt>
                <c:pt idx="5">
                  <c:v>3</c:v>
                </c:pt>
              </c:numCache>
            </c:numRef>
          </c:val>
          <c:extLst>
            <c:ext xmlns:c16="http://schemas.microsoft.com/office/drawing/2014/chart" uri="{C3380CC4-5D6E-409C-BE32-E72D297353CC}">
              <c16:uniqueId val="{00000003-EF3F-42EA-BC8B-042350E6CE75}"/>
            </c:ext>
          </c:extLst>
        </c:ser>
        <c:ser>
          <c:idx val="4"/>
          <c:order val="4"/>
          <c:tx>
            <c:strRef>
              <c:f>'結果 (2)'!$AA$7</c:f>
              <c:strCache>
                <c:ptCount val="1"/>
                <c:pt idx="0">
                  <c:v>std</c:v>
                </c:pt>
              </c:strCache>
            </c:strRef>
          </c:tx>
          <c:spPr>
            <a:noFill/>
            <a:ln w="12700">
              <a:solidFill>
                <a:srgbClr val="FF0000"/>
              </a:solidFill>
              <a:prstDash val="solid"/>
            </a:ln>
          </c:spPr>
          <c:cat>
            <c:strRef>
              <c:f>'結果 (2)'!$V$8:$V$13</c:f>
              <c:strCache>
                <c:ptCount val="6"/>
                <c:pt idx="0">
                  <c:v>Q-2 社会</c:v>
                </c:pt>
                <c:pt idx="1">
                  <c:v>Q-3 経済</c:v>
                </c:pt>
                <c:pt idx="2">
                  <c:v>LR-3 周辺環境</c:v>
                </c:pt>
                <c:pt idx="3">
                  <c:v>LR-2 資源</c:v>
                </c:pt>
                <c:pt idx="4">
                  <c:v>LR-1 エネルギー</c:v>
                </c:pt>
                <c:pt idx="5">
                  <c:v>Q-1 環境</c:v>
                </c:pt>
              </c:strCache>
            </c:strRef>
          </c:cat>
          <c:val>
            <c:numRef>
              <c:f>'結果 (2)'!$AA$8:$AA$13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EF3F-42EA-BC8B-042350E6CE75}"/>
            </c:ext>
          </c:extLst>
        </c:ser>
        <c:dLbls>
          <c:showLegendKey val="0"/>
          <c:showVal val="0"/>
          <c:showCatName val="0"/>
          <c:showSerName val="0"/>
          <c:showPercent val="0"/>
          <c:showBubbleSize val="0"/>
        </c:dLbls>
        <c:axId val="497763576"/>
        <c:axId val="497763968"/>
      </c:radarChart>
      <c:catAx>
        <c:axId val="497763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497763968"/>
        <c:crosses val="autoZero"/>
        <c:auto val="0"/>
        <c:lblAlgn val="ctr"/>
        <c:lblOffset val="100"/>
        <c:noMultiLvlLbl val="0"/>
      </c:catAx>
      <c:valAx>
        <c:axId val="49776396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9776357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 (2)'!$AC$49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(2)'!$AD$49:$AE$49</c:f>
              <c:numCache>
                <c:formatCode>General</c:formatCode>
                <c:ptCount val="2"/>
                <c:pt idx="0" formatCode="0.0">
                  <c:v>3</c:v>
                </c:pt>
              </c:numCache>
            </c:numRef>
          </c:val>
          <c:extLst>
            <c:ext xmlns:c16="http://schemas.microsoft.com/office/drawing/2014/chart" uri="{C3380CC4-5D6E-409C-BE32-E72D297353CC}">
              <c16:uniqueId val="{00000000-5FD2-47E1-BEA8-ED3979E35785}"/>
            </c:ext>
          </c:extLst>
        </c:ser>
        <c:ser>
          <c:idx val="1"/>
          <c:order val="1"/>
          <c:tx>
            <c:strRef>
              <c:f>'結果 (2)'!$AC$50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(2)'!$AD$50:$AE$50</c:f>
              <c:numCache>
                <c:formatCode>General</c:formatCode>
                <c:ptCount val="2"/>
                <c:pt idx="0" formatCode="0.0">
                  <c:v>3</c:v>
                </c:pt>
              </c:numCache>
            </c:numRef>
          </c:val>
          <c:extLst>
            <c:ext xmlns:c16="http://schemas.microsoft.com/office/drawing/2014/chart" uri="{C3380CC4-5D6E-409C-BE32-E72D297353CC}">
              <c16:uniqueId val="{00000001-5FD2-47E1-BEA8-ED3979E35785}"/>
            </c:ext>
          </c:extLst>
        </c:ser>
        <c:ser>
          <c:idx val="2"/>
          <c:order val="2"/>
          <c:tx>
            <c:strRef>
              <c:f>'結果 (2)'!$AC$51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(2)'!$AD$51:$AE$51</c:f>
              <c:numCache>
                <c:formatCode>General</c:formatCode>
                <c:ptCount val="2"/>
                <c:pt idx="0" formatCode="0.0">
                  <c:v>3</c:v>
                </c:pt>
              </c:numCache>
            </c:numRef>
          </c:val>
          <c:extLst>
            <c:ext xmlns:c16="http://schemas.microsoft.com/office/drawing/2014/chart" uri="{C3380CC4-5D6E-409C-BE32-E72D297353CC}">
              <c16:uniqueId val="{00000002-5FD2-47E1-BEA8-ED3979E35785}"/>
            </c:ext>
          </c:extLst>
        </c:ser>
        <c:ser>
          <c:idx val="3"/>
          <c:order val="3"/>
          <c:tx>
            <c:strRef>
              <c:f>'結果 (2)'!$AC$52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(2)'!$AD$52:$AE$52</c:f>
              <c:numCache>
                <c:formatCode>General</c:formatCode>
                <c:ptCount val="2"/>
                <c:pt idx="0" formatCode="0.0">
                  <c:v>3</c:v>
                </c:pt>
              </c:numCache>
            </c:numRef>
          </c:val>
          <c:extLst>
            <c:ext xmlns:c16="http://schemas.microsoft.com/office/drawing/2014/chart" uri="{C3380CC4-5D6E-409C-BE32-E72D297353CC}">
              <c16:uniqueId val="{00000003-5FD2-47E1-BEA8-ED3979E35785}"/>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 (2)'!$AC$60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(2)'!$AD$60:$AE$60</c:f>
              <c:numCache>
                <c:formatCode>General</c:formatCode>
                <c:ptCount val="2"/>
                <c:pt idx="0" formatCode="0.0">
                  <c:v>3</c:v>
                </c:pt>
              </c:numCache>
            </c:numRef>
          </c:val>
          <c:extLst>
            <c:ext xmlns:c16="http://schemas.microsoft.com/office/drawing/2014/chart" uri="{C3380CC4-5D6E-409C-BE32-E72D297353CC}">
              <c16:uniqueId val="{00000000-9CE7-4E33-898C-B11270C496EF}"/>
            </c:ext>
          </c:extLst>
        </c:ser>
        <c:ser>
          <c:idx val="1"/>
          <c:order val="1"/>
          <c:tx>
            <c:strRef>
              <c:f>'結果 (2)'!$AC$61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(2)'!$AD$61:$AE$61</c:f>
              <c:numCache>
                <c:formatCode>General</c:formatCode>
                <c:ptCount val="2"/>
                <c:pt idx="0" formatCode="0.0">
                  <c:v>3</c:v>
                </c:pt>
              </c:numCache>
            </c:numRef>
          </c:val>
          <c:extLst>
            <c:ext xmlns:c16="http://schemas.microsoft.com/office/drawing/2014/chart" uri="{C3380CC4-5D6E-409C-BE32-E72D297353CC}">
              <c16:uniqueId val="{00000001-9CE7-4E33-898C-B11270C496EF}"/>
            </c:ext>
          </c:extLst>
        </c:ser>
        <c:ser>
          <c:idx val="2"/>
          <c:order val="2"/>
          <c:tx>
            <c:strRef>
              <c:f>'結果 (2)'!$AC$62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 (2)'!$AD$48:$AE$48</c:f>
              <c:strCache>
                <c:ptCount val="1"/>
                <c:pt idx="0">
                  <c:v>Score(Round)</c:v>
                </c:pt>
              </c:strCache>
            </c:strRef>
          </c:cat>
          <c:val>
            <c:numRef>
              <c:f>'結果 (2)'!$AD$62:$AE$62</c:f>
              <c:numCache>
                <c:formatCode>General</c:formatCode>
                <c:ptCount val="2"/>
                <c:pt idx="0" formatCode="0.0">
                  <c:v>3</c:v>
                </c:pt>
              </c:numCache>
            </c:numRef>
          </c:val>
          <c:extLst>
            <c:ext xmlns:c16="http://schemas.microsoft.com/office/drawing/2014/chart" uri="{C3380CC4-5D6E-409C-BE32-E72D297353CC}">
              <c16:uniqueId val="{00000002-9CE7-4E33-898C-B11270C496EF}"/>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'結果(2-3ﾚｰﾀﾞｰ)'!$AG$29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83DB-4535-A03F-3B2DBB9CE74C}"/>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83DB-4535-A03F-3B2DBB9CE74C}"/>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83DB-4535-A03F-3B2DBB9CE74C}"/>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83DB-4535-A03F-3B2DBB9CE74C}"/>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83DB-4535-A03F-3B2DBB9CE74C}"/>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83DB-4535-A03F-3B2DBB9CE74C}"/>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83DB-4535-A03F-3B2DBB9CE74C}"/>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83DB-4535-A03F-3B2DBB9CE74C}"/>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83DB-4535-A03F-3B2DBB9CE74C}"/>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83DB-4535-A03F-3B2DBB9CE74C}"/>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83DB-4535-A03F-3B2DBB9CE74C}"/>
              </c:ext>
            </c:extLst>
          </c:dPt>
          <c:dPt>
            <c:idx val="11"/>
            <c:invertIfNegative val="0"/>
            <c:bubble3D val="0"/>
            <c:spPr>
              <a:solidFill>
                <a:srgbClr val="19486A"/>
              </a:solidFill>
              <a:ln w="6350">
                <a:solidFill>
                  <a:sysClr val="windowText" lastClr="000000"/>
                </a:solidFill>
              </a:ln>
              <a:effectLst/>
            </c:spPr>
            <c:extLst>
              <c:ext xmlns:c16="http://schemas.microsoft.com/office/drawing/2014/chart" uri="{C3380CC4-5D6E-409C-BE32-E72D297353CC}">
                <c16:uniqueId val="{00000017-83DB-4535-A03F-3B2DBB9CE74C}"/>
              </c:ext>
            </c:extLst>
          </c:dPt>
          <c:cat>
            <c:strRef>
              <c:f>'結果(2-3ﾚｰﾀﾞｰ)'!$AF$30:$AF$41</c:f>
              <c:strCache>
                <c:ptCount val="12"/>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ゴール17</c:v>
                </c:pt>
              </c:strCache>
            </c:strRef>
          </c:cat>
          <c:val>
            <c:numRef>
              <c:f>'結果(2-3ﾚｰﾀﾞｰ)'!$AG$30:$AG$41</c:f>
              <c:numCache>
                <c:formatCode>0.0_);[Red]\(0.0\)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c:ext xmlns:c16="http://schemas.microsoft.com/office/drawing/2014/chart" uri="{C3380CC4-5D6E-409C-BE32-E72D297353CC}">
              <c16:uniqueId val="{00000018-83DB-4535-A03F-3B2DBB9CE74C}"/>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'結果(2-3ﾚｰﾀﾞｰ)'!$R$13</c:f>
              <c:strCache>
                <c:ptCount val="1"/>
                <c:pt idx="0">
                  <c:v>Rank(red star)</c:v>
                </c:pt>
              </c:strCache>
            </c:strRef>
          </c:cat>
          <c:val>
            <c:numRef>
              <c:f>'結果(2-3ﾚｰﾀﾞｰ)'!$S$13</c:f>
              <c:numCache>
                <c:formatCode>#,##0.0;[Red]\-#,##0.0</c:formatCode>
                <c:ptCount val="1"/>
                <c:pt idx="0">
                  <c:v>0.4</c:v>
                </c:pt>
              </c:numCache>
            </c:numRef>
          </c:val>
          <c:extLst>
            <c:ext xmlns:c16="http://schemas.microsoft.com/office/drawing/2014/chart" uri="{C3380CC4-5D6E-409C-BE32-E72D297353CC}">
              <c16:uniqueId val="{00000000-D203-4301-B833-A898D6E85EF7}"/>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'結果(2-3ﾚｰﾀﾞｰ)'!$R$13</c:f>
              <c:strCache>
                <c:ptCount val="1"/>
                <c:pt idx="0">
                  <c:v>Rank(red star)</c:v>
                </c:pt>
              </c:strCache>
            </c:strRef>
          </c:cat>
          <c:val>
            <c:numRef>
              <c:f>'結果(2-3ﾚｰﾀﾞｰ)'!$S$14</c:f>
              <c:numCache>
                <c:formatCode>#,##0.0;[Red]\-#,##0.0</c:formatCode>
                <c:ptCount val="1"/>
                <c:pt idx="0">
                  <c:v>0.6</c:v>
                </c:pt>
              </c:numCache>
            </c:numRef>
          </c:val>
          <c:extLst>
            <c:ext xmlns:c16="http://schemas.microsoft.com/office/drawing/2014/chart" uri="{C3380CC4-5D6E-409C-BE32-E72D297353CC}">
              <c16:uniqueId val="{00000001-D203-4301-B833-A898D6E85EF7}"/>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16E8-41F6-B36A-2866FCC7558B}"/>
              </c:ext>
            </c:extLst>
          </c:dPt>
          <c:cat>
            <c:strRef>
              <c:f>'結果(2-3ﾚｰﾀﾞｰ)'!$R$36</c:f>
              <c:strCache>
                <c:ptCount val="1"/>
                <c:pt idx="0">
                  <c:v>Rank(green star)</c:v>
                </c:pt>
              </c:strCache>
            </c:strRef>
          </c:cat>
          <c:val>
            <c:numRef>
              <c:f>'結果(2-3ﾚｰﾀﾞｰ)'!$S$36</c:f>
              <c:numCache>
                <c:formatCode>#,##0.0;[Red]\-#,##0.0</c:formatCode>
                <c:ptCount val="1"/>
                <c:pt idx="0">
                  <c:v>0.4</c:v>
                </c:pt>
              </c:numCache>
            </c:numRef>
          </c:val>
          <c:extLst>
            <c:ext xmlns:c16="http://schemas.microsoft.com/office/drawing/2014/chart" uri="{C3380CC4-5D6E-409C-BE32-E72D297353CC}">
              <c16:uniqueId val="{00000002-16E8-41F6-B36A-2866FCC7558B}"/>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'結果(2-3ﾚｰﾀﾞｰ)'!$R$36</c:f>
              <c:strCache>
                <c:ptCount val="1"/>
                <c:pt idx="0">
                  <c:v>Rank(green star)</c:v>
                </c:pt>
              </c:strCache>
            </c:strRef>
          </c:cat>
          <c:val>
            <c:numRef>
              <c:f>'結果(2-3ﾚｰﾀﾞｰ)'!$S$37</c:f>
              <c:numCache>
                <c:formatCode>#,##0.0;[Red]\-#,##0.0</c:formatCode>
                <c:ptCount val="1"/>
                <c:pt idx="0">
                  <c:v>0.6</c:v>
                </c:pt>
              </c:numCache>
            </c:numRef>
          </c:val>
          <c:extLst>
            <c:ext xmlns:c16="http://schemas.microsoft.com/office/drawing/2014/chart" uri="{C3380CC4-5D6E-409C-BE32-E72D297353CC}">
              <c16:uniqueId val="{00000003-16E8-41F6-B36A-2866FCC7558B}"/>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'結果(2-3ﾚｰﾀﾞｰ)'!$S$30</c:f>
              <c:strCache>
                <c:ptCount val="1"/>
                <c:pt idx="0">
                  <c:v>S</c:v>
                </c:pt>
              </c:strCache>
            </c:strRef>
          </c:tx>
          <c:spPr>
            <a:pattFill prst="pct70">
              <a:fgClr>
                <a:srgbClr val="339966"/>
              </a:fgClr>
              <a:bgClr>
                <a:srgbClr val="FFFFFF"/>
              </a:bgClr>
            </a:pattFill>
            <a:ln w="12700">
              <a:solidFill>
                <a:srgbClr val="000000"/>
              </a:solidFill>
              <a:prstDash val="solid"/>
            </a:ln>
          </c:spPr>
          <c:cat>
            <c:numRef>
              <c:f>'結果(2-3ﾚｰﾀﾞｰ)'!$T$24:$U$24</c:f>
              <c:numCache>
                <c:formatCode>General</c:formatCode>
                <c:ptCount val="2"/>
                <c:pt idx="0" formatCode="#,##0_);[Red]\(#,##0\)">
                  <c:v>52.469135802469147</c:v>
                </c:pt>
                <c:pt idx="1">
                  <c:v>0</c:v>
                </c:pt>
              </c:numCache>
            </c:numRef>
          </c:cat>
          <c:val>
            <c:numRef>
              <c:f>'結果(2-3ﾚｰﾀﾞｰ)'!$T$30:$Z$30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BDC1-4A74-BB6F-CB5F7ECE5BC8}"/>
            </c:ext>
          </c:extLst>
        </c:ser>
        <c:ser>
          <c:idx val="3"/>
          <c:order val="4"/>
          <c:tx>
            <c:strRef>
              <c:f>'結果(2-3ﾚｰﾀﾞｰ)'!$S$31</c:f>
              <c:strCache>
                <c:ptCount val="1"/>
                <c:pt idx="0">
                  <c:v>A</c:v>
                </c:pt>
              </c:strCache>
            </c:strRef>
          </c:tx>
          <c:spPr>
            <a:pattFill prst="pct90">
              <a:fgClr>
                <a:srgbClr val="CCFFCC"/>
              </a:fgClr>
              <a:bgClr>
                <a:srgbClr val="FFFFFF"/>
              </a:bgClr>
            </a:pattFill>
            <a:ln w="12700">
              <a:solidFill>
                <a:srgbClr val="000000"/>
              </a:solidFill>
              <a:prstDash val="solid"/>
            </a:ln>
          </c:spPr>
          <c:cat>
            <c:numRef>
              <c:f>'結果(2-3ﾚｰﾀﾞｰ)'!$T$24:$U$24</c:f>
              <c:numCache>
                <c:formatCode>General</c:formatCode>
                <c:ptCount val="2"/>
                <c:pt idx="0" formatCode="#,##0_);[Red]\(#,##0\)">
                  <c:v>52.469135802469147</c:v>
                </c:pt>
                <c:pt idx="1">
                  <c:v>0</c:v>
                </c:pt>
              </c:numCache>
            </c:numRef>
          </c:cat>
          <c:val>
            <c:numRef>
              <c:f>'結果(2-3ﾚｰﾀﾞｰ)'!$T$31:$Z$31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BDC1-4A74-BB6F-CB5F7ECE5BC8}"/>
            </c:ext>
          </c:extLst>
        </c:ser>
        <c:ser>
          <c:idx val="2"/>
          <c:order val="5"/>
          <c:tx>
            <c:strRef>
              <c:f>'結果(2-3ﾚｰﾀﾞｰ)'!$S$32</c:f>
              <c:strCache>
                <c:ptCount val="1"/>
                <c:pt idx="0">
                  <c:v>B+</c:v>
                </c:pt>
              </c:strCache>
            </c:strRef>
          </c:tx>
          <c:spPr>
            <a:solidFill>
              <a:srgbClr val="FFFFCC"/>
            </a:solidFill>
            <a:ln w="12700">
              <a:solidFill>
                <a:srgbClr val="000000"/>
              </a:solidFill>
              <a:prstDash val="solid"/>
            </a:ln>
          </c:spPr>
          <c:cat>
            <c:numRef>
              <c:f>'結果(2-3ﾚｰﾀﾞｰ)'!$T$24:$U$24</c:f>
              <c:numCache>
                <c:formatCode>General</c:formatCode>
                <c:ptCount val="2"/>
                <c:pt idx="0" formatCode="#,##0_);[Red]\(#,##0\)">
                  <c:v>52.469135802469147</c:v>
                </c:pt>
                <c:pt idx="1">
                  <c:v>0</c:v>
                </c:pt>
              </c:numCache>
            </c:numRef>
          </c:cat>
          <c:val>
            <c:numRef>
              <c:f>'結果(2-3ﾚｰﾀﾞｰ)'!$T$32:$Z$32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BDC1-4A74-BB6F-CB5F7ECE5BC8}"/>
            </c:ext>
          </c:extLst>
        </c:ser>
        <c:ser>
          <c:idx val="1"/>
          <c:order val="6"/>
          <c:tx>
            <c:strRef>
              <c:f>'結果(2-3ﾚｰﾀﾞｰ)'!$S$34</c:f>
              <c:strCache>
                <c:ptCount val="1"/>
                <c:pt idx="0">
                  <c:v>B-</c:v>
                </c:pt>
              </c:strCache>
            </c:strRef>
          </c:tx>
          <c:spPr>
            <a:solidFill>
              <a:srgbClr val="FFFFFF"/>
            </a:solidFill>
            <a:ln w="12700">
              <a:solidFill>
                <a:srgbClr val="000000"/>
              </a:solidFill>
              <a:prstDash val="solid"/>
            </a:ln>
          </c:spPr>
          <c:cat>
            <c:numRef>
              <c:f>'結果(2-3ﾚｰﾀﾞｰ)'!$T$24:$U$24</c:f>
              <c:numCache>
                <c:formatCode>General</c:formatCode>
                <c:ptCount val="2"/>
                <c:pt idx="0" formatCode="#,##0_);[Red]\(#,##0\)">
                  <c:v>52.469135802469147</c:v>
                </c:pt>
                <c:pt idx="1">
                  <c:v>0</c:v>
                </c:pt>
              </c:numCache>
            </c:numRef>
          </c:cat>
          <c:val>
            <c:numRef>
              <c:f>'結果(2-3ﾚｰﾀﾞｰ)'!$T$34:$Z$34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BDC1-4A74-BB6F-CB5F7ECE5BC8}"/>
            </c:ext>
          </c:extLst>
        </c:ser>
        <c:ser>
          <c:idx val="0"/>
          <c:order val="7"/>
          <c:tx>
            <c:strRef>
              <c:f>'結果(2-3ﾚｰﾀﾞｰ)'!$S$33</c:f>
              <c:strCache>
                <c:ptCount val="1"/>
                <c:pt idx="0">
                  <c:v>B</c:v>
                </c:pt>
              </c:strCache>
            </c:strRef>
          </c:tx>
          <c:spPr>
            <a:noFill/>
            <a:ln w="12700">
              <a:solidFill>
                <a:srgbClr val="000000"/>
              </a:solidFill>
              <a:prstDash val="solid"/>
            </a:ln>
          </c:spPr>
          <c:cat>
            <c:numRef>
              <c:f>'結果(2-3ﾚｰﾀﾞｰ)'!$T$24:$U$24</c:f>
              <c:numCache>
                <c:formatCode>General</c:formatCode>
                <c:ptCount val="2"/>
                <c:pt idx="0" formatCode="#,##0_);[Red]\(#,##0\)">
                  <c:v>52.469135802469147</c:v>
                </c:pt>
                <c:pt idx="1">
                  <c:v>0</c:v>
                </c:pt>
              </c:numCache>
            </c:numRef>
          </c:cat>
          <c:val>
            <c:numRef>
              <c:f>'結果(2-3ﾚｰﾀﾞｰ)'!$T$33:$Z$33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BDC1-4A74-BB6F-CB5F7ECE5BC8}"/>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BDC1-4A74-BB6F-CB5F7ECE5BC8}"/>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C1-4A74-BB6F-CB5F7ECE5BC8}"/>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C1-4A74-BB6F-CB5F7ECE5B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'結果(2-3ﾚｰﾀﾞｰ)'!$R$26:$U$26</c:f>
              <c:numCache>
                <c:formatCode>General</c:formatCode>
                <c:ptCount val="4"/>
                <c:pt idx="0">
                  <c:v>0</c:v>
                </c:pt>
                <c:pt idx="1">
                  <c:v>52.469135802469147</c:v>
                </c:pt>
                <c:pt idx="2" formatCode="#,##0_);[Red]\(#,##0\)">
                  <c:v>52.469135802469147</c:v>
                </c:pt>
                <c:pt idx="3">
                  <c:v>0.1</c:v>
                </c:pt>
              </c:numCache>
            </c:numRef>
          </c:xVal>
          <c:yVal>
            <c:numRef>
              <c:f>'結果(2-3ﾚｰﾀﾞｰ)'!$R$27:$U$27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9-BDC1-4A74-BB6F-CB5F7ECE5BC8}"/>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BDC1-4A74-BB6F-CB5F7ECE5BC8}"/>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BDC1-4A74-BB6F-CB5F7ECE5BC8}"/>
              </c:ext>
            </c:extLst>
          </c:dPt>
          <c:xVal>
            <c:numRef>
              <c:f>'結果(2-3ﾚｰﾀﾞｰ)'!$R$26:$U$26</c:f>
              <c:numCache>
                <c:formatCode>General</c:formatCode>
                <c:ptCount val="4"/>
                <c:pt idx="0">
                  <c:v>0</c:v>
                </c:pt>
                <c:pt idx="1">
                  <c:v>52.469135802469147</c:v>
                </c:pt>
                <c:pt idx="2" formatCode="#,##0_);[Red]\(#,##0\)">
                  <c:v>52.469135802469147</c:v>
                </c:pt>
                <c:pt idx="3">
                  <c:v>0.1</c:v>
                </c:pt>
              </c:numCache>
            </c:numRef>
          </c:xVal>
          <c:yVal>
            <c:numRef>
              <c:f>'結果(2-3ﾚｰﾀﾞｰ)'!$R$27:$U$27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C-BDC1-4A74-BB6F-CB5F7ECE5BC8}"/>
            </c:ext>
          </c:extLst>
        </c:ser>
        <c:ser>
          <c:idx val="5"/>
          <c:order val="2"/>
          <c:tx>
            <c:strRef>
              <c:f>'結果(2-3ﾚｰﾀﾞｰ)'!$S$12</c:f>
              <c:strCache>
                <c:ptCount val="1"/>
                <c:pt idx="0">
                  <c:v>0.9</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BDC1-4A74-BB6F-CB5F7ECE5BC8}"/>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BDC1-4A74-BB6F-CB5F7ECE5BC8}"/>
              </c:ext>
            </c:extLst>
          </c:dPt>
          <c:dPt>
            <c:idx val="2"/>
            <c:bubble3D val="0"/>
            <c:spPr>
              <a:ln w="38100">
                <a:solidFill>
                  <a:srgbClr val="008000"/>
                </a:solidFill>
                <a:prstDash val="solid"/>
              </a:ln>
            </c:spPr>
            <c:extLst>
              <c:ext xmlns:c16="http://schemas.microsoft.com/office/drawing/2014/chart" uri="{C3380CC4-5D6E-409C-BE32-E72D297353CC}">
                <c16:uniqueId val="{00000011-BDC1-4A74-BB6F-CB5F7ECE5BC8}"/>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BDC1-4A74-BB6F-CB5F7ECE5BC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'結果(2-3ﾚｰﾀﾞｰ)'!$S$24:$U$24</c:f>
              <c:numCache>
                <c:formatCode>#,##0_);[Red]\(#,##0\)</c:formatCode>
                <c:ptCount val="3"/>
                <c:pt idx="1">
                  <c:v>52.469135802469147</c:v>
                </c:pt>
                <c:pt idx="2" formatCode="General">
                  <c:v>0</c:v>
                </c:pt>
              </c:numCache>
            </c:numRef>
          </c:xVal>
          <c:yVal>
            <c:numRef>
              <c:f>'結果(2-3ﾚｰﾀﾞｰ)'!$S$25:$U$25</c:f>
              <c:numCache>
                <c:formatCode>#,##0_);[Red]\(#,##0\)</c:formatCode>
                <c:ptCount val="3"/>
                <c:pt idx="1">
                  <c:v>51.19047619047619</c:v>
                </c:pt>
                <c:pt idx="2" formatCode="General">
                  <c:v>0</c:v>
                </c:pt>
              </c:numCache>
            </c:numRef>
          </c:yVal>
          <c:smooth val="0"/>
          <c:extLst>
            <c:ext xmlns:c16="http://schemas.microsoft.com/office/drawing/2014/chart" uri="{C3380CC4-5D6E-409C-BE32-E72D297353CC}">
              <c16:uniqueId val="{00000012-BDC1-4A74-BB6F-CB5F7ECE5BC8}"/>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 (2)'!$R$13</c:f>
              <c:strCache>
                <c:ptCount val="1"/>
                <c:pt idx="0">
                  <c:v>Rank(red star)</c:v>
                </c:pt>
              </c:strCache>
            </c:strRef>
          </c:cat>
          <c:val>
            <c:numRef>
              <c:f>'結果 (2)'!$S$13</c:f>
              <c:numCache>
                <c:formatCode>#,##0.0;[Red]\-#,##0.0</c:formatCode>
                <c:ptCount val="1"/>
                <c:pt idx="0">
                  <c:v>0.4</c:v>
                </c:pt>
              </c:numCache>
            </c:numRef>
          </c:val>
          <c:extLst>
            <c:ext xmlns:c16="http://schemas.microsoft.com/office/drawing/2014/chart" uri="{C3380CC4-5D6E-409C-BE32-E72D297353CC}">
              <c16:uniqueId val="{00000000-FC10-40E4-B4CE-D68FB01EDA54}"/>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 (2)'!$R$13</c:f>
              <c:strCache>
                <c:ptCount val="1"/>
                <c:pt idx="0">
                  <c:v>Rank(red star)</c:v>
                </c:pt>
              </c:strCache>
            </c:strRef>
          </c:cat>
          <c:val>
            <c:numRef>
              <c:f>'結果 (2)'!$S$14</c:f>
              <c:numCache>
                <c:formatCode>#,##0.0;[Red]\-#,##0.0</c:formatCode>
                <c:ptCount val="1"/>
                <c:pt idx="0">
                  <c:v>0.6</c:v>
                </c:pt>
              </c:numCache>
            </c:numRef>
          </c:val>
          <c:extLst>
            <c:ext xmlns:c16="http://schemas.microsoft.com/office/drawing/2014/chart" uri="{C3380CC4-5D6E-409C-BE32-E72D297353CC}">
              <c16:uniqueId val="{00000001-FC10-40E4-B4CE-D68FB01EDA54}"/>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5B72-4440-B29B-4769BFF6F43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5B72-4440-B29B-4769BFF6F43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5B72-4440-B29B-4769BFF6F43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5B72-4440-B29B-4769BFF6F43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'結果(2-3ﾚｰﾀﾞｰ)'!$R$49:$R$52</c:f>
              <c:strCache>
                <c:ptCount val="4"/>
                <c:pt idx="0">
                  <c:v>自然環境</c:v>
                </c:pt>
                <c:pt idx="1">
                  <c:v>生活環境</c:v>
                </c:pt>
                <c:pt idx="2">
                  <c:v>建築物
環境配慮</c:v>
                </c:pt>
                <c:pt idx="3">
                  <c:v>環境性能
スマート化</c:v>
                </c:pt>
              </c:strCache>
            </c:strRef>
          </c:cat>
          <c:val>
            <c:numRef>
              <c:f>'結果(2-3ﾚｰﾀﾞｰ)'!$S$49:$S$52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5B72-4440-B29B-4769BFF6F431}"/>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F37-4772-B930-B88F3AE9AA5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F37-4772-B930-B88F3AE9AA5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F37-4772-B930-B88F3AE9AA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'結果(2-3ﾚｰﾀﾞｰ)'!$U$49:$U$54</c:f>
              <c:strCache>
                <c:ptCount val="6"/>
                <c:pt idx="0">
                  <c:v>ガバナンス</c:v>
                </c:pt>
                <c:pt idx="1">
                  <c:v>生活利便</c:v>
                </c:pt>
                <c:pt idx="2">
                  <c:v>健康福祉</c:v>
                </c:pt>
                <c:pt idx="3">
                  <c:v>安全安心</c:v>
                </c:pt>
                <c:pt idx="4">
                  <c:v>包摂性</c:v>
                </c:pt>
                <c:pt idx="5">
                  <c:v>社会性能
スマート化</c:v>
                </c:pt>
              </c:strCache>
            </c:strRef>
          </c:cat>
          <c:val>
            <c:numRef>
              <c:f>'結果(2-3ﾚｰﾀﾞｰ)'!$V$49:$V$54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8F37-4772-B930-B88F3AE9AA59}"/>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5FA6-45A8-AFAA-69019A967E6E}"/>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5FA6-45A8-AFAA-69019A967E6E}"/>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5FA6-45A8-AFAA-69019A967E6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'結果(2-3ﾚｰﾀﾞｰ)'!$X$49:$X$52</c:f>
              <c:strCache>
                <c:ptCount val="4"/>
                <c:pt idx="0">
                  <c:v>経済基盤</c:v>
                </c:pt>
                <c:pt idx="1">
                  <c:v>ヒューマン
キャピタル</c:v>
                </c:pt>
                <c:pt idx="2">
                  <c:v>活性化方策</c:v>
                </c:pt>
                <c:pt idx="3">
                  <c:v>経済性能
スマート化</c:v>
                </c:pt>
              </c:strCache>
            </c:strRef>
          </c:cat>
          <c:val>
            <c:numRef>
              <c:f>'結果(2-3ﾚｰﾀﾞｰ)'!$Y$49:$Y$52</c:f>
              <c:numCache>
                <c:formatCode>0.0_ </c:formatCode>
                <c:ptCount val="4"/>
                <c:pt idx="0">
                  <c:v>3</c:v>
                </c:pt>
                <c:pt idx="1">
                  <c:v>3.5</c:v>
                </c:pt>
                <c:pt idx="2">
                  <c:v>3</c:v>
                </c:pt>
                <c:pt idx="3">
                  <c:v>3</c:v>
                </c:pt>
              </c:numCache>
            </c:numRef>
          </c:val>
          <c:extLst>
            <c:ext xmlns:c16="http://schemas.microsoft.com/office/drawing/2014/chart" uri="{C3380CC4-5D6E-409C-BE32-E72D297353CC}">
              <c16:uniqueId val="{00000003-5FA6-45A8-AFAA-69019A967E6E}"/>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825-4C80-BF27-B380F261A36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825-4C80-BF27-B380F261A36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825-4C80-BF27-B380F261A364}"/>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0825-4C80-BF27-B380F261A36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'結果(2-3ﾚｰﾀﾞｰ)'!$R$60:$R$63</c:f>
              <c:strCache>
                <c:ptCount val="4"/>
                <c:pt idx="0">
                  <c:v>エネルギー
効率化</c:v>
                </c:pt>
                <c:pt idx="1">
                  <c:v>再生
エネルギー</c:v>
                </c:pt>
                <c:pt idx="2">
                  <c:v>未利用
エネルギー</c:v>
                </c:pt>
                <c:pt idx="3">
                  <c:v>エネルギー
マネジメント</c:v>
                </c:pt>
              </c:strCache>
            </c:strRef>
          </c:cat>
          <c:val>
            <c:numRef>
              <c:f>'結果(2-3ﾚｰﾀﾞｰ)'!$S$60:$S$63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0825-4C80-BF27-B380F261A364}"/>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1855-40DB-A8D2-6A0145809219}"/>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1855-40DB-A8D2-6A0145809219}"/>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1855-40DB-A8D2-6A014580921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'結果(2-3ﾚｰﾀﾞｰ)'!$U$60:$U$62</c:f>
              <c:strCache>
                <c:ptCount val="3"/>
                <c:pt idx="0">
                  <c:v>土地資源</c:v>
                </c:pt>
                <c:pt idx="1">
                  <c:v>水資源</c:v>
                </c:pt>
                <c:pt idx="2">
                  <c:v>資源循環</c:v>
                </c:pt>
              </c:strCache>
            </c:strRef>
          </c:cat>
          <c:val>
            <c:numRef>
              <c:f>'結果(2-3ﾚｰﾀﾞｰ)'!$V$60:$V$62</c:f>
              <c:numCache>
                <c:formatCode>0.0_ </c:formatCode>
                <c:ptCount val="3"/>
                <c:pt idx="0">
                  <c:v>3</c:v>
                </c:pt>
                <c:pt idx="1">
                  <c:v>3.1</c:v>
                </c:pt>
                <c:pt idx="2">
                  <c:v>3</c:v>
                </c:pt>
              </c:numCache>
            </c:numRef>
          </c:val>
          <c:extLst>
            <c:ext xmlns:c16="http://schemas.microsoft.com/office/drawing/2014/chart" uri="{C3380CC4-5D6E-409C-BE32-E72D297353CC}">
              <c16:uniqueId val="{00000003-1855-40DB-A8D2-6A0145809219}"/>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B14A-4825-88B3-02F9BDF61E3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B14A-4825-88B3-02F9BDF61E3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B14A-4825-88B3-02F9BDF61E3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'結果(2-3ﾚｰﾀﾞｰ)'!$X$60:$X$62</c:f>
              <c:strCache>
                <c:ptCount val="3"/>
                <c:pt idx="0">
                  <c:v>地球温暖化
への配慮</c:v>
                </c:pt>
                <c:pt idx="1">
                  <c:v>交通負荷
の削減</c:v>
                </c:pt>
                <c:pt idx="2">
                  <c:v>環境阻害
の削減</c:v>
                </c:pt>
              </c:strCache>
            </c:strRef>
          </c:cat>
          <c:val>
            <c:numRef>
              <c:f>'結果(2-3ﾚｰﾀﾞｰ)'!$Y$60:$Y$62</c:f>
              <c:numCache>
                <c:formatCode>0.0_ </c:formatCode>
                <c:ptCount val="3"/>
                <c:pt idx="0">
                  <c:v>2</c:v>
                </c:pt>
                <c:pt idx="1">
                  <c:v>3</c:v>
                </c:pt>
                <c:pt idx="2">
                  <c:v>2.9</c:v>
                </c:pt>
              </c:numCache>
            </c:numRef>
          </c:val>
          <c:extLst>
            <c:ext xmlns:c16="http://schemas.microsoft.com/office/drawing/2014/chart" uri="{C3380CC4-5D6E-409C-BE32-E72D297353CC}">
              <c16:uniqueId val="{00000003-B14A-4825-88B3-02F9BDF61E3D}"/>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F817-47D2-807A-EBAF774CF233}"/>
              </c:ext>
            </c:extLst>
          </c:dPt>
          <c:cat>
            <c:strRef>
              <c:f>'結果(2-3ﾚｰﾀﾞｰ)'!$AF$25:$AH$25</c:f>
              <c:strCache>
                <c:ptCount val="1"/>
                <c:pt idx="0">
                  <c:v>SDGsRank(Ring)</c:v>
                </c:pt>
              </c:strCache>
            </c:strRef>
          </c:cat>
          <c:val>
            <c:numRef>
              <c:f>'結果(2-3ﾚｰﾀﾞｰ)'!$AI$25</c:f>
              <c:numCache>
                <c:formatCode>0.00_ </c:formatCode>
                <c:ptCount val="1"/>
                <c:pt idx="0">
                  <c:v>0.2</c:v>
                </c:pt>
              </c:numCache>
            </c:numRef>
          </c:val>
          <c:extLst>
            <c:ext xmlns:c16="http://schemas.microsoft.com/office/drawing/2014/chart" uri="{C3380CC4-5D6E-409C-BE32-E72D297353CC}">
              <c16:uniqueId val="{00000001-F817-47D2-807A-EBAF774CF233}"/>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'結果(2-3ﾚｰﾀﾞｰ)'!$AF$25:$AH$25</c:f>
              <c:strCache>
                <c:ptCount val="1"/>
                <c:pt idx="0">
                  <c:v>SDGsRank(Ring)</c:v>
                </c:pt>
              </c:strCache>
            </c:strRef>
          </c:cat>
          <c:val>
            <c:numRef>
              <c:f>'結果(2-3ﾚｰﾀﾞｰ)'!$AI$26</c:f>
              <c:numCache>
                <c:formatCode>0.00_ </c:formatCode>
                <c:ptCount val="1"/>
                <c:pt idx="0">
                  <c:v>0.8</c:v>
                </c:pt>
              </c:numCache>
            </c:numRef>
          </c:val>
          <c:extLst>
            <c:ext xmlns:c16="http://schemas.microsoft.com/office/drawing/2014/chart" uri="{C3380CC4-5D6E-409C-BE32-E72D297353CC}">
              <c16:uniqueId val="{00000002-F817-47D2-807A-EBAF774CF233}"/>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6369889934145"/>
          <c:y val="0.19296365892873543"/>
          <c:w val="0.50668572125585609"/>
          <c:h val="0.58088971445997639"/>
        </c:manualLayout>
      </c:layout>
      <c:radarChart>
        <c:radarStyle val="filled"/>
        <c:varyColors val="0"/>
        <c:ser>
          <c:idx val="0"/>
          <c:order val="0"/>
          <c:tx>
            <c:strRef>
              <c:f>'結果(2-3ﾚｰﾀﾞｰ)'!$W$7</c:f>
              <c:strCache>
                <c:ptCount val="1"/>
                <c:pt idx="0">
                  <c:v>background</c:v>
                </c:pt>
              </c:strCache>
            </c:strRef>
          </c:tx>
          <c:spPr>
            <a:blipFill dpi="0" rotWithShape="0">
              <a:blip xmlns:r="http://schemas.openxmlformats.org/officeDocument/2006/relationships" r:embed="rId1"/>
              <a:srcRect/>
              <a:stretch>
                <a:fillRect/>
              </a:stretch>
            </a:blip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'結果(2-3ﾚｰﾀﾞｰ)'!$W$8:$W$13</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0-2C11-440A-A125-6805C6D5FB3D}"/>
            </c:ext>
          </c:extLst>
        </c:ser>
        <c:ser>
          <c:idx val="1"/>
          <c:order val="1"/>
          <c:tx>
            <c:strRef>
              <c:f>'結果(2-3ﾚｰﾀﾞｰ)'!$X$7</c:f>
              <c:strCache>
                <c:ptCount val="1"/>
                <c:pt idx="0">
                  <c:v>4</c:v>
                </c:pt>
              </c:strCache>
            </c:strRef>
          </c:tx>
          <c:spPr>
            <a:no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'結果(2-3ﾚｰﾀﾞｰ)'!$X$8:$X$13</c:f>
              <c:numCache>
                <c:formatCode>General</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1-2C11-440A-A125-6805C6D5FB3D}"/>
            </c:ext>
          </c:extLst>
        </c:ser>
        <c:ser>
          <c:idx val="2"/>
          <c:order val="2"/>
          <c:tx>
            <c:strRef>
              <c:f>'結果(2-3ﾚｰﾀﾞｰ)'!$Y$7</c:f>
              <c:strCache>
                <c:ptCount val="1"/>
                <c:pt idx="0">
                  <c:v>2</c:v>
                </c:pt>
              </c:strCache>
            </c:strRef>
          </c:tx>
          <c:spPr>
            <a:no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'結果(2-3ﾚｰﾀﾞｰ)'!$Y$8:$Y$13</c:f>
              <c:numCache>
                <c:formatCode>General</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2-2C11-440A-A125-6805C6D5FB3D}"/>
            </c:ext>
          </c:extLst>
        </c:ser>
        <c:ser>
          <c:idx val="3"/>
          <c:order val="3"/>
          <c:tx>
            <c:strRef>
              <c:f>'結果(2-3ﾚｰﾀﾞｰ)'!$Z$7</c:f>
              <c:strCache>
                <c:ptCount val="1"/>
                <c:pt idx="0">
                  <c:v>Score(RoundDown)</c:v>
                </c:pt>
              </c:strCache>
            </c:strRef>
          </c:tx>
          <c:spPr>
            <a:pattFill prst="pct50">
              <a:fgClr>
                <a:srgbClr val="CCCCFF"/>
              </a:fgClr>
              <a:bgClr>
                <a:srgbClr val="FFFFFF"/>
              </a:bgClr>
            </a:pattFill>
            <a:ln w="12700">
              <a:solidFill>
                <a:srgbClr val="00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'結果(2-3ﾚｰﾀﾞｰ)'!$Z$8:$Z$13</c:f>
              <c:numCache>
                <c:formatCode>General</c:formatCode>
                <c:ptCount val="6"/>
                <c:pt idx="0">
                  <c:v>3</c:v>
                </c:pt>
                <c:pt idx="1">
                  <c:v>3.1</c:v>
                </c:pt>
                <c:pt idx="2">
                  <c:v>2.6</c:v>
                </c:pt>
                <c:pt idx="3">
                  <c:v>3</c:v>
                </c:pt>
                <c:pt idx="4">
                  <c:v>3</c:v>
                </c:pt>
                <c:pt idx="5">
                  <c:v>3</c:v>
                </c:pt>
              </c:numCache>
            </c:numRef>
          </c:val>
          <c:extLst>
            <c:ext xmlns:c16="http://schemas.microsoft.com/office/drawing/2014/chart" uri="{C3380CC4-5D6E-409C-BE32-E72D297353CC}">
              <c16:uniqueId val="{00000003-2C11-440A-A125-6805C6D5FB3D}"/>
            </c:ext>
          </c:extLst>
        </c:ser>
        <c:ser>
          <c:idx val="4"/>
          <c:order val="4"/>
          <c:tx>
            <c:strRef>
              <c:f>'結果(2-3ﾚｰﾀﾞｰ)'!$AA$7</c:f>
              <c:strCache>
                <c:ptCount val="1"/>
                <c:pt idx="0">
                  <c:v>std</c:v>
                </c:pt>
              </c:strCache>
            </c:strRef>
          </c:tx>
          <c:spPr>
            <a:noFill/>
            <a:ln w="12700">
              <a:solidFill>
                <a:srgbClr val="FF0000"/>
              </a:solidFill>
              <a:prstDash val="solid"/>
            </a:ln>
          </c:spPr>
          <c:cat>
            <c:strRef>
              <c:f>'結果(2-3ﾚｰﾀﾞｰ)'!$V$8:$V$13</c:f>
              <c:strCache>
                <c:ptCount val="6"/>
                <c:pt idx="0">
                  <c:v>Q-2 社会</c:v>
                </c:pt>
                <c:pt idx="1">
                  <c:v>Q-3 経済</c:v>
                </c:pt>
                <c:pt idx="2">
                  <c:v>LR-3 周辺環境</c:v>
                </c:pt>
                <c:pt idx="3">
                  <c:v>LR-2 資源</c:v>
                </c:pt>
                <c:pt idx="4">
                  <c:v>LR-1 エネルギー</c:v>
                </c:pt>
                <c:pt idx="5">
                  <c:v>Q-1 環境</c:v>
                </c:pt>
              </c:strCache>
            </c:strRef>
          </c:cat>
          <c:val>
            <c:numRef>
              <c:f>'結果(2-3ﾚｰﾀﾞｰ)'!$AA$8:$AA$13</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4-2C11-440A-A125-6805C6D5FB3D}"/>
            </c:ext>
          </c:extLst>
        </c:ser>
        <c:dLbls>
          <c:showLegendKey val="0"/>
          <c:showVal val="0"/>
          <c:showCatName val="0"/>
          <c:showSerName val="0"/>
          <c:showPercent val="0"/>
          <c:showBubbleSize val="0"/>
        </c:dLbls>
        <c:axId val="497763576"/>
        <c:axId val="497763968"/>
      </c:radarChart>
      <c:catAx>
        <c:axId val="4977635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a:pPr>
            <a:endParaRPr lang="ja-JP"/>
          </a:p>
        </c:txPr>
        <c:crossAx val="497763968"/>
        <c:crosses val="autoZero"/>
        <c:auto val="0"/>
        <c:lblAlgn val="ctr"/>
        <c:lblOffset val="100"/>
        <c:noMultiLvlLbl val="0"/>
      </c:catAx>
      <c:valAx>
        <c:axId val="49776396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497763576"/>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'結果(2-3ﾚｰﾀﾞｰ)'!$AF$49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'結果(2-3ﾚｰﾀﾞｰ)'!$AG$49:$AH$49</c:f>
              <c:numCache>
                <c:formatCode>General</c:formatCode>
                <c:ptCount val="2"/>
                <c:pt idx="0" formatCode="0.0">
                  <c:v>3</c:v>
                </c:pt>
              </c:numCache>
            </c:numRef>
          </c:val>
          <c:extLst>
            <c:ext xmlns:c16="http://schemas.microsoft.com/office/drawing/2014/chart" uri="{C3380CC4-5D6E-409C-BE32-E72D297353CC}">
              <c16:uniqueId val="{00000000-2815-4959-A837-42F2E0726C33}"/>
            </c:ext>
          </c:extLst>
        </c:ser>
        <c:ser>
          <c:idx val="1"/>
          <c:order val="1"/>
          <c:tx>
            <c:strRef>
              <c:f>'結果(2-3ﾚｰﾀﾞｰ)'!$AF$50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'結果(2-3ﾚｰﾀﾞｰ)'!$AG$50:$AH$50</c:f>
              <c:numCache>
                <c:formatCode>General</c:formatCode>
                <c:ptCount val="2"/>
                <c:pt idx="0" formatCode="0.0">
                  <c:v>3</c:v>
                </c:pt>
              </c:numCache>
            </c:numRef>
          </c:val>
          <c:extLst>
            <c:ext xmlns:c16="http://schemas.microsoft.com/office/drawing/2014/chart" uri="{C3380CC4-5D6E-409C-BE32-E72D297353CC}">
              <c16:uniqueId val="{00000001-2815-4959-A837-42F2E0726C33}"/>
            </c:ext>
          </c:extLst>
        </c:ser>
        <c:ser>
          <c:idx val="2"/>
          <c:order val="2"/>
          <c:tx>
            <c:strRef>
              <c:f>'結果(2-3ﾚｰﾀﾞｰ)'!$AF$51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'結果(2-3ﾚｰﾀﾞｰ)'!$AG$51:$AH$51</c:f>
              <c:numCache>
                <c:formatCode>General</c:formatCode>
                <c:ptCount val="2"/>
                <c:pt idx="0" formatCode="0.0">
                  <c:v>3</c:v>
                </c:pt>
              </c:numCache>
            </c:numRef>
          </c:val>
          <c:extLst>
            <c:ext xmlns:c16="http://schemas.microsoft.com/office/drawing/2014/chart" uri="{C3380CC4-5D6E-409C-BE32-E72D297353CC}">
              <c16:uniqueId val="{00000002-2815-4959-A837-42F2E0726C33}"/>
            </c:ext>
          </c:extLst>
        </c:ser>
        <c:ser>
          <c:idx val="3"/>
          <c:order val="3"/>
          <c:tx>
            <c:strRef>
              <c:f>'結果(2-3ﾚｰﾀﾞｰ)'!$AF$52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'結果(2-3ﾚｰﾀﾞｰ)'!$AG$52:$AH$52</c:f>
              <c:numCache>
                <c:formatCode>General</c:formatCode>
                <c:ptCount val="2"/>
                <c:pt idx="0" formatCode="0.0">
                  <c:v>3</c:v>
                </c:pt>
              </c:numCache>
            </c:numRef>
          </c:val>
          <c:extLst>
            <c:ext xmlns:c16="http://schemas.microsoft.com/office/drawing/2014/chart" uri="{C3380CC4-5D6E-409C-BE32-E72D297353CC}">
              <c16:uniqueId val="{00000003-2815-4959-A837-42F2E0726C33}"/>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'結果(2-3ﾚｰﾀﾞｰ)'!$AF$60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'結果(2-3ﾚｰﾀﾞｰ)'!$AG$60:$AH$60</c:f>
              <c:numCache>
                <c:formatCode>General</c:formatCode>
                <c:ptCount val="2"/>
                <c:pt idx="0" formatCode="0.0">
                  <c:v>3</c:v>
                </c:pt>
              </c:numCache>
            </c:numRef>
          </c:val>
          <c:extLst>
            <c:ext xmlns:c16="http://schemas.microsoft.com/office/drawing/2014/chart" uri="{C3380CC4-5D6E-409C-BE32-E72D297353CC}">
              <c16:uniqueId val="{00000000-426F-49D6-A698-A20CEA445D52}"/>
            </c:ext>
          </c:extLst>
        </c:ser>
        <c:ser>
          <c:idx val="1"/>
          <c:order val="1"/>
          <c:tx>
            <c:strRef>
              <c:f>'結果(2-3ﾚｰﾀﾞｰ)'!$AF$61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'結果(2-3ﾚｰﾀﾞｰ)'!$AG$61:$AH$61</c:f>
              <c:numCache>
                <c:formatCode>General</c:formatCode>
                <c:ptCount val="2"/>
                <c:pt idx="0" formatCode="0.0">
                  <c:v>3</c:v>
                </c:pt>
              </c:numCache>
            </c:numRef>
          </c:val>
          <c:extLst>
            <c:ext xmlns:c16="http://schemas.microsoft.com/office/drawing/2014/chart" uri="{C3380CC4-5D6E-409C-BE32-E72D297353CC}">
              <c16:uniqueId val="{00000001-426F-49D6-A698-A20CEA445D52}"/>
            </c:ext>
          </c:extLst>
        </c:ser>
        <c:ser>
          <c:idx val="2"/>
          <c:order val="2"/>
          <c:tx>
            <c:strRef>
              <c:f>'結果(2-3ﾚｰﾀﾞｰ)'!$AF$62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'結果(2-3ﾚｰﾀﾞｰ)'!$AG$48:$AH$48</c:f>
              <c:strCache>
                <c:ptCount val="1"/>
                <c:pt idx="0">
                  <c:v>Score(Round)</c:v>
                </c:pt>
              </c:strCache>
            </c:strRef>
          </c:cat>
          <c:val>
            <c:numRef>
              <c:f>'結果(2-3ﾚｰﾀﾞｰ)'!$AG$62:$AH$62</c:f>
              <c:numCache>
                <c:formatCode>General</c:formatCode>
                <c:ptCount val="2"/>
                <c:pt idx="0" formatCode="0.0">
                  <c:v>3</c:v>
                </c:pt>
              </c:numCache>
            </c:numRef>
          </c:val>
          <c:extLst>
            <c:ext xmlns:c16="http://schemas.microsoft.com/office/drawing/2014/chart" uri="{C3380CC4-5D6E-409C-BE32-E72D297353CC}">
              <c16:uniqueId val="{00000002-426F-49D6-A698-A20CEA445D52}"/>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963A-45CA-93D4-BA6AAB0BF11A}"/>
              </c:ext>
            </c:extLst>
          </c:dPt>
          <c:cat>
            <c:strRef>
              <c:f>'結果 (2)'!$R$36</c:f>
              <c:strCache>
                <c:ptCount val="1"/>
                <c:pt idx="0">
                  <c:v>Rank(green star)</c:v>
                </c:pt>
              </c:strCache>
            </c:strRef>
          </c:cat>
          <c:val>
            <c:numRef>
              <c:f>'結果 (2)'!$S$36</c:f>
              <c:numCache>
                <c:formatCode>#,##0.0;[Red]\-#,##0.0</c:formatCode>
                <c:ptCount val="1"/>
                <c:pt idx="0">
                  <c:v>0</c:v>
                </c:pt>
              </c:numCache>
            </c:numRef>
          </c:val>
          <c:extLst>
            <c:ext xmlns:c16="http://schemas.microsoft.com/office/drawing/2014/chart" uri="{C3380CC4-5D6E-409C-BE32-E72D297353CC}">
              <c16:uniqueId val="{00000002-963A-45CA-93D4-BA6AAB0BF11A}"/>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 (2)'!$R$36</c:f>
              <c:strCache>
                <c:ptCount val="1"/>
                <c:pt idx="0">
                  <c:v>Rank(green star)</c:v>
                </c:pt>
              </c:strCache>
            </c:strRef>
          </c:cat>
          <c:val>
            <c:numRef>
              <c:f>'結果 (2)'!$S$37</c:f>
              <c:numCache>
                <c:formatCode>#,##0.0;[Red]\-#,##0.0</c:formatCode>
                <c:ptCount val="1"/>
                <c:pt idx="0">
                  <c:v>0</c:v>
                </c:pt>
              </c:numCache>
            </c:numRef>
          </c:val>
          <c:extLst>
            <c:ext xmlns:c16="http://schemas.microsoft.com/office/drawing/2014/chart" uri="{C3380CC4-5D6E-409C-BE32-E72D297353CC}">
              <c16:uniqueId val="{00000003-963A-45CA-93D4-BA6AAB0BF11A}"/>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906357891064"/>
          <c:y val="8.8235294117647176E-2"/>
          <c:w val="0.79525866870330375"/>
          <c:h val="0.74526329778397948"/>
        </c:manualLayout>
      </c:layout>
      <c:barChart>
        <c:barDir val="bar"/>
        <c:grouping val="stacked"/>
        <c:varyColors val="0"/>
        <c:ser>
          <c:idx val="0"/>
          <c:order val="0"/>
          <c:tx>
            <c:strRef>
              <c:f>旧結果!$S$53</c:f>
              <c:strCache>
                <c:ptCount val="1"/>
                <c:pt idx="0">
                  <c:v>総排出量</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旧結果!$R$54:$R$55</c:f>
              <c:strCache>
                <c:ptCount val="2"/>
                <c:pt idx="0">
                  <c:v>施策後</c:v>
                </c:pt>
                <c:pt idx="1">
                  <c:v>BAU</c:v>
                </c:pt>
              </c:strCache>
            </c:strRef>
          </c:cat>
          <c:val>
            <c:numRef>
              <c:f>旧結果!$S$54:$S$55</c:f>
              <c:numCache>
                <c:formatCode>0.0;[Red]0.0</c:formatCode>
                <c:ptCount val="2"/>
                <c:pt idx="0">
                  <c:v>3</c:v>
                </c:pt>
                <c:pt idx="1">
                  <c:v>0</c:v>
                </c:pt>
              </c:numCache>
            </c:numRef>
          </c:val>
          <c:extLst>
            <c:ext xmlns:c16="http://schemas.microsoft.com/office/drawing/2014/chart" uri="{C3380CC4-5D6E-409C-BE32-E72D297353CC}">
              <c16:uniqueId val="{00000000-84A5-4E67-9C5E-4F851A372079}"/>
            </c:ext>
          </c:extLst>
        </c:ser>
        <c:dLbls>
          <c:showLegendKey val="0"/>
          <c:showVal val="0"/>
          <c:showCatName val="0"/>
          <c:showSerName val="0"/>
          <c:showPercent val="0"/>
          <c:showBubbleSize val="0"/>
        </c:dLbls>
        <c:gapWidth val="40"/>
        <c:overlap val="100"/>
        <c:axId val="364024440"/>
        <c:axId val="1"/>
      </c:barChart>
      <c:catAx>
        <c:axId val="364024440"/>
        <c:scaling>
          <c:orientation val="minMax"/>
        </c:scaling>
        <c:delete val="0"/>
        <c:axPos val="l"/>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b"/>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444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 r="0.750000000000001" t="1"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61351761871064E-2"/>
          <c:y val="8.4848987032356965E-2"/>
          <c:w val="0.90879623370736484"/>
          <c:h val="0.7212163897750342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2C-426E-8AAC-7913FF01D843}"/>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2C-426E-8AAC-7913FF01D843}"/>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2C-426E-8AAC-7913FF01D84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旧結果!$X$40:$X$42</c:f>
              <c:numCache>
                <c:formatCode>General</c:formatCode>
                <c:ptCount val="3"/>
                <c:pt idx="0">
                  <c:v>0</c:v>
                </c:pt>
                <c:pt idx="1">
                  <c:v>0</c:v>
                </c:pt>
                <c:pt idx="2">
                  <c:v>0</c:v>
                </c:pt>
              </c:numCache>
            </c:numRef>
          </c:cat>
          <c:val>
            <c:numRef>
              <c:f>旧結果!$Y$40:$Y$42</c:f>
              <c:numCache>
                <c:formatCode>0.0_ </c:formatCode>
                <c:ptCount val="3"/>
                <c:pt idx="0">
                  <c:v>3</c:v>
                </c:pt>
                <c:pt idx="1">
                  <c:v>3.5</c:v>
                </c:pt>
                <c:pt idx="2">
                  <c:v>3</c:v>
                </c:pt>
              </c:numCache>
            </c:numRef>
          </c:val>
          <c:extLst>
            <c:ext xmlns:c16="http://schemas.microsoft.com/office/drawing/2014/chart" uri="{C3380CC4-5D6E-409C-BE32-E72D297353CC}">
              <c16:uniqueId val="{00000003-472C-426E-8AAC-7913FF01D843}"/>
            </c:ext>
          </c:extLst>
        </c:ser>
        <c:dLbls>
          <c:showLegendKey val="0"/>
          <c:showVal val="0"/>
          <c:showCatName val="0"/>
          <c:showSerName val="0"/>
          <c:showPercent val="0"/>
          <c:showBubbleSize val="0"/>
        </c:dLbls>
        <c:gapWidth val="40"/>
        <c:axId val="364019192"/>
        <c:axId val="1"/>
      </c:barChart>
      <c:catAx>
        <c:axId val="364019192"/>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1919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 verticalDpi="-3"/>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36873806399385"/>
          <c:y val="8.8652789273012497E-2"/>
          <c:w val="0.70723797806264466"/>
          <c:h val="0.72695287203870251"/>
        </c:manualLayout>
      </c:layout>
      <c:areaChart>
        <c:grouping val="standard"/>
        <c:varyColors val="0"/>
        <c:ser>
          <c:idx val="4"/>
          <c:order val="0"/>
          <c:tx>
            <c:strRef>
              <c:f>旧結果!$S$32</c:f>
              <c:strCache>
                <c:ptCount val="1"/>
                <c:pt idx="0">
                  <c:v>S</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cat>
            <c:numRef>
              <c:f>旧結果!$T$25:$U$25</c:f>
              <c:numCache>
                <c:formatCode>General</c:formatCode>
                <c:ptCount val="2"/>
                <c:pt idx="0" formatCode="#,##0_);[Red]\(#,##0\)">
                  <c:v>2.9</c:v>
                </c:pt>
                <c:pt idx="1">
                  <c:v>0</c:v>
                </c:pt>
              </c:numCache>
            </c:numRef>
          </c:cat>
          <c:val>
            <c:numRef>
              <c:f>旧結果!$T$32:$Z$32</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251B-49F1-AA87-3CB370B53314}"/>
            </c:ext>
          </c:extLst>
        </c:ser>
        <c:ser>
          <c:idx val="3"/>
          <c:order val="1"/>
          <c:tx>
            <c:strRef>
              <c:f>旧結果!$S$33</c:f>
              <c:strCache>
                <c:ptCount val="1"/>
                <c:pt idx="0">
                  <c:v>A</c:v>
                </c:pt>
              </c:strCache>
            </c:strRef>
          </c:tx>
          <c:spPr>
            <a:blipFill dpi="0" rotWithShape="0">
              <a:blip xmlns:r="http://schemas.openxmlformats.org/officeDocument/2006/relationships" r:embed="rId2"/>
              <a:srcRect/>
              <a:tile tx="0" ty="0" sx="100000" sy="100000" flip="none" algn="tl"/>
            </a:blipFill>
            <a:ln w="12700">
              <a:solidFill>
                <a:srgbClr val="000000"/>
              </a:solidFill>
              <a:prstDash val="solid"/>
            </a:ln>
          </c:spPr>
          <c:cat>
            <c:numRef>
              <c:f>旧結果!$T$25:$U$25</c:f>
              <c:numCache>
                <c:formatCode>General</c:formatCode>
                <c:ptCount val="2"/>
                <c:pt idx="0" formatCode="#,##0_);[Red]\(#,##0\)">
                  <c:v>2.9</c:v>
                </c:pt>
                <c:pt idx="1">
                  <c:v>0</c:v>
                </c:pt>
              </c:numCache>
            </c:numRef>
          </c:cat>
          <c:val>
            <c:numRef>
              <c:f>旧結果!$T$33:$Z$33</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251B-49F1-AA87-3CB370B53314}"/>
            </c:ext>
          </c:extLst>
        </c:ser>
        <c:ser>
          <c:idx val="2"/>
          <c:order val="2"/>
          <c:tx>
            <c:strRef>
              <c:f>旧結果!$S$34</c:f>
              <c:strCache>
                <c:ptCount val="1"/>
                <c:pt idx="0">
                  <c:v>B+</c:v>
                </c:pt>
              </c:strCache>
            </c:strRef>
          </c:tx>
          <c:spPr>
            <a:solidFill>
              <a:srgbClr val="FFFFCC"/>
            </a:solidFill>
            <a:ln w="12700">
              <a:solidFill>
                <a:srgbClr val="000000"/>
              </a:solidFill>
              <a:prstDash val="solid"/>
            </a:ln>
          </c:spPr>
          <c:cat>
            <c:numRef>
              <c:f>旧結果!$T$25:$U$25</c:f>
              <c:numCache>
                <c:formatCode>General</c:formatCode>
                <c:ptCount val="2"/>
                <c:pt idx="0" formatCode="#,##0_);[Red]\(#,##0\)">
                  <c:v>2.9</c:v>
                </c:pt>
                <c:pt idx="1">
                  <c:v>0</c:v>
                </c:pt>
              </c:numCache>
            </c:numRef>
          </c:cat>
          <c:val>
            <c:numRef>
              <c:f>旧結果!$T$34:$Z$34</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251B-49F1-AA87-3CB370B53314}"/>
            </c:ext>
          </c:extLst>
        </c:ser>
        <c:ser>
          <c:idx val="1"/>
          <c:order val="3"/>
          <c:tx>
            <c:strRef>
              <c:f>旧結果!$S$36</c:f>
              <c:strCache>
                <c:ptCount val="1"/>
                <c:pt idx="0">
                  <c:v>B-</c:v>
                </c:pt>
              </c:strCache>
            </c:strRef>
          </c:tx>
          <c:spPr>
            <a:solidFill>
              <a:srgbClr val="FFFFFF"/>
            </a:solidFill>
            <a:ln w="12700">
              <a:solidFill>
                <a:srgbClr val="000000"/>
              </a:solidFill>
              <a:prstDash val="solid"/>
            </a:ln>
          </c:spPr>
          <c:cat>
            <c:numRef>
              <c:f>旧結果!$T$25:$U$25</c:f>
              <c:numCache>
                <c:formatCode>General</c:formatCode>
                <c:ptCount val="2"/>
                <c:pt idx="0" formatCode="#,##0_);[Red]\(#,##0\)">
                  <c:v>2.9</c:v>
                </c:pt>
                <c:pt idx="1">
                  <c:v>0</c:v>
                </c:pt>
              </c:numCache>
            </c:numRef>
          </c:cat>
          <c:val>
            <c:numRef>
              <c:f>旧結果!$T$36:$Z$36</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251B-49F1-AA87-3CB370B53314}"/>
            </c:ext>
          </c:extLst>
        </c:ser>
        <c:ser>
          <c:idx val="0"/>
          <c:order val="5"/>
          <c:tx>
            <c:strRef>
              <c:f>旧結果!$S$35</c:f>
              <c:strCache>
                <c:ptCount val="1"/>
                <c:pt idx="0">
                  <c:v>B</c:v>
                </c:pt>
              </c:strCache>
            </c:strRef>
          </c:tx>
          <c:spPr>
            <a:noFill/>
            <a:ln w="12700">
              <a:solidFill>
                <a:srgbClr val="000000"/>
              </a:solidFill>
              <a:prstDash val="solid"/>
            </a:ln>
          </c:spPr>
          <c:cat>
            <c:numRef>
              <c:f>旧結果!$T$25:$U$25</c:f>
              <c:numCache>
                <c:formatCode>General</c:formatCode>
                <c:ptCount val="2"/>
                <c:pt idx="0" formatCode="#,##0_);[Red]\(#,##0\)">
                  <c:v>2.9</c:v>
                </c:pt>
                <c:pt idx="1">
                  <c:v>0</c:v>
                </c:pt>
              </c:numCache>
            </c:numRef>
          </c:cat>
          <c:val>
            <c:numRef>
              <c:f>旧結果!$T$35:$Z$35</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251B-49F1-AA87-3CB370B53314}"/>
            </c:ext>
          </c:extLst>
        </c:ser>
        <c:dLbls>
          <c:showLegendKey val="0"/>
          <c:showVal val="0"/>
          <c:showCatName val="0"/>
          <c:showSerName val="0"/>
          <c:showPercent val="0"/>
          <c:showBubbleSize val="0"/>
        </c:dLbls>
        <c:axId val="364021488"/>
        <c:axId val="1"/>
      </c:areaChart>
      <c:scatterChart>
        <c:scatterStyle val="lineMarker"/>
        <c:varyColors val="0"/>
        <c:ser>
          <c:idx val="5"/>
          <c:order val="4"/>
          <c:tx>
            <c:strRef>
              <c:f>旧結果!$S$13</c:f>
              <c:strCache>
                <c:ptCount val="1"/>
                <c:pt idx="0">
                  <c:v>17.2</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6-251B-49F1-AA87-3CB370B53314}"/>
              </c:ext>
            </c:extLst>
          </c:dPt>
          <c:dPt>
            <c:idx val="1"/>
            <c:marker>
              <c:symbol val="triangle"/>
              <c:size val="20"/>
              <c:spPr>
                <a:solidFill>
                  <a:srgbClr val="339966"/>
                </a:solidFill>
                <a:ln>
                  <a:solidFill>
                    <a:srgbClr val="000000"/>
                  </a:solidFill>
                  <a:prstDash val="solid"/>
                </a:ln>
              </c:spPr>
            </c:marker>
            <c:bubble3D val="0"/>
            <c:spPr>
              <a:ln w="28575">
                <a:noFill/>
              </a:ln>
            </c:spPr>
            <c:extLst>
              <c:ext xmlns:c16="http://schemas.microsoft.com/office/drawing/2014/chart" uri="{C3380CC4-5D6E-409C-BE32-E72D297353CC}">
                <c16:uniqueId val="{00000008-251B-49F1-AA87-3CB370B53314}"/>
              </c:ext>
            </c:extLst>
          </c:dPt>
          <c:dPt>
            <c:idx val="2"/>
            <c:bubble3D val="0"/>
            <c:spPr>
              <a:ln w="38100">
                <a:solidFill>
                  <a:srgbClr val="008000"/>
                </a:solidFill>
                <a:prstDash val="solid"/>
              </a:ln>
            </c:spPr>
            <c:extLst>
              <c:ext xmlns:c16="http://schemas.microsoft.com/office/drawing/2014/chart" uri="{C3380CC4-5D6E-409C-BE32-E72D297353CC}">
                <c16:uniqueId val="{0000000A-251B-49F1-AA87-3CB370B53314}"/>
              </c:ext>
            </c:extLst>
          </c:dPt>
          <c:dLbls>
            <c:dLbl>
              <c:idx val="1"/>
              <c:layout>
                <c:manualLayout>
                  <c:x val="3.8378386545488996E-3"/>
                  <c:y val="-5.7730806735981487E-2"/>
                </c:manualLayout>
              </c:layout>
              <c:spPr>
                <a:noFill/>
                <a:ln w="25400">
                  <a:noFill/>
                </a:ln>
              </c:spPr>
              <c:txPr>
                <a:bodyPr/>
                <a:lstStyle/>
                <a:p>
                  <a:pPr>
                    <a:defRPr sz="152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旧結果!$S$25:$U$25</c:f>
              <c:numCache>
                <c:formatCode>#,##0_);[Red]\(#,##0\)</c:formatCode>
                <c:ptCount val="3"/>
                <c:pt idx="1">
                  <c:v>2.9</c:v>
                </c:pt>
                <c:pt idx="2" formatCode="General">
                  <c:v>0</c:v>
                </c:pt>
              </c:numCache>
            </c:numRef>
          </c:xVal>
          <c:yVal>
            <c:numRef>
              <c:f>旧結果!$S$26:$U$26</c:f>
              <c:numCache>
                <c:formatCode>#,##0_);[Red]\(#,##0\)</c:formatCode>
                <c:ptCount val="3"/>
                <c:pt idx="1">
                  <c:v>50</c:v>
                </c:pt>
                <c:pt idx="2" formatCode="General">
                  <c:v>0</c:v>
                </c:pt>
              </c:numCache>
            </c:numRef>
          </c:yVal>
          <c:smooth val="0"/>
          <c:extLst>
            <c:ext xmlns:c16="http://schemas.microsoft.com/office/drawing/2014/chart" uri="{C3380CC4-5D6E-409C-BE32-E72D297353CC}">
              <c16:uniqueId val="{0000000B-251B-49F1-AA87-3CB370B53314}"/>
            </c:ext>
          </c:extLst>
        </c:ser>
        <c:ser>
          <c:idx val="7"/>
          <c:order val="6"/>
          <c:spPr>
            <a:ln w="25400">
              <a:solidFill>
                <a:srgbClr val="008000"/>
              </a:solidFill>
              <a:prstDash val="sysDash"/>
            </a:ln>
          </c:spPr>
          <c:marker>
            <c:symbol val="none"/>
          </c:marker>
          <c:dPt>
            <c:idx val="1"/>
            <c:bubble3D val="0"/>
            <c:spPr>
              <a:ln w="28575">
                <a:noFill/>
              </a:ln>
            </c:spPr>
            <c:extLst>
              <c:ext xmlns:c16="http://schemas.microsoft.com/office/drawing/2014/chart" uri="{C3380CC4-5D6E-409C-BE32-E72D297353CC}">
                <c16:uniqueId val="{0000000D-251B-49F1-AA87-3CB370B53314}"/>
              </c:ext>
            </c:extLst>
          </c:dPt>
          <c:dLbls>
            <c:dLbl>
              <c:idx val="2"/>
              <c:layout>
                <c:manualLayout>
                  <c:x val="5.4841828981911614E-4"/>
                  <c:y val="0.49716423744904226"/>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1B-49F1-AA87-3CB370B53314}"/>
                </c:ext>
              </c:extLst>
            </c:dLbl>
            <c:dLbl>
              <c:idx val="3"/>
              <c:layout>
                <c:manualLayout>
                  <c:x val="-5.0932415624013383E-3"/>
                  <c:y val="-3.9480080637889069E-2"/>
                </c:manualLayout>
              </c:layout>
              <c:spPr>
                <a:noFill/>
                <a:ln w="25400">
                  <a:noFill/>
                </a:ln>
              </c:spPr>
              <c:txPr>
                <a:bodyPr/>
                <a:lstStyle/>
                <a:p>
                  <a:pPr>
                    <a:defRPr sz="85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1B-49F1-AA87-3CB370B5331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旧結果!$R$28:$U$28</c:f>
              <c:numCache>
                <c:formatCode>General</c:formatCode>
                <c:ptCount val="4"/>
                <c:pt idx="0">
                  <c:v>0</c:v>
                </c:pt>
                <c:pt idx="1">
                  <c:v>2.9</c:v>
                </c:pt>
                <c:pt idx="2" formatCode="#,##0_);[Red]\(#,##0\)">
                  <c:v>2.9</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0-251B-49F1-AA87-3CB370B53314}"/>
            </c:ext>
          </c:extLst>
        </c:ser>
        <c:ser>
          <c:idx val="8"/>
          <c:order val="7"/>
          <c:spPr>
            <a:ln w="28575">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2-251B-49F1-AA87-3CB370B53314}"/>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14-251B-49F1-AA87-3CB370B53314}"/>
              </c:ext>
            </c:extLst>
          </c:dPt>
          <c:xVal>
            <c:numRef>
              <c:f>旧結果!$R$28:$U$28</c:f>
              <c:numCache>
                <c:formatCode>General</c:formatCode>
                <c:ptCount val="4"/>
                <c:pt idx="0">
                  <c:v>0</c:v>
                </c:pt>
                <c:pt idx="1">
                  <c:v>2.9</c:v>
                </c:pt>
                <c:pt idx="2" formatCode="#,##0_);[Red]\(#,##0\)">
                  <c:v>2.9</c:v>
                </c:pt>
                <c:pt idx="3">
                  <c:v>0.1</c:v>
                </c:pt>
              </c:numCache>
            </c:numRef>
          </c:xVal>
          <c:yVal>
            <c:numRef>
              <c:f>旧結果!$R$29:$U$29</c:f>
              <c:numCache>
                <c:formatCode>General</c:formatCode>
                <c:ptCount val="4"/>
                <c:pt idx="0">
                  <c:v>0</c:v>
                </c:pt>
                <c:pt idx="1">
                  <c:v>0</c:v>
                </c:pt>
                <c:pt idx="2">
                  <c:v>50</c:v>
                </c:pt>
                <c:pt idx="3" formatCode="#,##0_);[Red]\(#,##0\)">
                  <c:v>50</c:v>
                </c:pt>
              </c:numCache>
            </c:numRef>
          </c:yVal>
          <c:smooth val="0"/>
          <c:extLst>
            <c:ext xmlns:c16="http://schemas.microsoft.com/office/drawing/2014/chart" uri="{C3380CC4-5D6E-409C-BE32-E72D297353CC}">
              <c16:uniqueId val="{00000015-251B-49F1-AA87-3CB370B53314}"/>
            </c:ext>
          </c:extLst>
        </c:ser>
        <c:dLbls>
          <c:showLegendKey val="0"/>
          <c:showVal val="0"/>
          <c:showCatName val="0"/>
          <c:showSerName val="0"/>
          <c:showPercent val="0"/>
          <c:showBubbleSize val="0"/>
        </c:dLbls>
        <c:axId val="3"/>
        <c:axId val="4"/>
      </c:scatterChart>
      <c:catAx>
        <c:axId val="364021488"/>
        <c:scaling>
          <c:orientation val="minMax"/>
        </c:scaling>
        <c:delete val="0"/>
        <c:axPos val="b"/>
        <c:numFmt formatCode="#,##0_);[Red]\(#,##0\)" sourceLinked="1"/>
        <c:majorTickMark val="none"/>
        <c:minorTickMark val="none"/>
        <c:tickLblPos val="none"/>
        <c:spPr>
          <a:ln w="3175">
            <a:solidFill>
              <a:srgbClr val="000000"/>
            </a:solidFill>
            <a:prstDash val="solid"/>
          </a:ln>
        </c:spPr>
        <c:crossAx val="1"/>
        <c:crosses val="autoZero"/>
        <c:auto val="0"/>
        <c:lblAlgn val="ctr"/>
        <c:lblOffset val="100"/>
        <c:tickLblSkip val="50"/>
        <c:tickMarkSkip val="50"/>
        <c:noMultiLvlLbl val="0"/>
      </c:catAx>
      <c:valAx>
        <c:axId val="1"/>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64021488"/>
        <c:crosses val="autoZero"/>
        <c:crossBetween val="midCat"/>
        <c:majorUnit val="50"/>
      </c:valAx>
      <c:valAx>
        <c:axId val="3"/>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
        <c:crosses val="max"/>
        <c:crossBetween val="midCat"/>
        <c:majorUnit val="50"/>
      </c:valAx>
      <c:valAx>
        <c:axId val="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188734870163013E-2"/>
          <c:y val="5.7471909481742564E-2"/>
          <c:w val="0.95471874026890524"/>
          <c:h val="0.85058426032978995"/>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旧結果!$S$15</c:f>
              <c:numCache>
                <c:formatCode>#,##0.0;[Red]\-#,##0.0</c:formatCode>
                <c:ptCount val="1"/>
                <c:pt idx="0">
                  <c:v>1</c:v>
                </c:pt>
              </c:numCache>
            </c:numRef>
          </c:val>
          <c:extLst>
            <c:ext xmlns:c16="http://schemas.microsoft.com/office/drawing/2014/chart" uri="{C3380CC4-5D6E-409C-BE32-E72D297353CC}">
              <c16:uniqueId val="{00000000-ACD5-47F8-8E99-33B9BDF6064A}"/>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旧結果!$R$15</c:f>
              <c:strCache>
                <c:ptCount val="1"/>
                <c:pt idx="0">
                  <c:v>Rank(red star)</c:v>
                </c:pt>
              </c:strCache>
            </c:strRef>
          </c:cat>
          <c:val>
            <c:numRef>
              <c:f>旧結果!$S$16</c:f>
              <c:numCache>
                <c:formatCode>#,##0.0;[Red]\-#,##0.0</c:formatCode>
                <c:ptCount val="1"/>
                <c:pt idx="0">
                  <c:v>0</c:v>
                </c:pt>
              </c:numCache>
            </c:numRef>
          </c:val>
          <c:extLst>
            <c:ext xmlns:c16="http://schemas.microsoft.com/office/drawing/2014/chart" uri="{C3380CC4-5D6E-409C-BE32-E72D297353CC}">
              <c16:uniqueId val="{00000001-ACD5-47F8-8E99-33B9BDF6064A}"/>
            </c:ext>
          </c:extLst>
        </c:ser>
        <c:dLbls>
          <c:showLegendKey val="0"/>
          <c:showVal val="0"/>
          <c:showCatName val="0"/>
          <c:showSerName val="0"/>
          <c:showPercent val="0"/>
          <c:showBubbleSize val="0"/>
        </c:dLbls>
        <c:gapWidth val="50"/>
        <c:overlap val="100"/>
        <c:axId val="364514760"/>
        <c:axId val="1"/>
      </c:barChart>
      <c:catAx>
        <c:axId val="364514760"/>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b"/>
        <c:numFmt formatCode="0%" sourceLinked="1"/>
        <c:majorTickMark val="out"/>
        <c:minorTickMark val="none"/>
        <c:tickLblPos val="nextTo"/>
        <c:crossAx val="364514760"/>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71396846853065E-2"/>
          <c:y val="8.4337597472695883E-2"/>
          <c:w val="0.90960702906246982"/>
          <c:h val="0.716869578517915"/>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B29-43D2-BC5C-BEAA1FF33C6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B29-43D2-BC5C-BEAA1FF33C6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B29-43D2-BC5C-BEAA1FF33C6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0B29-43D2-BC5C-BEAA1FF33C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旧結果!$R$40:$R$42</c:f>
              <c:numCache>
                <c:formatCode>General</c:formatCode>
                <c:ptCount val="3"/>
                <c:pt idx="0">
                  <c:v>0</c:v>
                </c:pt>
                <c:pt idx="1">
                  <c:v>0</c:v>
                </c:pt>
                <c:pt idx="2">
                  <c:v>0</c:v>
                </c:pt>
              </c:numCache>
            </c:numRef>
          </c:cat>
          <c:val>
            <c:numRef>
              <c:f>旧結果!$S$40:$S$42</c:f>
              <c:numCache>
                <c:formatCode>0.0;_Ā</c:formatCode>
                <c:ptCount val="3"/>
                <c:pt idx="0">
                  <c:v>3</c:v>
                </c:pt>
                <c:pt idx="1">
                  <c:v>3</c:v>
                </c:pt>
                <c:pt idx="2">
                  <c:v>0</c:v>
                </c:pt>
              </c:numCache>
            </c:numRef>
          </c:val>
          <c:extLst>
            <c:ext xmlns:c16="http://schemas.microsoft.com/office/drawing/2014/chart" uri="{C3380CC4-5D6E-409C-BE32-E72D297353CC}">
              <c16:uniqueId val="{00000004-0B29-43D2-BC5C-BEAA1FF33C61}"/>
            </c:ext>
          </c:extLst>
        </c:ser>
        <c:dLbls>
          <c:showLegendKey val="0"/>
          <c:showVal val="0"/>
          <c:showCatName val="0"/>
          <c:showSerName val="0"/>
          <c:showPercent val="0"/>
          <c:showBubbleSize val="0"/>
        </c:dLbls>
        <c:gapWidth val="40"/>
        <c:axId val="364516400"/>
        <c:axId val="1"/>
      </c:barChart>
      <c:catAx>
        <c:axId val="36451640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64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63933920024701E-2"/>
          <c:y val="8.5365853658536592E-2"/>
          <c:w val="0.91708542713567842"/>
          <c:h val="0.7357723577235771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60B-420D-B5F7-F1409C198F5D}"/>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60B-420D-B5F7-F1409C198F5D}"/>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60B-420D-B5F7-F1409C198F5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旧結果!$U$40:$U$42</c:f>
              <c:numCache>
                <c:formatCode>General</c:formatCode>
                <c:ptCount val="3"/>
                <c:pt idx="0">
                  <c:v>0</c:v>
                </c:pt>
                <c:pt idx="1">
                  <c:v>0</c:v>
                </c:pt>
                <c:pt idx="2">
                  <c:v>0</c:v>
                </c:pt>
              </c:numCache>
            </c:numRef>
          </c:cat>
          <c:val>
            <c:numRef>
              <c:f>旧結果!$V$40:$V$42</c:f>
              <c:numCache>
                <c:formatCode>0.0_ </c:formatCode>
                <c:ptCount val="3"/>
                <c:pt idx="0">
                  <c:v>0</c:v>
                </c:pt>
                <c:pt idx="1">
                  <c:v>0</c:v>
                </c:pt>
                <c:pt idx="2">
                  <c:v>0</c:v>
                </c:pt>
              </c:numCache>
            </c:numRef>
          </c:val>
          <c:extLst>
            <c:ext xmlns:c16="http://schemas.microsoft.com/office/drawing/2014/chart" uri="{C3380CC4-5D6E-409C-BE32-E72D297353CC}">
              <c16:uniqueId val="{00000003-960B-420D-B5F7-F1409C198F5D}"/>
            </c:ext>
          </c:extLst>
        </c:ser>
        <c:dLbls>
          <c:showLegendKey val="0"/>
          <c:showVal val="0"/>
          <c:showCatName val="0"/>
          <c:showSerName val="0"/>
          <c:showPercent val="0"/>
          <c:showBubbleSize val="0"/>
        </c:dLbls>
        <c:gapWidth val="40"/>
        <c:axId val="364515088"/>
        <c:axId val="1"/>
      </c:barChart>
      <c:catAx>
        <c:axId val="3645150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51508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55195634178696"/>
          <c:y val="0.10236957222452457"/>
          <c:w val="0.65738445367332121"/>
          <c:h val="0.77980353333026353"/>
        </c:manualLayout>
      </c:layout>
      <c:radarChart>
        <c:radarStyle val="filled"/>
        <c:varyColors val="0"/>
        <c:ser>
          <c:idx val="0"/>
          <c:order val="0"/>
          <c:tx>
            <c:strRef>
              <c:f>旧結果!$W$8</c:f>
              <c:strCache>
                <c:ptCount val="1"/>
                <c:pt idx="0">
                  <c:v>5</c:v>
                </c:pt>
              </c:strCache>
            </c:strRef>
          </c:tx>
          <c:spPr>
            <a:solidFill>
              <a:srgbClr val="FFFFCC"/>
            </a:solid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旧結果!$W$9:$W$12</c:f>
              <c:numCache>
                <c:formatCode>General</c:formatCode>
                <c:ptCount val="4"/>
                <c:pt idx="0">
                  <c:v>5</c:v>
                </c:pt>
                <c:pt idx="1">
                  <c:v>5</c:v>
                </c:pt>
                <c:pt idx="2">
                  <c:v>5</c:v>
                </c:pt>
                <c:pt idx="3">
                  <c:v>5</c:v>
                </c:pt>
              </c:numCache>
            </c:numRef>
          </c:val>
          <c:extLst>
            <c:ext xmlns:c16="http://schemas.microsoft.com/office/drawing/2014/chart" uri="{C3380CC4-5D6E-409C-BE32-E72D297353CC}">
              <c16:uniqueId val="{00000000-DBE5-41BE-BC1A-2DE71D6BDED6}"/>
            </c:ext>
          </c:extLst>
        </c:ser>
        <c:ser>
          <c:idx val="5"/>
          <c:order val="1"/>
          <c:tx>
            <c:strRef>
              <c:f>旧結果!$AA$8</c:f>
              <c:strCache>
                <c:ptCount val="1"/>
                <c:pt idx="0">
                  <c:v>評価</c:v>
                </c:pt>
              </c:strCache>
            </c:strRef>
          </c:tx>
          <c:spPr>
            <a:solidFill>
              <a:schemeClr val="accent1">
                <a:lumMod val="20000"/>
                <a:lumOff val="80000"/>
              </a:schemeClr>
            </a:solidFill>
            <a:ln w="19050">
              <a:solidFill>
                <a:schemeClr val="tx1"/>
              </a:solidFill>
            </a:ln>
          </c:spPr>
          <c:cat>
            <c:strRef>
              <c:f>旧結果!$V$9:$V$12</c:f>
              <c:strCache>
                <c:ptCount val="4"/>
                <c:pt idx="0">
                  <c:v>Q2 社会</c:v>
                </c:pt>
                <c:pt idx="1">
                  <c:v>Q3 経済</c:v>
                </c:pt>
                <c:pt idx="2">
                  <c:v>LR 環境負荷低減</c:v>
                </c:pt>
                <c:pt idx="3">
                  <c:v>Q1 環境</c:v>
                </c:pt>
              </c:strCache>
            </c:strRef>
          </c:cat>
          <c:val>
            <c:numRef>
              <c:f>旧結果!$AA$9:$AA$12</c:f>
              <c:numCache>
                <c:formatCode>0.0_ </c:formatCode>
                <c:ptCount val="4"/>
                <c:pt idx="0">
                  <c:v>3</c:v>
                </c:pt>
                <c:pt idx="1">
                  <c:v>3.1</c:v>
                </c:pt>
                <c:pt idx="2">
                  <c:v>3</c:v>
                </c:pt>
                <c:pt idx="3">
                  <c:v>3</c:v>
                </c:pt>
              </c:numCache>
            </c:numRef>
          </c:val>
          <c:extLst>
            <c:ext xmlns:c16="http://schemas.microsoft.com/office/drawing/2014/chart" uri="{C3380CC4-5D6E-409C-BE32-E72D297353CC}">
              <c16:uniqueId val="{00000001-DBE5-41BE-BC1A-2DE71D6BDED6}"/>
            </c:ext>
          </c:extLst>
        </c:ser>
        <c:ser>
          <c:idx val="1"/>
          <c:order val="2"/>
          <c:tx>
            <c:strRef>
              <c:f>旧結果!$X$8</c:f>
              <c:strCache>
                <c:ptCount val="1"/>
                <c:pt idx="0">
                  <c:v>4</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旧結果!$X$9:$X$12</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DBE5-41BE-BC1A-2DE71D6BDED6}"/>
            </c:ext>
          </c:extLst>
        </c:ser>
        <c:ser>
          <c:idx val="4"/>
          <c:order val="3"/>
          <c:tx>
            <c:strRef>
              <c:f>旧結果!$Y$8</c:f>
              <c:strCache>
                <c:ptCount val="1"/>
                <c:pt idx="0">
                  <c:v>3</c:v>
                </c:pt>
              </c:strCache>
            </c:strRef>
          </c:tx>
          <c:spPr>
            <a:noFill/>
            <a:ln w="12700">
              <a:solidFill>
                <a:schemeClr val="tx1"/>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3-DBE5-41BE-BC1A-2DE71D6BDED6}"/>
            </c:ext>
          </c:extLst>
        </c:ser>
        <c:ser>
          <c:idx val="2"/>
          <c:order val="4"/>
          <c:tx>
            <c:strRef>
              <c:f>旧結果!$Z$8</c:f>
              <c:strCache>
                <c:ptCount val="1"/>
                <c:pt idx="0">
                  <c:v>2</c:v>
                </c:pt>
              </c:strCache>
            </c:strRef>
          </c:tx>
          <c:spPr>
            <a:noFill/>
            <a:ln w="12700">
              <a:solidFill>
                <a:srgbClr val="000000"/>
              </a:solidFill>
              <a:prstDash val="solid"/>
            </a:ln>
          </c:spPr>
          <c:cat>
            <c:strRef>
              <c:f>旧結果!$V$9:$V$12</c:f>
              <c:strCache>
                <c:ptCount val="4"/>
                <c:pt idx="0">
                  <c:v>Q2 社会</c:v>
                </c:pt>
                <c:pt idx="1">
                  <c:v>Q3 経済</c:v>
                </c:pt>
                <c:pt idx="2">
                  <c:v>LR 環境負荷低減</c:v>
                </c:pt>
                <c:pt idx="3">
                  <c:v>Q1 環境</c:v>
                </c:pt>
              </c:strCache>
            </c:strRef>
          </c:cat>
          <c:val>
            <c:numRef>
              <c:f>旧結果!$Z$9:$Z$12</c:f>
              <c:numCache>
                <c:formatCode>General</c:formatCode>
                <c:ptCount val="4"/>
                <c:pt idx="0">
                  <c:v>2</c:v>
                </c:pt>
                <c:pt idx="1">
                  <c:v>2</c:v>
                </c:pt>
                <c:pt idx="2">
                  <c:v>2</c:v>
                </c:pt>
                <c:pt idx="3">
                  <c:v>2</c:v>
                </c:pt>
              </c:numCache>
            </c:numRef>
          </c:val>
          <c:extLst>
            <c:ext xmlns:c16="http://schemas.microsoft.com/office/drawing/2014/chart" uri="{C3380CC4-5D6E-409C-BE32-E72D297353CC}">
              <c16:uniqueId val="{00000004-DBE5-41BE-BC1A-2DE71D6BDED6}"/>
            </c:ext>
          </c:extLst>
        </c:ser>
        <c:ser>
          <c:idx val="3"/>
          <c:order val="5"/>
          <c:tx>
            <c:v>平均値（3点）</c:v>
          </c:tx>
          <c:spPr>
            <a:noFill/>
            <a:ln w="19050">
              <a:solidFill>
                <a:srgbClr val="FF0000"/>
              </a:solidFill>
              <a:prstDash val="solid"/>
            </a:ln>
          </c:spPr>
          <c:cat>
            <c:strRef>
              <c:f>旧結果!$V$9:$V$12</c:f>
              <c:strCache>
                <c:ptCount val="4"/>
                <c:pt idx="0">
                  <c:v>Q2 社会</c:v>
                </c:pt>
                <c:pt idx="1">
                  <c:v>Q3 経済</c:v>
                </c:pt>
                <c:pt idx="2">
                  <c:v>LR 環境負荷低減</c:v>
                </c:pt>
                <c:pt idx="3">
                  <c:v>Q1 環境</c:v>
                </c:pt>
              </c:strCache>
            </c:strRef>
          </c:cat>
          <c:val>
            <c:numRef>
              <c:f>旧結果!$Y$9:$Y$12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5-DBE5-41BE-BC1A-2DE71D6BDED6}"/>
            </c:ext>
          </c:extLst>
        </c:ser>
        <c:dLbls>
          <c:showLegendKey val="0"/>
          <c:showVal val="0"/>
          <c:showCatName val="0"/>
          <c:showSerName val="0"/>
          <c:showPercent val="0"/>
          <c:showBubbleSize val="0"/>
        </c:dLbls>
        <c:axId val="364515416"/>
        <c:axId val="1"/>
      </c:radarChart>
      <c:catAx>
        <c:axId val="364515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a:pPr>
            <a:endParaRPr lang="ja-JP"/>
          </a:p>
        </c:txPr>
        <c:crossAx val="1"/>
        <c:crosses val="autoZero"/>
        <c:auto val="0"/>
        <c:lblAlgn val="ctr"/>
        <c:lblOffset val="100"/>
        <c:noMultiLvlLbl val="0"/>
      </c:catAx>
      <c:valAx>
        <c:axId val="1"/>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a:pPr>
            <a:endParaRPr lang="ja-JP"/>
          </a:p>
        </c:txPr>
        <c:crossAx val="364515416"/>
        <c:crosses val="autoZero"/>
        <c:crossBetween val="between"/>
        <c:majorUnit val="1"/>
      </c:valAx>
      <c:spPr>
        <a:noFill/>
        <a:ln w="25400">
          <a:noFill/>
        </a:ln>
      </c:spPr>
    </c:plotArea>
    <c:plotVisOnly val="0"/>
    <c:dispBlanksAs val="gap"/>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22" r="0.75000000000000022" t="1" header="0.51200000000000001" footer="0.51200000000000001"/>
    <c:pageSetup paperSize="9" orientation="landscape"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176E-2"/>
          <c:w val="0.90965506309009148"/>
          <c:h val="0.70588235294117663"/>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旧結果!$R$46:$R$47</c:f>
              <c:strCache>
                <c:ptCount val="2"/>
                <c:pt idx="0">
                  <c:v>BAU</c:v>
                </c:pt>
                <c:pt idx="1">
                  <c:v>施策後</c:v>
                </c:pt>
              </c:strCache>
            </c:strRef>
          </c:cat>
          <c:val>
            <c:numRef>
              <c:f>旧結果!$S$46:$S$47</c:f>
              <c:numCache>
                <c:formatCode>#,##0.0;[Red]\-#,##0.0</c:formatCode>
                <c:ptCount val="2"/>
                <c:pt idx="0">
                  <c:v>0</c:v>
                </c:pt>
                <c:pt idx="1">
                  <c:v>3</c:v>
                </c:pt>
              </c:numCache>
            </c:numRef>
          </c:val>
          <c:extLst>
            <c:ext xmlns:c16="http://schemas.microsoft.com/office/drawing/2014/chart" uri="{C3380CC4-5D6E-409C-BE32-E72D297353CC}">
              <c16:uniqueId val="{00000000-0601-43D8-B4A0-F0DBD2629E09}"/>
            </c:ext>
          </c:extLst>
        </c:ser>
        <c:dLbls>
          <c:showLegendKey val="0"/>
          <c:showVal val="0"/>
          <c:showCatName val="0"/>
          <c:showSerName val="0"/>
          <c:showPercent val="0"/>
          <c:showBubbleSize val="0"/>
        </c:dLbls>
        <c:gapWidth val="40"/>
        <c:axId val="365140016"/>
        <c:axId val="1"/>
      </c:barChart>
      <c:catAx>
        <c:axId val="36514001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40016"/>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71254998846691E-2"/>
          <c:y val="8.8235294117647217E-2"/>
          <c:w val="0.90960343640892671"/>
          <c:h val="0.70588235294117663"/>
        </c:manualLayout>
      </c:layout>
      <c:barChart>
        <c:barDir val="col"/>
        <c:grouping val="clustered"/>
        <c:varyColors val="0"/>
        <c:ser>
          <c:idx val="0"/>
          <c:order val="0"/>
          <c:spPr>
            <a:solidFill>
              <a:schemeClr val="accent3">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旧結果!$X$46:$X$47</c:f>
              <c:strCache>
                <c:ptCount val="2"/>
                <c:pt idx="0">
                  <c:v>BAU</c:v>
                </c:pt>
                <c:pt idx="1">
                  <c:v>施策後</c:v>
                </c:pt>
              </c:strCache>
            </c:strRef>
          </c:cat>
          <c:val>
            <c:numRef>
              <c:f>旧結果!$Y$46:$Y$47</c:f>
              <c:numCache>
                <c:formatCode>0.0_ </c:formatCode>
                <c:ptCount val="2"/>
                <c:pt idx="0">
                  <c:v>0</c:v>
                </c:pt>
                <c:pt idx="1">
                  <c:v>0</c:v>
                </c:pt>
              </c:numCache>
            </c:numRef>
          </c:val>
          <c:extLst>
            <c:ext xmlns:c16="http://schemas.microsoft.com/office/drawing/2014/chart" uri="{C3380CC4-5D6E-409C-BE32-E72D297353CC}">
              <c16:uniqueId val="{00000000-184C-4392-8263-CD7F26EB0430}"/>
            </c:ext>
          </c:extLst>
        </c:ser>
        <c:dLbls>
          <c:showLegendKey val="0"/>
          <c:showVal val="0"/>
          <c:showCatName val="0"/>
          <c:showSerName val="0"/>
          <c:showPercent val="0"/>
          <c:showBubbleSize val="0"/>
        </c:dLbls>
        <c:gapWidth val="40"/>
        <c:axId val="365137720"/>
        <c:axId val="1"/>
      </c:barChart>
      <c:catAx>
        <c:axId val="365137720"/>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7720"/>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22" r="0.75000000000000122" t="1" header="0.51200000000000001" footer="0.51200000000000001"/>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0171422967296E-2"/>
          <c:y val="8.8235294117647217E-2"/>
          <c:w val="0.90965506309009181"/>
          <c:h val="0.70588235294117663"/>
        </c:manualLayout>
      </c:layout>
      <c:barChart>
        <c:barDir val="col"/>
        <c:grouping val="clustered"/>
        <c:varyColors val="0"/>
        <c:ser>
          <c:idx val="0"/>
          <c:order val="0"/>
          <c:spPr>
            <a:solidFill>
              <a:schemeClr val="accent2">
                <a:lumMod val="60000"/>
                <a:lumOff val="40000"/>
              </a:schemeClr>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旧結果!$U$46:$U$47</c:f>
              <c:strCache>
                <c:ptCount val="2"/>
                <c:pt idx="0">
                  <c:v>BAU</c:v>
                </c:pt>
                <c:pt idx="1">
                  <c:v>施策後</c:v>
                </c:pt>
              </c:strCache>
            </c:strRef>
          </c:cat>
          <c:val>
            <c:numRef>
              <c:f>旧結果!$V$46:$V$47</c:f>
              <c:numCache>
                <c:formatCode>0.0_ </c:formatCode>
                <c:ptCount val="2"/>
                <c:pt idx="0">
                  <c:v>0</c:v>
                </c:pt>
                <c:pt idx="1">
                  <c:v>0</c:v>
                </c:pt>
              </c:numCache>
            </c:numRef>
          </c:val>
          <c:extLst>
            <c:ext xmlns:c16="http://schemas.microsoft.com/office/drawing/2014/chart" uri="{C3380CC4-5D6E-409C-BE32-E72D297353CC}">
              <c16:uniqueId val="{00000000-6CF1-4F02-9464-28A8C248C96D}"/>
            </c:ext>
          </c:extLst>
        </c:ser>
        <c:dLbls>
          <c:showLegendKey val="0"/>
          <c:showVal val="0"/>
          <c:showCatName val="0"/>
          <c:showSerName val="0"/>
          <c:showPercent val="0"/>
          <c:showBubbleSize val="0"/>
        </c:dLbls>
        <c:gapWidth val="40"/>
        <c:axId val="365139688"/>
        <c:axId val="1"/>
      </c:barChart>
      <c:catAx>
        <c:axId val="36513968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At val="0"/>
        <c:auto val="1"/>
        <c:lblAlgn val="ctr"/>
        <c:lblOffset val="100"/>
        <c:tickMarkSkip val="1"/>
        <c:noMultiLvlLbl val="0"/>
      </c:catAx>
      <c:valAx>
        <c:axId val="1"/>
        <c:scaling>
          <c:orientation val="minMax"/>
          <c:max val="10"/>
          <c:min val="0"/>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5139688"/>
        <c:crosses val="autoZero"/>
        <c:crossBetween val="between"/>
        <c:majorUnit val="2"/>
        <c:minorUnit val="0.1"/>
      </c:valAx>
      <c:spPr>
        <a:noFill/>
        <a:ln w="3175">
          <a:solidFill>
            <a:srgbClr val="000000"/>
          </a:solidFill>
          <a:prstDash val="solid"/>
        </a:ln>
      </c:spPr>
    </c:plotArea>
    <c:plotVisOnly val="0"/>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144" r="0.75000000000000144"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 (2)'!$S$30</c:f>
              <c:strCache>
                <c:ptCount val="1"/>
                <c:pt idx="0">
                  <c:v>S</c:v>
                </c:pt>
              </c:strCache>
            </c:strRef>
          </c:tx>
          <c:spPr>
            <a:pattFill prst="pct70">
              <a:fgClr>
                <a:srgbClr val="339966"/>
              </a:fgClr>
              <a:bgClr>
                <a:srgbClr val="FFFFFF"/>
              </a:bgClr>
            </a:patt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070F-4899-8C02-655674E8E9DA}"/>
            </c:ext>
          </c:extLst>
        </c:ser>
        <c:ser>
          <c:idx val="3"/>
          <c:order val="4"/>
          <c:tx>
            <c:strRef>
              <c:f>'結果 (2)'!$S$31</c:f>
              <c:strCache>
                <c:ptCount val="1"/>
                <c:pt idx="0">
                  <c:v>A</c:v>
                </c:pt>
              </c:strCache>
            </c:strRef>
          </c:tx>
          <c:spPr>
            <a:pattFill prst="pct90">
              <a:fgClr>
                <a:srgbClr val="CCFFCC"/>
              </a:fgClr>
              <a:bgClr>
                <a:srgbClr val="FFFFFF"/>
              </a:bgClr>
            </a:patt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070F-4899-8C02-655674E8E9DA}"/>
            </c:ext>
          </c:extLst>
        </c:ser>
        <c:ser>
          <c:idx val="2"/>
          <c:order val="5"/>
          <c:tx>
            <c:strRef>
              <c:f>'結果 (2)'!$S$32</c:f>
              <c:strCache>
                <c:ptCount val="1"/>
                <c:pt idx="0">
                  <c:v>B+</c:v>
                </c:pt>
              </c:strCache>
            </c:strRef>
          </c:tx>
          <c:spPr>
            <a:solidFill>
              <a:srgbClr val="FFFFCC"/>
            </a:solid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070F-4899-8C02-655674E8E9DA}"/>
            </c:ext>
          </c:extLst>
        </c:ser>
        <c:ser>
          <c:idx val="1"/>
          <c:order val="6"/>
          <c:tx>
            <c:strRef>
              <c:f>'結果 (2)'!$S$34</c:f>
              <c:strCache>
                <c:ptCount val="1"/>
                <c:pt idx="0">
                  <c:v>B-</c:v>
                </c:pt>
              </c:strCache>
            </c:strRef>
          </c:tx>
          <c:spPr>
            <a:solidFill>
              <a:srgbClr val="FFFFFF"/>
            </a:solid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070F-4899-8C02-655674E8E9DA}"/>
            </c:ext>
          </c:extLst>
        </c:ser>
        <c:ser>
          <c:idx val="0"/>
          <c:order val="7"/>
          <c:tx>
            <c:strRef>
              <c:f>'結果 (2)'!$S$33</c:f>
              <c:strCache>
                <c:ptCount val="1"/>
                <c:pt idx="0">
                  <c:v>B</c:v>
                </c:pt>
              </c:strCache>
            </c:strRef>
          </c:tx>
          <c:spPr>
            <a:noFill/>
            <a:ln w="12700">
              <a:solidFill>
                <a:srgbClr val="000000"/>
              </a:solidFill>
              <a:prstDash val="solid"/>
            </a:ln>
          </c:spPr>
          <c:cat>
            <c:numRef>
              <c:f>'結果 (2)'!$T$24:$U$24</c:f>
              <c:numCache>
                <c:formatCode>General</c:formatCode>
                <c:ptCount val="2"/>
                <c:pt idx="0" formatCode="#,##0_);[Red]\(#,##0\)">
                  <c:v>52.469135802469147</c:v>
                </c:pt>
                <c:pt idx="1">
                  <c:v>0</c:v>
                </c:pt>
              </c:numCache>
            </c:numRef>
          </c:cat>
          <c:val>
            <c:numRef>
              <c:f>'結果 (2)'!$T$33:$Z$33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070F-4899-8C02-655674E8E9DA}"/>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070F-4899-8C02-655674E8E9DA}"/>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0F-4899-8C02-655674E8E9DA}"/>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0F-4899-8C02-655674E8E9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 (2)'!$R$26:$U$26</c:f>
              <c:numCache>
                <c:formatCode>General</c:formatCode>
                <c:ptCount val="4"/>
                <c:pt idx="0">
                  <c:v>0</c:v>
                </c:pt>
                <c:pt idx="1">
                  <c:v>52.469135802469147</c:v>
                </c:pt>
                <c:pt idx="2" formatCode="#,##0_);[Red]\(#,##0\)">
                  <c:v>52.469135802469147</c:v>
                </c:pt>
                <c:pt idx="3">
                  <c:v>0.1</c:v>
                </c:pt>
              </c:numCache>
            </c:numRef>
          </c:xVal>
          <c:yVal>
            <c:numRef>
              <c:f>'結果 (2)'!$R$27:$U$27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9-070F-4899-8C02-655674E8E9DA}"/>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070F-4899-8C02-655674E8E9DA}"/>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070F-4899-8C02-655674E8E9DA}"/>
              </c:ext>
            </c:extLst>
          </c:dPt>
          <c:xVal>
            <c:numRef>
              <c:f>'結果 (2)'!$R$26:$U$26</c:f>
              <c:numCache>
                <c:formatCode>General</c:formatCode>
                <c:ptCount val="4"/>
                <c:pt idx="0">
                  <c:v>0</c:v>
                </c:pt>
                <c:pt idx="1">
                  <c:v>52.469135802469147</c:v>
                </c:pt>
                <c:pt idx="2" formatCode="#,##0_);[Red]\(#,##0\)">
                  <c:v>52.469135802469147</c:v>
                </c:pt>
                <c:pt idx="3">
                  <c:v>0.1</c:v>
                </c:pt>
              </c:numCache>
            </c:numRef>
          </c:xVal>
          <c:yVal>
            <c:numRef>
              <c:f>'結果 (2)'!$R$27:$U$27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C-070F-4899-8C02-655674E8E9DA}"/>
            </c:ext>
          </c:extLst>
        </c:ser>
        <c:ser>
          <c:idx val="5"/>
          <c:order val="2"/>
          <c:tx>
            <c:strRef>
              <c:f>'結果 (2)'!$S$12</c:f>
              <c:strCache>
                <c:ptCount val="1"/>
                <c:pt idx="0">
                  <c:v>0.9</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070F-4899-8C02-655674E8E9DA}"/>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070F-4899-8C02-655674E8E9DA}"/>
              </c:ext>
            </c:extLst>
          </c:dPt>
          <c:dPt>
            <c:idx val="2"/>
            <c:bubble3D val="0"/>
            <c:spPr>
              <a:ln w="38100">
                <a:solidFill>
                  <a:srgbClr val="008000"/>
                </a:solidFill>
                <a:prstDash val="solid"/>
              </a:ln>
            </c:spPr>
            <c:extLst>
              <c:ext xmlns:c16="http://schemas.microsoft.com/office/drawing/2014/chart" uri="{C3380CC4-5D6E-409C-BE32-E72D297353CC}">
                <c16:uniqueId val="{00000011-070F-4899-8C02-655674E8E9DA}"/>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070F-4899-8C02-655674E8E9D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 (2)'!$S$24:$U$24</c:f>
              <c:numCache>
                <c:formatCode>#,##0_);[Red]\(#,##0\)</c:formatCode>
                <c:ptCount val="3"/>
                <c:pt idx="1">
                  <c:v>52.469135802469147</c:v>
                </c:pt>
                <c:pt idx="2" formatCode="General">
                  <c:v>0</c:v>
                </c:pt>
              </c:numCache>
            </c:numRef>
          </c:xVal>
          <c:yVal>
            <c:numRef>
              <c:f>'結果 (2)'!$S$25:$U$25</c:f>
              <c:numCache>
                <c:formatCode>#,##0_);[Red]\(#,##0\)</c:formatCode>
                <c:ptCount val="3"/>
                <c:pt idx="1">
                  <c:v>51.19047619047619</c:v>
                </c:pt>
                <c:pt idx="2" formatCode="General">
                  <c:v>0</c:v>
                </c:pt>
              </c:numCache>
            </c:numRef>
          </c:yVal>
          <c:smooth val="0"/>
          <c:extLst>
            <c:ext xmlns:c16="http://schemas.microsoft.com/office/drawing/2014/chart" uri="{C3380CC4-5D6E-409C-BE32-E72D297353CC}">
              <c16:uniqueId val="{00000012-070F-4899-8C02-655674E8E9DA}"/>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64552062081378E-2"/>
          <c:y val="5.8544476200853235E-2"/>
          <c:w val="0.87281289836788878"/>
          <c:h val="0.85108414144546607"/>
        </c:manualLayout>
      </c:layout>
      <c:barChart>
        <c:barDir val="bar"/>
        <c:grouping val="clustered"/>
        <c:varyColors val="0"/>
        <c:ser>
          <c:idx val="0"/>
          <c:order val="0"/>
          <c:tx>
            <c:strRef>
              <c:f>'結果(2-3SDGs)'!$AG$29</c:f>
              <c:strCache>
                <c:ptCount val="1"/>
                <c:pt idx="0">
                  <c:v>スコア</c:v>
                </c:pt>
              </c:strCache>
            </c:strRef>
          </c:tx>
          <c:spPr>
            <a:solidFill>
              <a:schemeClr val="accent1"/>
            </a:solidFill>
            <a:ln w="6350">
              <a:solidFill>
                <a:sysClr val="windowText" lastClr="000000"/>
              </a:solidFill>
            </a:ln>
            <a:effectLst/>
          </c:spPr>
          <c:invertIfNegative val="0"/>
          <c:dPt>
            <c:idx val="0"/>
            <c:invertIfNegative val="0"/>
            <c:bubble3D val="0"/>
            <c:spPr>
              <a:solidFill>
                <a:srgbClr val="4C9F38"/>
              </a:solidFill>
              <a:ln w="6350">
                <a:solidFill>
                  <a:sysClr val="windowText" lastClr="000000"/>
                </a:solidFill>
              </a:ln>
              <a:effectLst/>
            </c:spPr>
            <c:extLst>
              <c:ext xmlns:c16="http://schemas.microsoft.com/office/drawing/2014/chart" uri="{C3380CC4-5D6E-409C-BE32-E72D297353CC}">
                <c16:uniqueId val="{00000001-4D98-45AA-BD0C-26D1B29FB2D8}"/>
              </c:ext>
            </c:extLst>
          </c:dPt>
          <c:dPt>
            <c:idx val="1"/>
            <c:invertIfNegative val="0"/>
            <c:bubble3D val="0"/>
            <c:spPr>
              <a:solidFill>
                <a:srgbClr val="C5192D"/>
              </a:solidFill>
              <a:ln w="6350">
                <a:solidFill>
                  <a:sysClr val="windowText" lastClr="000000"/>
                </a:solidFill>
              </a:ln>
              <a:effectLst/>
            </c:spPr>
            <c:extLst>
              <c:ext xmlns:c16="http://schemas.microsoft.com/office/drawing/2014/chart" uri="{C3380CC4-5D6E-409C-BE32-E72D297353CC}">
                <c16:uniqueId val="{00000003-4D98-45AA-BD0C-26D1B29FB2D8}"/>
              </c:ext>
            </c:extLst>
          </c:dPt>
          <c:dPt>
            <c:idx val="2"/>
            <c:invertIfNegative val="0"/>
            <c:bubble3D val="0"/>
            <c:spPr>
              <a:solidFill>
                <a:srgbClr val="FF3A21"/>
              </a:solidFill>
              <a:ln w="6350">
                <a:solidFill>
                  <a:sysClr val="windowText" lastClr="000000"/>
                </a:solidFill>
              </a:ln>
              <a:effectLst/>
            </c:spPr>
            <c:extLst>
              <c:ext xmlns:c16="http://schemas.microsoft.com/office/drawing/2014/chart" uri="{C3380CC4-5D6E-409C-BE32-E72D297353CC}">
                <c16:uniqueId val="{00000005-4D98-45AA-BD0C-26D1B29FB2D8}"/>
              </c:ext>
            </c:extLst>
          </c:dPt>
          <c:dPt>
            <c:idx val="3"/>
            <c:invertIfNegative val="0"/>
            <c:bubble3D val="0"/>
            <c:spPr>
              <a:solidFill>
                <a:srgbClr val="26BDE2"/>
              </a:solidFill>
              <a:ln w="6350">
                <a:solidFill>
                  <a:sysClr val="windowText" lastClr="000000"/>
                </a:solidFill>
              </a:ln>
              <a:effectLst/>
            </c:spPr>
            <c:extLst>
              <c:ext xmlns:c16="http://schemas.microsoft.com/office/drawing/2014/chart" uri="{C3380CC4-5D6E-409C-BE32-E72D297353CC}">
                <c16:uniqueId val="{00000007-4D98-45AA-BD0C-26D1B29FB2D8}"/>
              </c:ext>
            </c:extLst>
          </c:dPt>
          <c:dPt>
            <c:idx val="4"/>
            <c:invertIfNegative val="0"/>
            <c:bubble3D val="0"/>
            <c:spPr>
              <a:solidFill>
                <a:srgbClr val="FCC30B"/>
              </a:solidFill>
              <a:ln w="6350">
                <a:solidFill>
                  <a:sysClr val="windowText" lastClr="000000"/>
                </a:solidFill>
              </a:ln>
              <a:effectLst/>
            </c:spPr>
            <c:extLst>
              <c:ext xmlns:c16="http://schemas.microsoft.com/office/drawing/2014/chart" uri="{C3380CC4-5D6E-409C-BE32-E72D297353CC}">
                <c16:uniqueId val="{00000009-4D98-45AA-BD0C-26D1B29FB2D8}"/>
              </c:ext>
            </c:extLst>
          </c:dPt>
          <c:dPt>
            <c:idx val="5"/>
            <c:invertIfNegative val="0"/>
            <c:bubble3D val="0"/>
            <c:spPr>
              <a:solidFill>
                <a:srgbClr val="A21942"/>
              </a:solidFill>
              <a:ln w="6350">
                <a:solidFill>
                  <a:sysClr val="windowText" lastClr="000000"/>
                </a:solidFill>
              </a:ln>
              <a:effectLst/>
            </c:spPr>
            <c:extLst>
              <c:ext xmlns:c16="http://schemas.microsoft.com/office/drawing/2014/chart" uri="{C3380CC4-5D6E-409C-BE32-E72D297353CC}">
                <c16:uniqueId val="{0000000B-4D98-45AA-BD0C-26D1B29FB2D8}"/>
              </c:ext>
            </c:extLst>
          </c:dPt>
          <c:dPt>
            <c:idx val="6"/>
            <c:invertIfNegative val="0"/>
            <c:bubble3D val="0"/>
            <c:spPr>
              <a:solidFill>
                <a:srgbClr val="FD6925"/>
              </a:solidFill>
              <a:ln w="6350">
                <a:solidFill>
                  <a:sysClr val="windowText" lastClr="000000"/>
                </a:solidFill>
              </a:ln>
              <a:effectLst/>
            </c:spPr>
            <c:extLst>
              <c:ext xmlns:c16="http://schemas.microsoft.com/office/drawing/2014/chart" uri="{C3380CC4-5D6E-409C-BE32-E72D297353CC}">
                <c16:uniqueId val="{0000000D-4D98-45AA-BD0C-26D1B29FB2D8}"/>
              </c:ext>
            </c:extLst>
          </c:dPt>
          <c:dPt>
            <c:idx val="7"/>
            <c:invertIfNegative val="0"/>
            <c:bubble3D val="0"/>
            <c:spPr>
              <a:solidFill>
                <a:srgbClr val="FD9D24"/>
              </a:solidFill>
              <a:ln w="6350">
                <a:solidFill>
                  <a:sysClr val="windowText" lastClr="000000"/>
                </a:solidFill>
              </a:ln>
              <a:effectLst/>
            </c:spPr>
            <c:extLst>
              <c:ext xmlns:c16="http://schemas.microsoft.com/office/drawing/2014/chart" uri="{C3380CC4-5D6E-409C-BE32-E72D297353CC}">
                <c16:uniqueId val="{0000000F-4D98-45AA-BD0C-26D1B29FB2D8}"/>
              </c:ext>
            </c:extLst>
          </c:dPt>
          <c:dPt>
            <c:idx val="8"/>
            <c:invertIfNegative val="0"/>
            <c:bubble3D val="0"/>
            <c:spPr>
              <a:solidFill>
                <a:srgbClr val="BF8B2E"/>
              </a:solidFill>
              <a:ln w="6350">
                <a:solidFill>
                  <a:sysClr val="windowText" lastClr="000000"/>
                </a:solidFill>
              </a:ln>
              <a:effectLst/>
            </c:spPr>
            <c:extLst>
              <c:ext xmlns:c16="http://schemas.microsoft.com/office/drawing/2014/chart" uri="{C3380CC4-5D6E-409C-BE32-E72D297353CC}">
                <c16:uniqueId val="{00000011-4D98-45AA-BD0C-26D1B29FB2D8}"/>
              </c:ext>
            </c:extLst>
          </c:dPt>
          <c:dPt>
            <c:idx val="9"/>
            <c:invertIfNegative val="0"/>
            <c:bubble3D val="0"/>
            <c:spPr>
              <a:solidFill>
                <a:srgbClr val="3F7E44"/>
              </a:solidFill>
              <a:ln w="6350">
                <a:solidFill>
                  <a:sysClr val="windowText" lastClr="000000"/>
                </a:solidFill>
              </a:ln>
              <a:effectLst/>
            </c:spPr>
            <c:extLst>
              <c:ext xmlns:c16="http://schemas.microsoft.com/office/drawing/2014/chart" uri="{C3380CC4-5D6E-409C-BE32-E72D297353CC}">
                <c16:uniqueId val="{00000013-4D98-45AA-BD0C-26D1B29FB2D8}"/>
              </c:ext>
            </c:extLst>
          </c:dPt>
          <c:dPt>
            <c:idx val="10"/>
            <c:invertIfNegative val="0"/>
            <c:bubble3D val="0"/>
            <c:spPr>
              <a:solidFill>
                <a:srgbClr val="56C02B"/>
              </a:solidFill>
              <a:ln w="6350">
                <a:solidFill>
                  <a:sysClr val="windowText" lastClr="000000"/>
                </a:solidFill>
              </a:ln>
              <a:effectLst/>
            </c:spPr>
            <c:extLst>
              <c:ext xmlns:c16="http://schemas.microsoft.com/office/drawing/2014/chart" uri="{C3380CC4-5D6E-409C-BE32-E72D297353CC}">
                <c16:uniqueId val="{00000015-4D98-45AA-BD0C-26D1B29FB2D8}"/>
              </c:ext>
            </c:extLst>
          </c:dPt>
          <c:dPt>
            <c:idx val="11"/>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17-4D98-45AA-BD0C-26D1B29FB2D8}"/>
              </c:ext>
            </c:extLst>
          </c:dPt>
          <c:dPt>
            <c:idx val="12"/>
            <c:invertIfNegative val="0"/>
            <c:bubble3D val="0"/>
            <c:spPr>
              <a:solidFill>
                <a:schemeClr val="accent1">
                  <a:lumMod val="75000"/>
                </a:schemeClr>
              </a:solidFill>
              <a:ln w="6350">
                <a:solidFill>
                  <a:sysClr val="windowText" lastClr="000000"/>
                </a:solidFill>
              </a:ln>
              <a:effectLst/>
            </c:spPr>
            <c:extLst>
              <c:ext xmlns:c16="http://schemas.microsoft.com/office/drawing/2014/chart" uri="{C3380CC4-5D6E-409C-BE32-E72D297353CC}">
                <c16:uniqueId val="{00000018-95EB-4FD2-BF2C-D814BE05FA7B}"/>
              </c:ext>
            </c:extLst>
          </c:dPt>
          <c:cat>
            <c:strRef>
              <c:f>'結果(2-3SDGs)'!$AF$30:$AF$42</c:f>
              <c:strCache>
                <c:ptCount val="13"/>
                <c:pt idx="0">
                  <c:v>ゴール3</c:v>
                </c:pt>
                <c:pt idx="1">
                  <c:v>ゴール4</c:v>
                </c:pt>
                <c:pt idx="2">
                  <c:v>ゴール5</c:v>
                </c:pt>
                <c:pt idx="3">
                  <c:v>ゴール6</c:v>
                </c:pt>
                <c:pt idx="4">
                  <c:v>ゴール7</c:v>
                </c:pt>
                <c:pt idx="5">
                  <c:v>ゴール8</c:v>
                </c:pt>
                <c:pt idx="6">
                  <c:v>ゴール9</c:v>
                </c:pt>
                <c:pt idx="7">
                  <c:v>ゴール11</c:v>
                </c:pt>
                <c:pt idx="8">
                  <c:v>ゴール12</c:v>
                </c:pt>
                <c:pt idx="9">
                  <c:v>ゴール13</c:v>
                </c:pt>
                <c:pt idx="10">
                  <c:v>ゴール15</c:v>
                </c:pt>
                <c:pt idx="11">
                  <c:v>ゴール16</c:v>
                </c:pt>
                <c:pt idx="12">
                  <c:v>ゴール17</c:v>
                </c:pt>
              </c:strCache>
            </c:strRef>
          </c:cat>
          <c:val>
            <c:numRef>
              <c:f>'結果(2-3SDGs)'!$AG$30:$AG$42</c:f>
              <c:numCache>
                <c:formatCode>0.0_);[Red]\(0.0\)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8-4D98-45AA-BD0C-26D1B29FB2D8}"/>
            </c:ext>
          </c:extLst>
        </c:ser>
        <c:dLbls>
          <c:showLegendKey val="0"/>
          <c:showVal val="0"/>
          <c:showCatName val="0"/>
          <c:showSerName val="0"/>
          <c:showPercent val="0"/>
          <c:showBubbleSize val="0"/>
        </c:dLbls>
        <c:gapWidth val="0"/>
        <c:axId val="500327936"/>
        <c:axId val="500329896"/>
      </c:barChart>
      <c:catAx>
        <c:axId val="500327936"/>
        <c:scaling>
          <c:orientation val="maxMin"/>
        </c:scaling>
        <c:delete val="1"/>
        <c:axPos val="l"/>
        <c:numFmt formatCode="General" sourceLinked="1"/>
        <c:majorTickMark val="none"/>
        <c:minorTickMark val="none"/>
        <c:tickLblPos val="nextTo"/>
        <c:crossAx val="500329896"/>
        <c:crosses val="autoZero"/>
        <c:auto val="1"/>
        <c:lblAlgn val="ctr"/>
        <c:lblOffset val="100"/>
        <c:noMultiLvlLbl val="0"/>
      </c:catAx>
      <c:valAx>
        <c:axId val="500329896"/>
        <c:scaling>
          <c:orientation val="minMax"/>
          <c:max val="3"/>
          <c:min val="1"/>
        </c:scaling>
        <c:delete val="0"/>
        <c:axPos val="t"/>
        <c:majorGridlines>
          <c:spPr>
            <a:ln w="6350" cap="flat" cmpd="sng" algn="ctr">
              <a:solidFill>
                <a:sysClr val="windowText" lastClr="000000"/>
              </a:solidFill>
              <a:prstDash val="dash"/>
              <a:round/>
            </a:ln>
            <a:effectLst/>
          </c:spPr>
        </c:majorGridlines>
        <c:numFmt formatCode="#,##0_);[Red]\(#,##0\)" sourceLinked="0"/>
        <c:majorTickMark val="out"/>
        <c:minorTickMark val="none"/>
        <c:tickLblPos val="high"/>
        <c:spPr>
          <a:noFill/>
          <a:ln>
            <a:noFill/>
          </a:ln>
          <a:effectLst/>
        </c:spPr>
        <c:txPr>
          <a:bodyPr rot="-60000000" spcFirstLastPara="1" vertOverflow="ellipsis" vert="horz" wrap="square" anchor="b"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ja-JP"/>
          </a:p>
        </c:txPr>
        <c:crossAx val="500327936"/>
        <c:crosses val="autoZero"/>
        <c:crossBetween val="between"/>
        <c:majorUnit val="1"/>
      </c:valAx>
      <c:spPr>
        <a:noFill/>
        <a:ln w="9525">
          <a:solidFill>
            <a:sysClr val="windowText" lastClr="000000"/>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'結果(2-3SDGs)'!$R$13</c:f>
              <c:strCache>
                <c:ptCount val="1"/>
                <c:pt idx="0">
                  <c:v>Rank(red star)</c:v>
                </c:pt>
              </c:strCache>
            </c:strRef>
          </c:cat>
          <c:val>
            <c:numRef>
              <c:f>'結果(2-3SDGs)'!$S$13</c:f>
              <c:numCache>
                <c:formatCode>#,##0.0;[Red]\-#,##0.0</c:formatCode>
                <c:ptCount val="1"/>
                <c:pt idx="0">
                  <c:v>0.4</c:v>
                </c:pt>
              </c:numCache>
            </c:numRef>
          </c:val>
          <c:extLst>
            <c:ext xmlns:c16="http://schemas.microsoft.com/office/drawing/2014/chart" uri="{C3380CC4-5D6E-409C-BE32-E72D297353CC}">
              <c16:uniqueId val="{00000000-402D-4A2A-86F2-A0134D9E527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'結果(2-3SDGs)'!$R$13</c:f>
              <c:strCache>
                <c:ptCount val="1"/>
                <c:pt idx="0">
                  <c:v>Rank(red star)</c:v>
                </c:pt>
              </c:strCache>
            </c:strRef>
          </c:cat>
          <c:val>
            <c:numRef>
              <c:f>'結果(2-3SDGs)'!$S$14</c:f>
              <c:numCache>
                <c:formatCode>#,##0.0;[Red]\-#,##0.0</c:formatCode>
                <c:ptCount val="1"/>
                <c:pt idx="0">
                  <c:v>0.6</c:v>
                </c:pt>
              </c:numCache>
            </c:numRef>
          </c:val>
          <c:extLst>
            <c:ext xmlns:c16="http://schemas.microsoft.com/office/drawing/2014/chart" uri="{C3380CC4-5D6E-409C-BE32-E72D297353CC}">
              <c16:uniqueId val="{00000001-402D-4A2A-86F2-A0134D9E527E}"/>
            </c:ext>
          </c:extLst>
        </c:ser>
        <c:dLbls>
          <c:showLegendKey val="0"/>
          <c:showVal val="0"/>
          <c:showCatName val="0"/>
          <c:showSerName val="0"/>
          <c:showPercent val="0"/>
          <c:showBubbleSize val="0"/>
        </c:dLbls>
        <c:gapWidth val="50"/>
        <c:overlap val="100"/>
        <c:axId val="500316568"/>
        <c:axId val="500318920"/>
      </c:barChart>
      <c:catAx>
        <c:axId val="500316568"/>
        <c:scaling>
          <c:orientation val="minMax"/>
        </c:scaling>
        <c:delete val="1"/>
        <c:axPos val="l"/>
        <c:numFmt formatCode="General" sourceLinked="1"/>
        <c:majorTickMark val="out"/>
        <c:minorTickMark val="none"/>
        <c:tickLblPos val="nextTo"/>
        <c:crossAx val="500318920"/>
        <c:crosses val="autoZero"/>
        <c:auto val="1"/>
        <c:lblAlgn val="ctr"/>
        <c:lblOffset val="100"/>
        <c:noMultiLvlLbl val="0"/>
      </c:catAx>
      <c:valAx>
        <c:axId val="500318920"/>
        <c:scaling>
          <c:orientation val="minMax"/>
        </c:scaling>
        <c:delete val="1"/>
        <c:axPos val="b"/>
        <c:numFmt formatCode="0%" sourceLinked="1"/>
        <c:majorTickMark val="out"/>
        <c:minorTickMark val="none"/>
        <c:tickLblPos val="nextTo"/>
        <c:crossAx val="50031656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extLst>
              <c:ext xmlns:c16="http://schemas.microsoft.com/office/drawing/2014/chart" uri="{C3380CC4-5D6E-409C-BE32-E72D297353CC}">
                <c16:uniqueId val="{00000001-B75D-4B9C-B18A-9C10BA1908DA}"/>
              </c:ext>
            </c:extLst>
          </c:dPt>
          <c:cat>
            <c:strRef>
              <c:f>'結果(2-3SDGs)'!$R$36</c:f>
              <c:strCache>
                <c:ptCount val="1"/>
                <c:pt idx="0">
                  <c:v>Rank(green star)</c:v>
                </c:pt>
              </c:strCache>
            </c:strRef>
          </c:cat>
          <c:val>
            <c:numRef>
              <c:f>'結果(2-3SDGs)'!$S$36</c:f>
              <c:numCache>
                <c:formatCode>#,##0.0;[Red]\-#,##0.0</c:formatCode>
                <c:ptCount val="1"/>
                <c:pt idx="0">
                  <c:v>0.4</c:v>
                </c:pt>
              </c:numCache>
            </c:numRef>
          </c:val>
          <c:extLst>
            <c:ext xmlns:c16="http://schemas.microsoft.com/office/drawing/2014/chart" uri="{C3380CC4-5D6E-409C-BE32-E72D297353CC}">
              <c16:uniqueId val="{00000002-B75D-4B9C-B18A-9C10BA1908DA}"/>
            </c:ext>
          </c:extLst>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'結果(2-3SDGs)'!$R$36</c:f>
              <c:strCache>
                <c:ptCount val="1"/>
                <c:pt idx="0">
                  <c:v>Rank(green star)</c:v>
                </c:pt>
              </c:strCache>
            </c:strRef>
          </c:cat>
          <c:val>
            <c:numRef>
              <c:f>'結果(2-3SDGs)'!$S$37</c:f>
              <c:numCache>
                <c:formatCode>#,##0.0;[Red]\-#,##0.0</c:formatCode>
                <c:ptCount val="1"/>
                <c:pt idx="0">
                  <c:v>0.6</c:v>
                </c:pt>
              </c:numCache>
            </c:numRef>
          </c:val>
          <c:extLst>
            <c:ext xmlns:c16="http://schemas.microsoft.com/office/drawing/2014/chart" uri="{C3380CC4-5D6E-409C-BE32-E72D297353CC}">
              <c16:uniqueId val="{00000003-B75D-4B9C-B18A-9C10BA1908DA}"/>
            </c:ext>
          </c:extLst>
        </c:ser>
        <c:dLbls>
          <c:showLegendKey val="0"/>
          <c:showVal val="0"/>
          <c:showCatName val="0"/>
          <c:showSerName val="0"/>
          <c:showPercent val="0"/>
          <c:showBubbleSize val="0"/>
        </c:dLbls>
        <c:gapWidth val="50"/>
        <c:overlap val="100"/>
        <c:axId val="500319704"/>
        <c:axId val="500321664"/>
      </c:barChart>
      <c:catAx>
        <c:axId val="500319704"/>
        <c:scaling>
          <c:orientation val="minMax"/>
        </c:scaling>
        <c:delete val="1"/>
        <c:axPos val="l"/>
        <c:numFmt formatCode="General" sourceLinked="1"/>
        <c:majorTickMark val="out"/>
        <c:minorTickMark val="none"/>
        <c:tickLblPos val="nextTo"/>
        <c:crossAx val="500321664"/>
        <c:crosses val="autoZero"/>
        <c:auto val="1"/>
        <c:lblAlgn val="ctr"/>
        <c:lblOffset val="100"/>
        <c:noMultiLvlLbl val="0"/>
      </c:catAx>
      <c:valAx>
        <c:axId val="500321664"/>
        <c:scaling>
          <c:orientation val="minMax"/>
        </c:scaling>
        <c:delete val="1"/>
        <c:axPos val="b"/>
        <c:numFmt formatCode="0%" sourceLinked="1"/>
        <c:majorTickMark val="out"/>
        <c:minorTickMark val="none"/>
        <c:tickLblPos val="nextTo"/>
        <c:crossAx val="5003197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'結果(2-3SDGs)'!$S$30</c:f>
              <c:strCache>
                <c:ptCount val="1"/>
                <c:pt idx="0">
                  <c:v>S</c:v>
                </c:pt>
              </c:strCache>
            </c:strRef>
          </c:tx>
          <c:spPr>
            <a:pattFill prst="pct70">
              <a:fgClr>
                <a:srgbClr val="339966"/>
              </a:fgClr>
              <a:bgClr>
                <a:srgbClr val="FFFFFF"/>
              </a:bgClr>
            </a:pattFill>
            <a:ln w="12700">
              <a:solidFill>
                <a:srgbClr val="000000"/>
              </a:solidFill>
              <a:prstDash val="solid"/>
            </a:ln>
          </c:spPr>
          <c:cat>
            <c:numRef>
              <c:f>'結果(2-3SDGs)'!$T$24:$U$24</c:f>
              <c:numCache>
                <c:formatCode>General</c:formatCode>
                <c:ptCount val="2"/>
                <c:pt idx="0" formatCode="#,##0_);[Red]\(#,##0\)">
                  <c:v>52.469135802469147</c:v>
                </c:pt>
                <c:pt idx="1">
                  <c:v>0</c:v>
                </c:pt>
              </c:numCache>
            </c:numRef>
          </c:cat>
          <c:val>
            <c:numRef>
              <c:f>'結果(2-3SDGs)'!$T$30:$Z$30</c:f>
              <c:numCache>
                <c:formatCode>General</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0-CBB0-49B8-BC7D-29D3B072E6C6}"/>
            </c:ext>
          </c:extLst>
        </c:ser>
        <c:ser>
          <c:idx val="3"/>
          <c:order val="4"/>
          <c:tx>
            <c:strRef>
              <c:f>'結果(2-3SDGs)'!$S$31</c:f>
              <c:strCache>
                <c:ptCount val="1"/>
                <c:pt idx="0">
                  <c:v>A</c:v>
                </c:pt>
              </c:strCache>
            </c:strRef>
          </c:tx>
          <c:spPr>
            <a:pattFill prst="pct90">
              <a:fgClr>
                <a:srgbClr val="CCFFCC"/>
              </a:fgClr>
              <a:bgClr>
                <a:srgbClr val="FFFFFF"/>
              </a:bgClr>
            </a:pattFill>
            <a:ln w="12700">
              <a:solidFill>
                <a:srgbClr val="000000"/>
              </a:solidFill>
              <a:prstDash val="solid"/>
            </a:ln>
          </c:spPr>
          <c:cat>
            <c:numRef>
              <c:f>'結果(2-3SDGs)'!$T$24:$U$24</c:f>
              <c:numCache>
                <c:formatCode>General</c:formatCode>
                <c:ptCount val="2"/>
                <c:pt idx="0" formatCode="#,##0_);[Red]\(#,##0\)">
                  <c:v>52.469135802469147</c:v>
                </c:pt>
                <c:pt idx="1">
                  <c:v>0</c:v>
                </c:pt>
              </c:numCache>
            </c:numRef>
          </c:cat>
          <c:val>
            <c:numRef>
              <c:f>'結果(2-3SDGs)'!$T$31:$Z$31</c:f>
              <c:numCache>
                <c:formatCode>General</c:formatCode>
                <c:ptCount val="7"/>
                <c:pt idx="0">
                  <c:v>50</c:v>
                </c:pt>
                <c:pt idx="1">
                  <c:v>50</c:v>
                </c:pt>
                <c:pt idx="2">
                  <c:v>100</c:v>
                </c:pt>
                <c:pt idx="3">
                  <c:v>100</c:v>
                </c:pt>
                <c:pt idx="4">
                  <c:v>100</c:v>
                </c:pt>
                <c:pt idx="5">
                  <c:v>100</c:v>
                </c:pt>
                <c:pt idx="6">
                  <c:v>100</c:v>
                </c:pt>
              </c:numCache>
            </c:numRef>
          </c:val>
          <c:extLst>
            <c:ext xmlns:c16="http://schemas.microsoft.com/office/drawing/2014/chart" uri="{C3380CC4-5D6E-409C-BE32-E72D297353CC}">
              <c16:uniqueId val="{00000001-CBB0-49B8-BC7D-29D3B072E6C6}"/>
            </c:ext>
          </c:extLst>
        </c:ser>
        <c:ser>
          <c:idx val="2"/>
          <c:order val="5"/>
          <c:tx>
            <c:strRef>
              <c:f>'結果(2-3SDGs)'!$S$32</c:f>
              <c:strCache>
                <c:ptCount val="1"/>
                <c:pt idx="0">
                  <c:v>B+</c:v>
                </c:pt>
              </c:strCache>
            </c:strRef>
          </c:tx>
          <c:spPr>
            <a:solidFill>
              <a:srgbClr val="FFFFCC"/>
            </a:solidFill>
            <a:ln w="12700">
              <a:solidFill>
                <a:srgbClr val="000000"/>
              </a:solidFill>
              <a:prstDash val="solid"/>
            </a:ln>
          </c:spPr>
          <c:cat>
            <c:numRef>
              <c:f>'結果(2-3SDGs)'!$T$24:$U$24</c:f>
              <c:numCache>
                <c:formatCode>General</c:formatCode>
                <c:ptCount val="2"/>
                <c:pt idx="0" formatCode="#,##0_);[Red]\(#,##0\)">
                  <c:v>52.469135802469147</c:v>
                </c:pt>
                <c:pt idx="1">
                  <c:v>0</c:v>
                </c:pt>
              </c:numCache>
            </c:numRef>
          </c:cat>
          <c:val>
            <c:numRef>
              <c:f>'結果(2-3SDGs)'!$T$32:$Z$32</c:f>
              <c:numCache>
                <c:formatCode>General</c:formatCode>
                <c:ptCount val="7"/>
                <c:pt idx="0">
                  <c:v>0</c:v>
                </c:pt>
                <c:pt idx="1">
                  <c:v>25</c:v>
                </c:pt>
                <c:pt idx="2">
                  <c:v>50</c:v>
                </c:pt>
                <c:pt idx="3">
                  <c:v>75</c:v>
                </c:pt>
                <c:pt idx="4">
                  <c:v>100</c:v>
                </c:pt>
                <c:pt idx="5">
                  <c:v>100</c:v>
                </c:pt>
                <c:pt idx="6">
                  <c:v>100</c:v>
                </c:pt>
              </c:numCache>
            </c:numRef>
          </c:val>
          <c:extLst>
            <c:ext xmlns:c16="http://schemas.microsoft.com/office/drawing/2014/chart" uri="{C3380CC4-5D6E-409C-BE32-E72D297353CC}">
              <c16:uniqueId val="{00000002-CBB0-49B8-BC7D-29D3B072E6C6}"/>
            </c:ext>
          </c:extLst>
        </c:ser>
        <c:ser>
          <c:idx val="1"/>
          <c:order val="6"/>
          <c:tx>
            <c:strRef>
              <c:f>'結果(2-3SDGs)'!$S$34</c:f>
              <c:strCache>
                <c:ptCount val="1"/>
                <c:pt idx="0">
                  <c:v>B-</c:v>
                </c:pt>
              </c:strCache>
            </c:strRef>
          </c:tx>
          <c:spPr>
            <a:solidFill>
              <a:srgbClr val="FFFFFF"/>
            </a:solidFill>
            <a:ln w="12700">
              <a:solidFill>
                <a:srgbClr val="000000"/>
              </a:solidFill>
              <a:prstDash val="solid"/>
            </a:ln>
          </c:spPr>
          <c:cat>
            <c:numRef>
              <c:f>'結果(2-3SDGs)'!$T$24:$U$24</c:f>
              <c:numCache>
                <c:formatCode>General</c:formatCode>
                <c:ptCount val="2"/>
                <c:pt idx="0" formatCode="#,##0_);[Red]\(#,##0\)">
                  <c:v>52.469135802469147</c:v>
                </c:pt>
                <c:pt idx="1">
                  <c:v>0</c:v>
                </c:pt>
              </c:numCache>
            </c:numRef>
          </c:cat>
          <c:val>
            <c:numRef>
              <c:f>'結果(2-3SDGs)'!$T$34:$Z$34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extLst>
            <c:ext xmlns:c16="http://schemas.microsoft.com/office/drawing/2014/chart" uri="{C3380CC4-5D6E-409C-BE32-E72D297353CC}">
              <c16:uniqueId val="{00000003-CBB0-49B8-BC7D-29D3B072E6C6}"/>
            </c:ext>
          </c:extLst>
        </c:ser>
        <c:ser>
          <c:idx val="0"/>
          <c:order val="7"/>
          <c:tx>
            <c:strRef>
              <c:f>'結果(2-3SDGs)'!$S$33</c:f>
              <c:strCache>
                <c:ptCount val="1"/>
                <c:pt idx="0">
                  <c:v>B</c:v>
                </c:pt>
              </c:strCache>
            </c:strRef>
          </c:tx>
          <c:spPr>
            <a:noFill/>
            <a:ln w="12700">
              <a:solidFill>
                <a:srgbClr val="000000"/>
              </a:solidFill>
              <a:prstDash val="solid"/>
            </a:ln>
          </c:spPr>
          <c:cat>
            <c:numRef>
              <c:f>'結果(2-3SDGs)'!$T$24:$U$24</c:f>
              <c:numCache>
                <c:formatCode>General</c:formatCode>
                <c:ptCount val="2"/>
                <c:pt idx="0" formatCode="#,##0_);[Red]\(#,##0\)">
                  <c:v>52.469135802469147</c:v>
                </c:pt>
                <c:pt idx="1">
                  <c:v>0</c:v>
                </c:pt>
              </c:numCache>
            </c:numRef>
          </c:cat>
          <c:val>
            <c:numRef>
              <c:f>'結果(2-3SDGs)'!$T$33:$Z$33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extLst>
            <c:ext xmlns:c16="http://schemas.microsoft.com/office/drawing/2014/chart" uri="{C3380CC4-5D6E-409C-BE32-E72D297353CC}">
              <c16:uniqueId val="{00000004-CBB0-49B8-BC7D-29D3B072E6C6}"/>
            </c:ext>
          </c:extLst>
        </c:ser>
        <c:dLbls>
          <c:showLegendKey val="0"/>
          <c:showVal val="0"/>
          <c:showCatName val="0"/>
          <c:showSerName val="0"/>
          <c:showPercent val="0"/>
          <c:showBubbleSize val="0"/>
        </c:dLbls>
        <c:axId val="500314216"/>
        <c:axId val="50032519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extLst>
              <c:ext xmlns:c16="http://schemas.microsoft.com/office/drawing/2014/chart" uri="{C3380CC4-5D6E-409C-BE32-E72D297353CC}">
                <c16:uniqueId val="{00000006-CBB0-49B8-BC7D-29D3B072E6C6}"/>
              </c:ext>
            </c:extLst>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B0-49B8-BC7D-29D3B072E6C6}"/>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'結果(2-3SDGs)'!$R$26:$U$26</c:f>
              <c:numCache>
                <c:formatCode>General</c:formatCode>
                <c:ptCount val="4"/>
                <c:pt idx="0">
                  <c:v>0</c:v>
                </c:pt>
                <c:pt idx="1">
                  <c:v>52.469135802469147</c:v>
                </c:pt>
                <c:pt idx="2" formatCode="#,##0_);[Red]\(#,##0\)">
                  <c:v>52.469135802469147</c:v>
                </c:pt>
                <c:pt idx="3">
                  <c:v>0.1</c:v>
                </c:pt>
              </c:numCache>
            </c:numRef>
          </c:xVal>
          <c:yVal>
            <c:numRef>
              <c:f>'結果(2-3SDGs)'!$R$27:$U$27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9-CBB0-49B8-BC7D-29D3B072E6C6}"/>
            </c:ext>
          </c:extLst>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A-CBB0-49B8-BC7D-29D3B072E6C6}"/>
              </c:ext>
            </c:extLst>
          </c:dPt>
          <c:dPt>
            <c:idx val="3"/>
            <c:marker>
              <c:symbol val="circle"/>
              <c:size val="6"/>
              <c:spPr>
                <a:solidFill>
                  <a:srgbClr val="008000"/>
                </a:solidFill>
                <a:ln>
                  <a:solidFill>
                    <a:srgbClr val="000000"/>
                  </a:solidFill>
                  <a:prstDash val="solid"/>
                </a:ln>
              </c:spPr>
            </c:marker>
            <c:bubble3D val="0"/>
            <c:extLst>
              <c:ext xmlns:c16="http://schemas.microsoft.com/office/drawing/2014/chart" uri="{C3380CC4-5D6E-409C-BE32-E72D297353CC}">
                <c16:uniqueId val="{0000000B-CBB0-49B8-BC7D-29D3B072E6C6}"/>
              </c:ext>
            </c:extLst>
          </c:dPt>
          <c:xVal>
            <c:numRef>
              <c:f>'結果(2-3SDGs)'!$R$26:$U$26</c:f>
              <c:numCache>
                <c:formatCode>General</c:formatCode>
                <c:ptCount val="4"/>
                <c:pt idx="0">
                  <c:v>0</c:v>
                </c:pt>
                <c:pt idx="1">
                  <c:v>52.469135802469147</c:v>
                </c:pt>
                <c:pt idx="2" formatCode="#,##0_);[Red]\(#,##0\)">
                  <c:v>52.469135802469147</c:v>
                </c:pt>
                <c:pt idx="3">
                  <c:v>0.1</c:v>
                </c:pt>
              </c:numCache>
            </c:numRef>
          </c:xVal>
          <c:yVal>
            <c:numRef>
              <c:f>'結果(2-3SDGs)'!$R$27:$U$27</c:f>
              <c:numCache>
                <c:formatCode>General</c:formatCode>
                <c:ptCount val="4"/>
                <c:pt idx="0">
                  <c:v>0</c:v>
                </c:pt>
                <c:pt idx="1">
                  <c:v>0</c:v>
                </c:pt>
                <c:pt idx="2">
                  <c:v>51.19047619047619</c:v>
                </c:pt>
                <c:pt idx="3" formatCode="#,##0_);[Red]\(#,##0\)">
                  <c:v>51.19047619047619</c:v>
                </c:pt>
              </c:numCache>
            </c:numRef>
          </c:yVal>
          <c:smooth val="0"/>
          <c:extLst>
            <c:ext xmlns:c16="http://schemas.microsoft.com/office/drawing/2014/chart" uri="{C3380CC4-5D6E-409C-BE32-E72D297353CC}">
              <c16:uniqueId val="{0000000C-CBB0-49B8-BC7D-29D3B072E6C6}"/>
            </c:ext>
          </c:extLst>
        </c:ser>
        <c:ser>
          <c:idx val="5"/>
          <c:order val="2"/>
          <c:tx>
            <c:strRef>
              <c:f>'結果(2-3SDGs)'!$S$12</c:f>
              <c:strCache>
                <c:ptCount val="1"/>
                <c:pt idx="0">
                  <c:v>0.9</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extLst>
              <c:ext xmlns:c16="http://schemas.microsoft.com/office/drawing/2014/chart" uri="{C3380CC4-5D6E-409C-BE32-E72D297353CC}">
                <c16:uniqueId val="{0000000D-CBB0-49B8-BC7D-29D3B072E6C6}"/>
              </c:ext>
            </c:extLst>
          </c:dPt>
          <c:dPt>
            <c:idx val="1"/>
            <c:marker>
              <c:symbol val="triangle"/>
              <c:size val="20"/>
              <c:spPr>
                <a:solidFill>
                  <a:srgbClr val="339966"/>
                </a:solidFill>
                <a:ln>
                  <a:solidFill>
                    <a:srgbClr val="000000"/>
                  </a:solidFill>
                  <a:prstDash val="solid"/>
                </a:ln>
              </c:spPr>
            </c:marker>
            <c:bubble3D val="0"/>
            <c:spPr>
              <a:ln w="19050">
                <a:noFill/>
              </a:ln>
            </c:spPr>
            <c:extLst>
              <c:ext xmlns:c16="http://schemas.microsoft.com/office/drawing/2014/chart" uri="{C3380CC4-5D6E-409C-BE32-E72D297353CC}">
                <c16:uniqueId val="{0000000F-CBB0-49B8-BC7D-29D3B072E6C6}"/>
              </c:ext>
            </c:extLst>
          </c:dPt>
          <c:dPt>
            <c:idx val="2"/>
            <c:bubble3D val="0"/>
            <c:spPr>
              <a:ln w="38100">
                <a:solidFill>
                  <a:srgbClr val="008000"/>
                </a:solidFill>
                <a:prstDash val="solid"/>
              </a:ln>
            </c:spPr>
            <c:extLst>
              <c:ext xmlns:c16="http://schemas.microsoft.com/office/drawing/2014/chart" uri="{C3380CC4-5D6E-409C-BE32-E72D297353CC}">
                <c16:uniqueId val="{00000011-CBB0-49B8-BC7D-29D3B072E6C6}"/>
              </c:ext>
            </c:extLst>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CBB0-49B8-BC7D-29D3B072E6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'結果(2-3SDGs)'!$S$24:$U$24</c:f>
              <c:numCache>
                <c:formatCode>#,##0_);[Red]\(#,##0\)</c:formatCode>
                <c:ptCount val="3"/>
                <c:pt idx="1">
                  <c:v>52.469135802469147</c:v>
                </c:pt>
                <c:pt idx="2" formatCode="General">
                  <c:v>0</c:v>
                </c:pt>
              </c:numCache>
            </c:numRef>
          </c:xVal>
          <c:yVal>
            <c:numRef>
              <c:f>'結果(2-3SDGs)'!$S$25:$U$25</c:f>
              <c:numCache>
                <c:formatCode>#,##0_);[Red]\(#,##0\)</c:formatCode>
                <c:ptCount val="3"/>
                <c:pt idx="1">
                  <c:v>51.19047619047619</c:v>
                </c:pt>
                <c:pt idx="2" formatCode="General">
                  <c:v>0</c:v>
                </c:pt>
              </c:numCache>
            </c:numRef>
          </c:yVal>
          <c:smooth val="0"/>
          <c:extLst>
            <c:ext xmlns:c16="http://schemas.microsoft.com/office/drawing/2014/chart" uri="{C3380CC4-5D6E-409C-BE32-E72D297353CC}">
              <c16:uniqueId val="{00000012-CBB0-49B8-BC7D-29D3B072E6C6}"/>
            </c:ext>
          </c:extLst>
        </c:ser>
        <c:dLbls>
          <c:showLegendKey val="0"/>
          <c:showVal val="0"/>
          <c:showCatName val="0"/>
          <c:showSerName val="0"/>
          <c:showPercent val="0"/>
          <c:showBubbleSize val="0"/>
        </c:dLbls>
        <c:axId val="500324800"/>
        <c:axId val="500314608"/>
      </c:scatterChart>
      <c:catAx>
        <c:axId val="500314216"/>
        <c:scaling>
          <c:orientation val="minMax"/>
        </c:scaling>
        <c:delete val="0"/>
        <c:axPos val="b"/>
        <c:numFmt formatCode="#,##0_);[Red]\(#,##0\)" sourceLinked="1"/>
        <c:majorTickMark val="none"/>
        <c:minorTickMark val="none"/>
        <c:tickLblPos val="none"/>
        <c:spPr>
          <a:ln w="3175">
            <a:solidFill>
              <a:srgbClr val="000000"/>
            </a:solidFill>
            <a:prstDash val="solid"/>
          </a:ln>
        </c:spPr>
        <c:crossAx val="500325192"/>
        <c:crosses val="autoZero"/>
        <c:auto val="0"/>
        <c:lblAlgn val="ctr"/>
        <c:lblOffset val="100"/>
        <c:tickLblSkip val="50"/>
        <c:tickMarkSkip val="50"/>
        <c:noMultiLvlLbl val="0"/>
      </c:catAx>
      <c:valAx>
        <c:axId val="50032519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216"/>
        <c:crosses val="autoZero"/>
        <c:crossBetween val="midCat"/>
        <c:majorUnit val="50"/>
      </c:valAx>
      <c:valAx>
        <c:axId val="5003248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4608"/>
        <c:crosses val="max"/>
        <c:crossBetween val="midCat"/>
        <c:majorUnit val="50"/>
      </c:valAx>
      <c:valAx>
        <c:axId val="500314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003248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616-4E40-83DC-A9A32147ED0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616-4E40-83DC-A9A32147ED0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616-4E40-83DC-A9A32147ED01}"/>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A616-4E40-83DC-A9A32147ED0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'結果(2-3SDGs)'!$R$49:$R$52</c:f>
              <c:strCache>
                <c:ptCount val="4"/>
                <c:pt idx="0">
                  <c:v>自然環境</c:v>
                </c:pt>
                <c:pt idx="1">
                  <c:v>生活環境</c:v>
                </c:pt>
                <c:pt idx="2">
                  <c:v>建築物
環境配慮</c:v>
                </c:pt>
                <c:pt idx="3">
                  <c:v>環境性能
スマート化</c:v>
                </c:pt>
              </c:strCache>
            </c:strRef>
          </c:cat>
          <c:val>
            <c:numRef>
              <c:f>'結果(2-3SDGs)'!$S$49:$S$52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A616-4E40-83DC-A9A32147ED01}"/>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245-4E00-A4B5-ECC782515A5F}"/>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245-4E00-A4B5-ECC782515A5F}"/>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245-4E00-A4B5-ECC782515A5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'結果(2-3SDGs)'!$U$49:$U$54</c:f>
              <c:strCache>
                <c:ptCount val="6"/>
                <c:pt idx="0">
                  <c:v>ガバナンス</c:v>
                </c:pt>
                <c:pt idx="1">
                  <c:v>生活利便</c:v>
                </c:pt>
                <c:pt idx="2">
                  <c:v>健康福祉</c:v>
                </c:pt>
                <c:pt idx="3">
                  <c:v>安全安心</c:v>
                </c:pt>
                <c:pt idx="4">
                  <c:v>包摂性</c:v>
                </c:pt>
                <c:pt idx="5">
                  <c:v>社会性能
スマート化</c:v>
                </c:pt>
              </c:strCache>
            </c:strRef>
          </c:cat>
          <c:val>
            <c:numRef>
              <c:f>'結果(2-3SDGs)'!$V$49:$V$54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4245-4E00-A4B5-ECC782515A5F}"/>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2E4-41D5-87B7-3B73662D5137}"/>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2E4-41D5-87B7-3B73662D5137}"/>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2E4-41D5-87B7-3B73662D513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'結果(2-3SDGs)'!$X$49:$X$52</c:f>
              <c:strCache>
                <c:ptCount val="4"/>
                <c:pt idx="0">
                  <c:v>経済基盤</c:v>
                </c:pt>
                <c:pt idx="1">
                  <c:v>ヒューマン
キャピタル</c:v>
                </c:pt>
                <c:pt idx="2">
                  <c:v>活性化方策</c:v>
                </c:pt>
                <c:pt idx="3">
                  <c:v>経済性能
スマート化</c:v>
                </c:pt>
              </c:strCache>
            </c:strRef>
          </c:cat>
          <c:val>
            <c:numRef>
              <c:f>'結果(2-3SDGs)'!$Y$49:$Y$52</c:f>
              <c:numCache>
                <c:formatCode>0.0_ </c:formatCode>
                <c:ptCount val="4"/>
                <c:pt idx="0">
                  <c:v>3</c:v>
                </c:pt>
                <c:pt idx="1">
                  <c:v>3.5</c:v>
                </c:pt>
                <c:pt idx="2">
                  <c:v>3</c:v>
                </c:pt>
                <c:pt idx="3">
                  <c:v>3</c:v>
                </c:pt>
              </c:numCache>
            </c:numRef>
          </c:val>
          <c:extLst>
            <c:ext xmlns:c16="http://schemas.microsoft.com/office/drawing/2014/chart" uri="{C3380CC4-5D6E-409C-BE32-E72D297353CC}">
              <c16:uniqueId val="{00000003-32E4-41D5-87B7-3B73662D5137}"/>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3F5-4DC4-90D9-D1A3E4D4705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3F5-4DC4-90D9-D1A3E4D4705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3F5-4DC4-90D9-D1A3E4D4705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C3F5-4DC4-90D9-D1A3E4D470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'結果(2-3SDGs)'!$R$60:$R$63</c:f>
              <c:strCache>
                <c:ptCount val="4"/>
                <c:pt idx="0">
                  <c:v>エネルギー
効率化</c:v>
                </c:pt>
                <c:pt idx="1">
                  <c:v>再生
エネルギー</c:v>
                </c:pt>
                <c:pt idx="2">
                  <c:v>未利用
エネルギー</c:v>
                </c:pt>
                <c:pt idx="3">
                  <c:v>エネルギー
マネジメント</c:v>
                </c:pt>
              </c:strCache>
            </c:strRef>
          </c:cat>
          <c:val>
            <c:numRef>
              <c:f>'結果(2-3SDGs)'!$S$60:$S$63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C3F5-4DC4-90D9-D1A3E4D4705B}"/>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471D-41A5-96A1-0019F49EB3C1}"/>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471D-41A5-96A1-0019F49EB3C1}"/>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471D-41A5-96A1-0019F49EB3C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'結果(2-3SDGs)'!$U$60:$U$62</c:f>
              <c:strCache>
                <c:ptCount val="3"/>
                <c:pt idx="0">
                  <c:v>土地資源</c:v>
                </c:pt>
                <c:pt idx="1">
                  <c:v>水資源</c:v>
                </c:pt>
                <c:pt idx="2">
                  <c:v>資源循環</c:v>
                </c:pt>
              </c:strCache>
            </c:strRef>
          </c:cat>
          <c:val>
            <c:numRef>
              <c:f>'結果(2-3SDGs)'!$V$60:$V$62</c:f>
              <c:numCache>
                <c:formatCode>0.0_ </c:formatCode>
                <c:ptCount val="3"/>
                <c:pt idx="0">
                  <c:v>3</c:v>
                </c:pt>
                <c:pt idx="1">
                  <c:v>3.1</c:v>
                </c:pt>
                <c:pt idx="2">
                  <c:v>3</c:v>
                </c:pt>
              </c:numCache>
            </c:numRef>
          </c:val>
          <c:extLst>
            <c:ext xmlns:c16="http://schemas.microsoft.com/office/drawing/2014/chart" uri="{C3380CC4-5D6E-409C-BE32-E72D297353CC}">
              <c16:uniqueId val="{00000003-471D-41A5-96A1-0019F49EB3C1}"/>
            </c:ext>
          </c:extLst>
        </c:ser>
        <c:dLbls>
          <c:showLegendKey val="0"/>
          <c:showVal val="1"/>
          <c:showCatName val="0"/>
          <c:showSerName val="0"/>
          <c:showPercent val="0"/>
          <c:showBubbleSize val="0"/>
        </c:dLbls>
        <c:gapWidth val="70"/>
        <c:axId val="500317744"/>
        <c:axId val="500318136"/>
      </c:barChart>
      <c:catAx>
        <c:axId val="50031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18136"/>
        <c:crossesAt val="0"/>
        <c:auto val="1"/>
        <c:lblAlgn val="ctr"/>
        <c:lblOffset val="100"/>
        <c:tickLblSkip val="1"/>
        <c:tickMarkSkip val="1"/>
        <c:noMultiLvlLbl val="0"/>
      </c:catAx>
      <c:valAx>
        <c:axId val="50031813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7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35251619567124E-2"/>
          <c:y val="4.4176873724117827E-2"/>
          <c:w val="0.88592956481349971"/>
          <c:h val="0.73628681831437737"/>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510-4C3A-A7C9-403DB1A7C730}"/>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510-4C3A-A7C9-403DB1A7C730}"/>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510-4C3A-A7C9-403DB1A7C73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'結果(2-3SDGs)'!$X$60:$X$62</c:f>
              <c:strCache>
                <c:ptCount val="3"/>
                <c:pt idx="0">
                  <c:v>地球温暖化
への配慮</c:v>
                </c:pt>
                <c:pt idx="1">
                  <c:v>交通負荷
の削減</c:v>
                </c:pt>
                <c:pt idx="2">
                  <c:v>環境阻害
の削減</c:v>
                </c:pt>
              </c:strCache>
            </c:strRef>
          </c:cat>
          <c:val>
            <c:numRef>
              <c:f>'結果(2-3SDGs)'!$Y$60:$Y$62</c:f>
              <c:numCache>
                <c:formatCode>0.0_ </c:formatCode>
                <c:ptCount val="3"/>
                <c:pt idx="0">
                  <c:v>2</c:v>
                </c:pt>
                <c:pt idx="1">
                  <c:v>3</c:v>
                </c:pt>
                <c:pt idx="2">
                  <c:v>2.9</c:v>
                </c:pt>
              </c:numCache>
            </c:numRef>
          </c:val>
          <c:extLst>
            <c:ext xmlns:c16="http://schemas.microsoft.com/office/drawing/2014/chart" uri="{C3380CC4-5D6E-409C-BE32-E72D297353CC}">
              <c16:uniqueId val="{00000003-A510-4C3A-A7C9-403DB1A7C730}"/>
            </c:ext>
          </c:extLst>
        </c:ser>
        <c:dLbls>
          <c:showLegendKey val="0"/>
          <c:showVal val="1"/>
          <c:showCatName val="0"/>
          <c:showSerName val="0"/>
          <c:showPercent val="0"/>
          <c:showBubbleSize val="0"/>
        </c:dLbls>
        <c:gapWidth val="70"/>
        <c:axId val="500328720"/>
        <c:axId val="500326760"/>
      </c:barChart>
      <c:catAx>
        <c:axId val="50032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6760"/>
        <c:crossesAt val="0"/>
        <c:auto val="1"/>
        <c:lblAlgn val="ctr"/>
        <c:lblOffset val="100"/>
        <c:tickLblSkip val="1"/>
        <c:tickMarkSkip val="1"/>
        <c:noMultiLvlLbl val="0"/>
      </c:catAx>
      <c:valAx>
        <c:axId val="500326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8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 (2)'!$S$39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extLst>
              <c:ext xmlns:c16="http://schemas.microsoft.com/office/drawing/2014/chart" uri="{C3380CC4-5D6E-409C-BE32-E72D297353CC}">
                <c16:uniqueId val="{00000001-E934-4100-8260-5A3C346C4966}"/>
              </c:ext>
            </c:extLst>
          </c:dPt>
          <c:val>
            <c:numRef>
              <c:f>'結果 (2)'!$S$40:$S$43</c:f>
              <c:numCache>
                <c:formatCode>#,##0_);[Red]\(#,##0\)</c:formatCode>
                <c:ptCount val="4"/>
                <c:pt idx="0">
                  <c:v>0</c:v>
                </c:pt>
                <c:pt idx="1">
                  <c:v>0</c:v>
                </c:pt>
              </c:numCache>
            </c:numRef>
          </c:val>
          <c:extLst>
            <c:ext xmlns:c16="http://schemas.microsoft.com/office/drawing/2014/chart" uri="{C3380CC4-5D6E-409C-BE32-E72D297353CC}">
              <c16:uniqueId val="{00000002-E934-4100-8260-5A3C346C4966}"/>
            </c:ext>
          </c:extLst>
        </c:ser>
        <c:ser>
          <c:idx val="1"/>
          <c:order val="1"/>
          <c:tx>
            <c:strRef>
              <c:f>'結果 (2)'!$T$39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extLst>
              <c:ext xmlns:c16="http://schemas.microsoft.com/office/drawing/2014/chart" uri="{C3380CC4-5D6E-409C-BE32-E72D297353CC}">
                <c16:uniqueId val="{00000004-E934-4100-8260-5A3C346C4966}"/>
              </c:ext>
            </c:extLst>
          </c:dPt>
          <c:val>
            <c:numRef>
              <c:f>'結果 (2)'!$T$40:$T$43</c:f>
              <c:numCache>
                <c:formatCode>#,##0_);[Red]\(#,##0\)</c:formatCode>
                <c:ptCount val="4"/>
                <c:pt idx="0">
                  <c:v>0</c:v>
                </c:pt>
                <c:pt idx="1">
                  <c:v>0</c:v>
                </c:pt>
              </c:numCache>
            </c:numRef>
          </c:val>
          <c:extLst>
            <c:ext xmlns:c16="http://schemas.microsoft.com/office/drawing/2014/chart" uri="{C3380CC4-5D6E-409C-BE32-E72D297353CC}">
              <c16:uniqueId val="{00000005-E934-4100-8260-5A3C346C4966}"/>
            </c:ext>
          </c:extLst>
        </c:ser>
        <c:ser>
          <c:idx val="2"/>
          <c:order val="2"/>
          <c:tx>
            <c:strRef>
              <c:f>'結果 (2)'!$U$39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extLst>
              <c:ext xmlns:c16="http://schemas.microsoft.com/office/drawing/2014/chart" uri="{C3380CC4-5D6E-409C-BE32-E72D297353CC}">
                <c16:uniqueId val="{00000007-E934-4100-8260-5A3C346C4966}"/>
              </c:ext>
            </c:extLst>
          </c:dPt>
          <c:val>
            <c:numRef>
              <c:f>'結果 (2)'!$U$40:$U$43</c:f>
              <c:numCache>
                <c:formatCode>#,##0_);[Red]\(#,##0\)</c:formatCode>
                <c:ptCount val="4"/>
                <c:pt idx="0">
                  <c:v>0</c:v>
                </c:pt>
                <c:pt idx="1">
                  <c:v>0</c:v>
                </c:pt>
              </c:numCache>
            </c:numRef>
          </c:val>
          <c:extLst>
            <c:ext xmlns:c16="http://schemas.microsoft.com/office/drawing/2014/chart" uri="{C3380CC4-5D6E-409C-BE32-E72D297353CC}">
              <c16:uniqueId val="{00000008-E934-4100-8260-5A3C346C4966}"/>
            </c:ext>
          </c:extLst>
        </c:ser>
        <c:ser>
          <c:idx val="3"/>
          <c:order val="3"/>
          <c:tx>
            <c:strRef>
              <c:f>'結果 (2)'!$V$39</c:f>
              <c:strCache>
                <c:ptCount val="1"/>
                <c:pt idx="0">
                  <c:v>オンサイト</c:v>
                </c:pt>
              </c:strCache>
            </c:strRef>
          </c:tx>
          <c:spPr>
            <a:solidFill>
              <a:srgbClr val="C0C0C0"/>
            </a:solidFill>
            <a:ln w="12700">
              <a:solidFill>
                <a:srgbClr val="000000"/>
              </a:solidFill>
              <a:prstDash val="solid"/>
            </a:ln>
          </c:spPr>
          <c:invertIfNegative val="0"/>
          <c:val>
            <c:numRef>
              <c:f>'結果 (2)'!$V$40:$V$43</c:f>
              <c:numCache>
                <c:formatCode>General</c:formatCode>
                <c:ptCount val="4"/>
                <c:pt idx="2" formatCode="#,##0_);[Red]\(#,##0\)">
                  <c:v>0</c:v>
                </c:pt>
              </c:numCache>
            </c:numRef>
          </c:val>
          <c:extLst>
            <c:ext xmlns:c16="http://schemas.microsoft.com/office/drawing/2014/chart" uri="{C3380CC4-5D6E-409C-BE32-E72D297353CC}">
              <c16:uniqueId val="{00000009-E934-4100-8260-5A3C346C4966}"/>
            </c:ext>
          </c:extLst>
        </c:ser>
        <c:ser>
          <c:idx val="4"/>
          <c:order val="4"/>
          <c:tx>
            <c:strRef>
              <c:f>'結果 (2)'!$W$39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 (2)'!$W$40:$W$43</c:f>
              <c:numCache>
                <c:formatCode>General</c:formatCode>
                <c:ptCount val="4"/>
                <c:pt idx="3" formatCode="#,##0_);[Red]\(#,##0\)">
                  <c:v>0</c:v>
                </c:pt>
              </c:numCache>
            </c:numRef>
          </c:val>
          <c:extLst>
            <c:ext xmlns:c16="http://schemas.microsoft.com/office/drawing/2014/chart" uri="{C3380CC4-5D6E-409C-BE32-E72D297353CC}">
              <c16:uniqueId val="{0000000A-E934-4100-8260-5A3C346C4966}"/>
            </c:ext>
          </c:extLst>
        </c:ser>
        <c:dLbls>
          <c:showLegendKey val="0"/>
          <c:showVal val="0"/>
          <c:showCatName val="0"/>
          <c:showSerName val="0"/>
          <c:showPercent val="0"/>
          <c:showBubbleSize val="0"/>
        </c:dLbls>
        <c:gapWidth val="50"/>
        <c:overlap val="100"/>
        <c:axId val="500315000"/>
        <c:axId val="500315392"/>
      </c:barChart>
      <c:catAx>
        <c:axId val="500315000"/>
        <c:scaling>
          <c:orientation val="maxMin"/>
        </c:scaling>
        <c:delete val="1"/>
        <c:axPos val="l"/>
        <c:majorTickMark val="out"/>
        <c:minorTickMark val="none"/>
        <c:tickLblPos val="nextTo"/>
        <c:crossAx val="500315392"/>
        <c:crosses val="autoZero"/>
        <c:auto val="1"/>
        <c:lblAlgn val="ctr"/>
        <c:lblOffset val="100"/>
        <c:noMultiLvlLbl val="0"/>
      </c:catAx>
      <c:valAx>
        <c:axId val="500315392"/>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00315000"/>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extLst>
              <c:ext xmlns:c16="http://schemas.microsoft.com/office/drawing/2014/chart" uri="{C3380CC4-5D6E-409C-BE32-E72D297353CC}">
                <c16:uniqueId val="{00000000-E2BC-4A96-A728-52E63BA5D8BE}"/>
              </c:ext>
            </c:extLst>
          </c:dPt>
          <c:cat>
            <c:strRef>
              <c:f>'結果(2-3SDGs)'!$AF$25:$AH$25</c:f>
              <c:strCache>
                <c:ptCount val="1"/>
                <c:pt idx="0">
                  <c:v>SDGsRank(Ring)</c:v>
                </c:pt>
              </c:strCache>
            </c:strRef>
          </c:cat>
          <c:val>
            <c:numRef>
              <c:f>'結果(2-3SDGs)'!$AI$25</c:f>
              <c:numCache>
                <c:formatCode>0.00_ </c:formatCode>
                <c:ptCount val="1"/>
                <c:pt idx="0">
                  <c:v>0</c:v>
                </c:pt>
              </c:numCache>
            </c:numRef>
          </c:val>
          <c:extLst>
            <c:ext xmlns:c16="http://schemas.microsoft.com/office/drawing/2014/chart" uri="{C3380CC4-5D6E-409C-BE32-E72D297353CC}">
              <c16:uniqueId val="{00000001-E2BC-4A96-A728-52E63BA5D8BE}"/>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'結果(2-3SDGs)'!$AF$25:$AH$25</c:f>
              <c:strCache>
                <c:ptCount val="1"/>
                <c:pt idx="0">
                  <c:v>SDGsRank(Ring)</c:v>
                </c:pt>
              </c:strCache>
            </c:strRef>
          </c:cat>
          <c:val>
            <c:numRef>
              <c:f>'結果(2-3SDGs)'!$AI$26</c:f>
              <c:numCache>
                <c:formatCode>0.00_ </c:formatCode>
                <c:ptCount val="1"/>
                <c:pt idx="0">
                  <c:v>1</c:v>
                </c:pt>
              </c:numCache>
            </c:numRef>
          </c:val>
          <c:extLst>
            <c:ext xmlns:c16="http://schemas.microsoft.com/office/drawing/2014/chart" uri="{C3380CC4-5D6E-409C-BE32-E72D297353CC}">
              <c16:uniqueId val="{00000002-E2BC-4A96-A728-52E63BA5D8BE}"/>
            </c:ext>
          </c:extLst>
        </c:ser>
        <c:dLbls>
          <c:showLegendKey val="0"/>
          <c:showVal val="0"/>
          <c:showCatName val="0"/>
          <c:showSerName val="0"/>
          <c:showPercent val="0"/>
          <c:showBubbleSize val="0"/>
        </c:dLbls>
        <c:gapWidth val="43"/>
        <c:overlap val="100"/>
        <c:axId val="500327544"/>
        <c:axId val="500328328"/>
      </c:barChart>
      <c:catAx>
        <c:axId val="500327544"/>
        <c:scaling>
          <c:orientation val="minMax"/>
        </c:scaling>
        <c:delete val="1"/>
        <c:axPos val="l"/>
        <c:numFmt formatCode="General" sourceLinked="1"/>
        <c:majorTickMark val="out"/>
        <c:minorTickMark val="none"/>
        <c:tickLblPos val="nextTo"/>
        <c:crossAx val="500328328"/>
        <c:crosses val="autoZero"/>
        <c:auto val="1"/>
        <c:lblAlgn val="ctr"/>
        <c:lblOffset val="100"/>
        <c:noMultiLvlLbl val="0"/>
      </c:catAx>
      <c:valAx>
        <c:axId val="500328328"/>
        <c:scaling>
          <c:orientation val="minMax"/>
        </c:scaling>
        <c:delete val="1"/>
        <c:axPos val="b"/>
        <c:numFmt formatCode="0%" sourceLinked="1"/>
        <c:majorTickMark val="out"/>
        <c:minorTickMark val="none"/>
        <c:tickLblPos val="nextTo"/>
        <c:crossAx val="50032754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'結果(2-3SDGs)'!$AF$49</c:f>
              <c:strCache>
                <c:ptCount val="1"/>
                <c:pt idx="0">
                  <c:v>エリアマネジメント</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'結果(2-3SDGs)'!$AG$49:$AH$49</c:f>
              <c:numCache>
                <c:formatCode>General</c:formatCode>
                <c:ptCount val="2"/>
                <c:pt idx="0" formatCode="0.0">
                  <c:v>3</c:v>
                </c:pt>
              </c:numCache>
            </c:numRef>
          </c:val>
          <c:extLst>
            <c:ext xmlns:c16="http://schemas.microsoft.com/office/drawing/2014/chart" uri="{C3380CC4-5D6E-409C-BE32-E72D297353CC}">
              <c16:uniqueId val="{00000000-CA53-47E2-8E9B-526435796072}"/>
            </c:ext>
          </c:extLst>
        </c:ser>
        <c:ser>
          <c:idx val="1"/>
          <c:order val="1"/>
          <c:tx>
            <c:strRef>
              <c:f>'結果(2-3SDGs)'!$AF$50</c:f>
              <c:strCache>
                <c:ptCount val="1"/>
                <c:pt idx="0">
                  <c:v>エネルギーマネジメント</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'結果(2-3SDGs)'!$AG$50:$AH$50</c:f>
              <c:numCache>
                <c:formatCode>General</c:formatCode>
                <c:ptCount val="2"/>
                <c:pt idx="0" formatCode="0.0">
                  <c:v>3</c:v>
                </c:pt>
              </c:numCache>
            </c:numRef>
          </c:val>
          <c:extLst>
            <c:ext xmlns:c16="http://schemas.microsoft.com/office/drawing/2014/chart" uri="{C3380CC4-5D6E-409C-BE32-E72D297353CC}">
              <c16:uniqueId val="{00000001-CA53-47E2-8E9B-526435796072}"/>
            </c:ext>
          </c:extLst>
        </c:ser>
        <c:ser>
          <c:idx val="2"/>
          <c:order val="2"/>
          <c:tx>
            <c:strRef>
              <c:f>'結果(2-3SDGs)'!$AF$51</c:f>
              <c:strCache>
                <c:ptCount val="1"/>
                <c:pt idx="0">
                  <c:v>交通マネジメント</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'結果(2-3SDGs)'!$AG$51:$AH$51</c:f>
              <c:numCache>
                <c:formatCode>General</c:formatCode>
                <c:ptCount val="2"/>
                <c:pt idx="0" formatCode="0.0">
                  <c:v>3</c:v>
                </c:pt>
              </c:numCache>
            </c:numRef>
          </c:val>
          <c:extLst>
            <c:ext xmlns:c16="http://schemas.microsoft.com/office/drawing/2014/chart" uri="{C3380CC4-5D6E-409C-BE32-E72D297353CC}">
              <c16:uniqueId val="{00000002-CA53-47E2-8E9B-526435796072}"/>
            </c:ext>
          </c:extLst>
        </c:ser>
        <c:ser>
          <c:idx val="3"/>
          <c:order val="3"/>
          <c:tx>
            <c:strRef>
              <c:f>'結果(2-3SDGs)'!$AF$52</c:f>
              <c:strCache>
                <c:ptCount val="1"/>
                <c:pt idx="0">
                  <c:v>発展的マネジメント</c:v>
                </c:pt>
              </c:strCache>
            </c:strRef>
          </c:tx>
          <c:spPr>
            <a:solidFill>
              <a:schemeClr val="accent6">
                <a:lumMod val="60000"/>
                <a:lumOff val="4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'結果(2-3SDGs)'!$AG$52:$AH$52</c:f>
              <c:numCache>
                <c:formatCode>General</c:formatCode>
                <c:ptCount val="2"/>
                <c:pt idx="0" formatCode="0.0">
                  <c:v>3</c:v>
                </c:pt>
              </c:numCache>
            </c:numRef>
          </c:val>
          <c:extLst>
            <c:ext xmlns:c16="http://schemas.microsoft.com/office/drawing/2014/chart" uri="{C3380CC4-5D6E-409C-BE32-E72D297353CC}">
              <c16:uniqueId val="{00000003-CA53-47E2-8E9B-526435796072}"/>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26983448720540743"/>
          <c:w val="0.49170416596763578"/>
          <c:h val="0.6168200533544062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92792731296701"/>
          <c:y val="5.0890252375552551E-2"/>
          <c:w val="0.8395470965414159"/>
          <c:h val="0.89706113245212826"/>
        </c:manualLayout>
      </c:layout>
      <c:barChart>
        <c:barDir val="col"/>
        <c:grouping val="stacked"/>
        <c:varyColors val="0"/>
        <c:ser>
          <c:idx val="0"/>
          <c:order val="0"/>
          <c:tx>
            <c:strRef>
              <c:f>'結果(2-3SDGs)'!$AF$60</c:f>
              <c:strCache>
                <c:ptCount val="1"/>
                <c:pt idx="0">
                  <c:v>環境のスマート化</c:v>
                </c:pt>
              </c:strCache>
            </c:strRef>
          </c:tx>
          <c:spPr>
            <a:solidFill>
              <a:schemeClr val="accent1">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'結果(2-3SDGs)'!$AG$60:$AH$60</c:f>
              <c:numCache>
                <c:formatCode>General</c:formatCode>
                <c:ptCount val="2"/>
                <c:pt idx="0" formatCode="0.0">
                  <c:v>3</c:v>
                </c:pt>
              </c:numCache>
            </c:numRef>
          </c:val>
          <c:extLst>
            <c:ext xmlns:c16="http://schemas.microsoft.com/office/drawing/2014/chart" uri="{C3380CC4-5D6E-409C-BE32-E72D297353CC}">
              <c16:uniqueId val="{00000000-5863-442F-A2C6-2666ED8DB871}"/>
            </c:ext>
          </c:extLst>
        </c:ser>
        <c:ser>
          <c:idx val="1"/>
          <c:order val="1"/>
          <c:tx>
            <c:strRef>
              <c:f>'結果(2-3SDGs)'!$AF$61</c:f>
              <c:strCache>
                <c:ptCount val="1"/>
                <c:pt idx="0">
                  <c:v>社会のスマート化</c:v>
                </c:pt>
              </c:strCache>
            </c:strRef>
          </c:tx>
          <c:spPr>
            <a:solidFill>
              <a:schemeClr val="accent2">
                <a:lumMod val="40000"/>
                <a:lumOff val="60000"/>
              </a:schemeClr>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'結果(2-3SDGs)'!$AG$61:$AH$61</c:f>
              <c:numCache>
                <c:formatCode>General</c:formatCode>
                <c:ptCount val="2"/>
                <c:pt idx="0" formatCode="0.0">
                  <c:v>3</c:v>
                </c:pt>
              </c:numCache>
            </c:numRef>
          </c:val>
          <c:extLst>
            <c:ext xmlns:c16="http://schemas.microsoft.com/office/drawing/2014/chart" uri="{C3380CC4-5D6E-409C-BE32-E72D297353CC}">
              <c16:uniqueId val="{00000001-5863-442F-A2C6-2666ED8DB871}"/>
            </c:ext>
          </c:extLst>
        </c:ser>
        <c:ser>
          <c:idx val="2"/>
          <c:order val="2"/>
          <c:tx>
            <c:strRef>
              <c:f>'結果(2-3SDGs)'!$AF$62</c:f>
              <c:strCache>
                <c:ptCount val="1"/>
                <c:pt idx="0">
                  <c:v>経済のスマート化</c:v>
                </c:pt>
              </c:strCache>
            </c:strRef>
          </c:tx>
          <c:spPr>
            <a:solidFill>
              <a:schemeClr val="accent3"/>
            </a:solidFill>
            <a:ln>
              <a:solidFill>
                <a:srgbClr val="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'結果(2-3SDGs)'!$AG$48:$AH$48</c:f>
              <c:strCache>
                <c:ptCount val="1"/>
                <c:pt idx="0">
                  <c:v>Score(Round)</c:v>
                </c:pt>
              </c:strCache>
            </c:strRef>
          </c:cat>
          <c:val>
            <c:numRef>
              <c:f>'結果(2-3SDGs)'!$AG$62:$AH$62</c:f>
              <c:numCache>
                <c:formatCode>General</c:formatCode>
                <c:ptCount val="2"/>
                <c:pt idx="0" formatCode="0.0">
                  <c:v>3</c:v>
                </c:pt>
              </c:numCache>
            </c:numRef>
          </c:val>
          <c:extLst>
            <c:ext xmlns:c16="http://schemas.microsoft.com/office/drawing/2014/chart" uri="{C3380CC4-5D6E-409C-BE32-E72D297353CC}">
              <c16:uniqueId val="{00000002-5863-442F-A2C6-2666ED8DB871}"/>
            </c:ext>
          </c:extLst>
        </c:ser>
        <c:dLbls>
          <c:showLegendKey val="0"/>
          <c:showVal val="0"/>
          <c:showCatName val="0"/>
          <c:showSerName val="0"/>
          <c:showPercent val="0"/>
          <c:showBubbleSize val="0"/>
        </c:dLbls>
        <c:gapWidth val="50"/>
        <c:overlap val="100"/>
        <c:axId val="155010223"/>
        <c:axId val="154993167"/>
      </c:barChart>
      <c:catAx>
        <c:axId val="155010223"/>
        <c:scaling>
          <c:orientation val="minMax"/>
        </c:scaling>
        <c:delete val="0"/>
        <c:axPos val="b"/>
        <c:numFmt formatCode="General" sourceLinked="1"/>
        <c:majorTickMark val="none"/>
        <c:minorTickMark val="none"/>
        <c:tickLblPos val="none"/>
        <c:spPr>
          <a:noFill/>
          <a:ln w="9525" cap="flat" cmpd="sng" algn="ctr">
            <a:solidFill>
              <a:srgbClr val="0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4993167"/>
        <c:crosses val="autoZero"/>
        <c:auto val="1"/>
        <c:lblAlgn val="ctr"/>
        <c:lblOffset val="100"/>
        <c:noMultiLvlLbl val="0"/>
      </c:catAx>
      <c:valAx>
        <c:axId val="154993167"/>
        <c:scaling>
          <c:orientation val="minMax"/>
          <c:max val="15"/>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5010223"/>
        <c:crosses val="autoZero"/>
        <c:crossBetween val="between"/>
        <c:majorUnit val="5"/>
      </c:valAx>
      <c:spPr>
        <a:noFill/>
        <a:ln>
          <a:solidFill>
            <a:srgbClr val="000000"/>
          </a:solidFill>
        </a:ln>
        <a:effectLst/>
      </c:spPr>
    </c:plotArea>
    <c:legend>
      <c:legendPos val="r"/>
      <c:layout>
        <c:manualLayout>
          <c:xMode val="edge"/>
          <c:yMode val="edge"/>
          <c:x val="0.48927947022032325"/>
          <c:y val="0.38274926223963529"/>
          <c:w val="0.49170416596763578"/>
          <c:h val="0.5039057030006083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015144929733589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CD1-4D17-A4CE-0C39E914C6C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CD1-4D17-A4CE-0C39E914C6C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CD1-4D17-A4CE-0C39E914C6CB}"/>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3CD1-4D17-A4CE-0C39E914C6C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(2)'!$R$49:$R$52</c:f>
              <c:strCache>
                <c:ptCount val="4"/>
                <c:pt idx="0">
                  <c:v>自然環境</c:v>
                </c:pt>
                <c:pt idx="1">
                  <c:v>生活環境</c:v>
                </c:pt>
                <c:pt idx="2">
                  <c:v>建築物
環境配慮</c:v>
                </c:pt>
                <c:pt idx="3">
                  <c:v>環境性能
スマート化</c:v>
                </c:pt>
              </c:strCache>
            </c:strRef>
          </c:cat>
          <c:val>
            <c:numRef>
              <c:f>'結果 (2)'!$S$49:$S$52</c:f>
              <c:numCache>
                <c:formatCode>0.0;_Ā</c:formatCode>
                <c:ptCount val="4"/>
                <c:pt idx="0">
                  <c:v>3</c:v>
                </c:pt>
                <c:pt idx="1">
                  <c:v>3</c:v>
                </c:pt>
                <c:pt idx="2">
                  <c:v>3</c:v>
                </c:pt>
                <c:pt idx="3">
                  <c:v>3</c:v>
                </c:pt>
              </c:numCache>
            </c:numRef>
          </c:val>
          <c:extLst>
            <c:ext xmlns:c16="http://schemas.microsoft.com/office/drawing/2014/chart" uri="{C3380CC4-5D6E-409C-BE32-E72D297353CC}">
              <c16:uniqueId val="{00000004-3CD1-4D17-A4CE-0C39E914C6CB}"/>
            </c:ext>
          </c:extLst>
        </c:ser>
        <c:dLbls>
          <c:showLegendKey val="0"/>
          <c:showVal val="1"/>
          <c:showCatName val="0"/>
          <c:showSerName val="0"/>
          <c:showPercent val="0"/>
          <c:showBubbleSize val="0"/>
        </c:dLbls>
        <c:gapWidth val="50"/>
        <c:axId val="500316960"/>
        <c:axId val="500324016"/>
      </c:barChart>
      <c:catAx>
        <c:axId val="500316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4016"/>
        <c:crossesAt val="0"/>
        <c:auto val="1"/>
        <c:lblAlgn val="ctr"/>
        <c:lblOffset val="100"/>
        <c:tickLblSkip val="1"/>
        <c:tickMarkSkip val="1"/>
        <c:noMultiLvlLbl val="0"/>
      </c:catAx>
      <c:valAx>
        <c:axId val="5003240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69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0932984587999166"/>
          <c:h val="0.68331263024977162"/>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01C-4D52-8730-C931C4B3DDCB}"/>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01C-4D52-8730-C931C4B3DDCB}"/>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01C-4D52-8730-C931C4B3DDC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(2)'!$U$49:$U$54</c:f>
              <c:strCache>
                <c:ptCount val="6"/>
                <c:pt idx="0">
                  <c:v>ガバナンス</c:v>
                </c:pt>
                <c:pt idx="1">
                  <c:v>生活利便</c:v>
                </c:pt>
                <c:pt idx="2">
                  <c:v>健康福祉</c:v>
                </c:pt>
                <c:pt idx="3">
                  <c:v>安全安心</c:v>
                </c:pt>
                <c:pt idx="4">
                  <c:v>包摂性</c:v>
                </c:pt>
                <c:pt idx="5">
                  <c:v>社会性能
スマート化</c:v>
                </c:pt>
              </c:strCache>
            </c:strRef>
          </c:cat>
          <c:val>
            <c:numRef>
              <c:f>'結果 (2)'!$V$49:$V$54</c:f>
              <c:numCache>
                <c:formatCode>0.0_ </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3-A01C-4D52-8730-C931C4B3DDCB}"/>
            </c:ext>
          </c:extLst>
        </c:ser>
        <c:dLbls>
          <c:showLegendKey val="0"/>
          <c:showVal val="1"/>
          <c:showCatName val="0"/>
          <c:showSerName val="0"/>
          <c:showPercent val="0"/>
          <c:showBubbleSize val="0"/>
        </c:dLbls>
        <c:gapWidth val="50"/>
        <c:axId val="500324408"/>
        <c:axId val="500315784"/>
      </c:barChart>
      <c:catAx>
        <c:axId val="500324408"/>
        <c:scaling>
          <c:orientation val="minMax"/>
        </c:scaling>
        <c:delete val="0"/>
        <c:axPos val="b"/>
        <c:numFmt formatCode="General" sourceLinked="0"/>
        <c:majorTickMark val="none"/>
        <c:minorTickMark val="none"/>
        <c:tickLblPos val="low"/>
        <c:spPr>
          <a:ln w="3175">
            <a:solidFill>
              <a:srgbClr val="000000"/>
            </a:solidFill>
            <a:prstDash val="solid"/>
          </a:ln>
        </c:spPr>
        <c:txPr>
          <a:bodyPr rot="0"/>
          <a:lstStyle/>
          <a:p>
            <a:pPr>
              <a:defRPr sz="700"/>
            </a:pPr>
            <a:endParaRPr lang="ja-JP"/>
          </a:p>
        </c:txPr>
        <c:crossAx val="500315784"/>
        <c:crossesAt val="0"/>
        <c:auto val="1"/>
        <c:lblAlgn val="ctr"/>
        <c:lblOffset val="100"/>
        <c:tickLblSkip val="1"/>
        <c:tickMarkSkip val="1"/>
        <c:noMultiLvlLbl val="0"/>
      </c:catAx>
      <c:valAx>
        <c:axId val="5003157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44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6807459456073E-2"/>
          <c:y val="6.1269685039370081E-2"/>
          <c:w val="0.88210145270964091"/>
          <c:h val="0.7106091843010657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906C-41D2-A93D-9D3B6E10A7B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906C-41D2-A93D-9D3B6E10A7B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906C-41D2-A93D-9D3B6E10A7B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(2)'!$X$49:$X$52</c:f>
              <c:strCache>
                <c:ptCount val="4"/>
                <c:pt idx="0">
                  <c:v>経済基盤</c:v>
                </c:pt>
                <c:pt idx="1">
                  <c:v>ヒューマン
キャピタル</c:v>
                </c:pt>
                <c:pt idx="2">
                  <c:v>活性化方策</c:v>
                </c:pt>
                <c:pt idx="3">
                  <c:v>経済性能
スマート化</c:v>
                </c:pt>
              </c:strCache>
            </c:strRef>
          </c:cat>
          <c:val>
            <c:numRef>
              <c:f>'結果 (2)'!$Y$49:$Y$52</c:f>
              <c:numCache>
                <c:formatCode>0.0_ </c:formatCode>
                <c:ptCount val="4"/>
                <c:pt idx="0">
                  <c:v>3</c:v>
                </c:pt>
                <c:pt idx="1">
                  <c:v>3.5</c:v>
                </c:pt>
                <c:pt idx="2">
                  <c:v>3</c:v>
                </c:pt>
                <c:pt idx="3">
                  <c:v>3</c:v>
                </c:pt>
              </c:numCache>
            </c:numRef>
          </c:val>
          <c:extLst>
            <c:ext xmlns:c16="http://schemas.microsoft.com/office/drawing/2014/chart" uri="{C3380CC4-5D6E-409C-BE32-E72D297353CC}">
              <c16:uniqueId val="{00000003-906C-41D2-A93D-9D3B6E10A7B4}"/>
            </c:ext>
          </c:extLst>
        </c:ser>
        <c:dLbls>
          <c:showLegendKey val="0"/>
          <c:showVal val="1"/>
          <c:showCatName val="0"/>
          <c:showSerName val="0"/>
          <c:showPercent val="0"/>
          <c:showBubbleSize val="0"/>
        </c:dLbls>
        <c:gapWidth val="50"/>
        <c:axId val="500317352"/>
        <c:axId val="500325584"/>
      </c:barChart>
      <c:catAx>
        <c:axId val="500317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5584"/>
        <c:crossesAt val="0"/>
        <c:auto val="1"/>
        <c:lblAlgn val="ctr"/>
        <c:lblOffset val="100"/>
        <c:tickLblSkip val="1"/>
        <c:tickMarkSkip val="1"/>
        <c:noMultiLvlLbl val="0"/>
      </c:catAx>
      <c:valAx>
        <c:axId val="500325584"/>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173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69549635062740445"/>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E3EB-457C-BADA-DA7DA66246B4}"/>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E3EB-457C-BADA-DA7DA66246B4}"/>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E3EB-457C-BADA-DA7DA66246B4}"/>
                </c:ext>
              </c:extLst>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E3EB-457C-BADA-DA7DA66246B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 (2)'!$R$60:$R$63</c:f>
              <c:strCache>
                <c:ptCount val="4"/>
                <c:pt idx="0">
                  <c:v>エネルギー
効率化</c:v>
                </c:pt>
                <c:pt idx="1">
                  <c:v>再生
エネルギー</c:v>
                </c:pt>
                <c:pt idx="2">
                  <c:v>未利用
エネルギー</c:v>
                </c:pt>
                <c:pt idx="3">
                  <c:v>エネルギー
マネジメント</c:v>
                </c:pt>
              </c:strCache>
            </c:strRef>
          </c:cat>
          <c:val>
            <c:numRef>
              <c:f>'結果 (2)'!$S$60:$S$63</c:f>
              <c:numCache>
                <c:formatCode>#,##0.0;[Red]\-#,##0.0</c:formatCode>
                <c:ptCount val="4"/>
                <c:pt idx="0">
                  <c:v>3</c:v>
                </c:pt>
                <c:pt idx="1">
                  <c:v>3</c:v>
                </c:pt>
                <c:pt idx="2">
                  <c:v>3</c:v>
                </c:pt>
                <c:pt idx="3">
                  <c:v>3</c:v>
                </c:pt>
              </c:numCache>
            </c:numRef>
          </c:val>
          <c:extLst>
            <c:ext xmlns:c16="http://schemas.microsoft.com/office/drawing/2014/chart" uri="{C3380CC4-5D6E-409C-BE32-E72D297353CC}">
              <c16:uniqueId val="{00000004-E3EB-457C-BADA-DA7DA66246B4}"/>
            </c:ext>
          </c:extLst>
        </c:ser>
        <c:dLbls>
          <c:showLegendKey val="0"/>
          <c:showVal val="1"/>
          <c:showCatName val="0"/>
          <c:showSerName val="0"/>
          <c:showPercent val="0"/>
          <c:showBubbleSize val="0"/>
        </c:dLbls>
        <c:gapWidth val="40"/>
        <c:axId val="500322840"/>
        <c:axId val="500323624"/>
      </c:barChart>
      <c:catAx>
        <c:axId val="500322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a:lstStyle/>
          <a:p>
            <a:pPr>
              <a:defRPr sz="700"/>
            </a:pPr>
            <a:endParaRPr lang="ja-JP"/>
          </a:p>
        </c:txPr>
        <c:crossAx val="500323624"/>
        <c:crossesAt val="0"/>
        <c:auto val="1"/>
        <c:lblAlgn val="ctr"/>
        <c:lblOffset val="100"/>
        <c:tickLblSkip val="1"/>
        <c:tickMarkSkip val="1"/>
        <c:noMultiLvlLbl val="0"/>
      </c:catAx>
      <c:valAx>
        <c:axId val="5003236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22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firstButton="1" fmlaLink="$AQ$10"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fmlaLink="$AT$19" lockText="1" noThreeD="1"/>
</file>

<file path=xl/ctrlProps/ctrlProp102.xml><?xml version="1.0" encoding="utf-8"?>
<formControlPr xmlns="http://schemas.microsoft.com/office/spreadsheetml/2009/9/main" objectType="CheckBox" fmlaLink="$AT$39" lockText="1" noThreeD="1"/>
</file>

<file path=xl/ctrlProps/ctrlProp103.xml><?xml version="1.0" encoding="utf-8"?>
<formControlPr xmlns="http://schemas.microsoft.com/office/spreadsheetml/2009/9/main" objectType="CheckBox" fmlaLink="$AT$12" lockText="1" noThreeD="1"/>
</file>

<file path=xl/ctrlProps/ctrlProp104.xml><?xml version="1.0" encoding="utf-8"?>
<formControlPr xmlns="http://schemas.microsoft.com/office/spreadsheetml/2009/9/main" objectType="CheckBox" fmlaLink="$AT$15" lockText="1" noThreeD="1"/>
</file>

<file path=xl/ctrlProps/ctrlProp105.xml><?xml version="1.0" encoding="utf-8"?>
<formControlPr xmlns="http://schemas.microsoft.com/office/spreadsheetml/2009/9/main" objectType="CheckBox" fmlaLink="$AT$14" lockText="1" noThreeD="1"/>
</file>

<file path=xl/ctrlProps/ctrlProp106.xml><?xml version="1.0" encoding="utf-8"?>
<formControlPr xmlns="http://schemas.microsoft.com/office/spreadsheetml/2009/9/main" objectType="CheckBox" fmlaLink="$AT$10" lockText="1" noThreeD="1"/>
</file>

<file path=xl/ctrlProps/ctrlProp107.xml><?xml version="1.0" encoding="utf-8"?>
<formControlPr xmlns="http://schemas.microsoft.com/office/spreadsheetml/2009/9/main" objectType="CheckBox" fmlaLink="$AT$11" lockText="1" noThreeD="1"/>
</file>

<file path=xl/ctrlProps/ctrlProp108.xml><?xml version="1.0" encoding="utf-8"?>
<formControlPr xmlns="http://schemas.microsoft.com/office/spreadsheetml/2009/9/main" objectType="CheckBox" fmlaLink="$AT$16" lockText="1" noThreeD="1"/>
</file>

<file path=xl/ctrlProps/ctrlProp109.xml><?xml version="1.0" encoding="utf-8"?>
<formControlPr xmlns="http://schemas.microsoft.com/office/spreadsheetml/2009/9/main" objectType="CheckBox" fmlaLink="$AT$23"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CheckBox" fmlaLink="$AT$20" lockText="1" noThreeD="1"/>
</file>

<file path=xl/ctrlProps/ctrlProp111.xml><?xml version="1.0" encoding="utf-8"?>
<formControlPr xmlns="http://schemas.microsoft.com/office/spreadsheetml/2009/9/main" objectType="CheckBox" fmlaLink="$AT$25" lockText="1" noThreeD="1"/>
</file>

<file path=xl/ctrlProps/ctrlProp112.xml><?xml version="1.0" encoding="utf-8"?>
<formControlPr xmlns="http://schemas.microsoft.com/office/spreadsheetml/2009/9/main" objectType="CheckBox" fmlaLink="$AT$13" lockText="1" noThreeD="1"/>
</file>

<file path=xl/ctrlProps/ctrlProp113.xml><?xml version="1.0" encoding="utf-8"?>
<formControlPr xmlns="http://schemas.microsoft.com/office/spreadsheetml/2009/9/main" objectType="CheckBox" fmlaLink="$AT$18" lockText="1" noThreeD="1"/>
</file>

<file path=xl/ctrlProps/ctrlProp114.xml><?xml version="1.0" encoding="utf-8"?>
<formControlPr xmlns="http://schemas.microsoft.com/office/spreadsheetml/2009/9/main" objectType="CheckBox" fmlaLink="$AT$21"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AT$40" lockText="1" noThreeD="1"/>
</file>

<file path=xl/ctrlProps/ctrlProp117.xml><?xml version="1.0" encoding="utf-8"?>
<formControlPr xmlns="http://schemas.microsoft.com/office/spreadsheetml/2009/9/main" objectType="CheckBox" fmlaLink="$AT$41" lockText="1" noThreeD="1"/>
</file>

<file path=xl/ctrlProps/ctrlProp118.xml><?xml version="1.0" encoding="utf-8"?>
<formControlPr xmlns="http://schemas.microsoft.com/office/spreadsheetml/2009/9/main" objectType="CheckBox" fmlaLink="$AT$42" lockText="1" noThreeD="1"/>
</file>

<file path=xl/ctrlProps/ctrlProp119.xml><?xml version="1.0" encoding="utf-8"?>
<formControlPr xmlns="http://schemas.microsoft.com/office/spreadsheetml/2009/9/main" objectType="CheckBox" fmlaLink="$AT$1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AT$30" lockText="1" noThreeD="1"/>
</file>

<file path=xl/ctrlProps/ctrlProp121.xml><?xml version="1.0" encoding="utf-8"?>
<formControlPr xmlns="http://schemas.microsoft.com/office/spreadsheetml/2009/9/main" objectType="CheckBox" fmlaLink="$AT$32" lockText="1" noThreeD="1"/>
</file>

<file path=xl/ctrlProps/ctrlProp122.xml><?xml version="1.0" encoding="utf-8"?>
<formControlPr xmlns="http://schemas.microsoft.com/office/spreadsheetml/2009/9/main" objectType="CheckBox" fmlaLink="$AT$33" lockText="1" noThreeD="1"/>
</file>

<file path=xl/ctrlProps/ctrlProp123.xml><?xml version="1.0" encoding="utf-8"?>
<formControlPr xmlns="http://schemas.microsoft.com/office/spreadsheetml/2009/9/main" objectType="CheckBox" fmlaLink="$AT$34" lockText="1" noThreeD="1"/>
</file>

<file path=xl/ctrlProps/ctrlProp124.xml><?xml version="1.0" encoding="utf-8"?>
<formControlPr xmlns="http://schemas.microsoft.com/office/spreadsheetml/2009/9/main" objectType="CheckBox" fmlaLink="$AT$36" lockText="1" noThreeD="1"/>
</file>

<file path=xl/ctrlProps/ctrlProp125.xml><?xml version="1.0" encoding="utf-8"?>
<formControlPr xmlns="http://schemas.microsoft.com/office/spreadsheetml/2009/9/main" objectType="CheckBox" fmlaLink="$AT$37" lockText="1" noThreeD="1"/>
</file>

<file path=xl/ctrlProps/ctrlProp126.xml><?xml version="1.0" encoding="utf-8"?>
<formControlPr xmlns="http://schemas.microsoft.com/office/spreadsheetml/2009/9/main" objectType="CheckBox" fmlaLink="$AT$38" lockText="1" noThreeD="1"/>
</file>

<file path=xl/ctrlProps/ctrlProp127.xml><?xml version="1.0" encoding="utf-8"?>
<formControlPr xmlns="http://schemas.microsoft.com/office/spreadsheetml/2009/9/main" objectType="CheckBox" fmlaLink="$AT$28" lockText="1" noThreeD="1"/>
</file>

<file path=xl/ctrlProps/ctrlProp128.xml><?xml version="1.0" encoding="utf-8"?>
<formControlPr xmlns="http://schemas.microsoft.com/office/spreadsheetml/2009/9/main" objectType="CheckBox" fmlaLink="$AT$24" lockText="1" noThreeD="1"/>
</file>

<file path=xl/ctrlProps/ctrlProp129.xml><?xml version="1.0" encoding="utf-8"?>
<formControlPr xmlns="http://schemas.microsoft.com/office/spreadsheetml/2009/9/main" objectType="CheckBox" fmlaLink="$AT$53" lockText="1" noThreeD="1"/>
</file>

<file path=xl/ctrlProps/ctrlProp13.xml><?xml version="1.0" encoding="utf-8"?>
<formControlPr xmlns="http://schemas.microsoft.com/office/spreadsheetml/2009/9/main" objectType="Radio" firstButton="1" fmlaLink="$AQ$17" lockText="1" noThreeD="1"/>
</file>

<file path=xl/ctrlProps/ctrlProp130.xml><?xml version="1.0" encoding="utf-8"?>
<formControlPr xmlns="http://schemas.microsoft.com/office/spreadsheetml/2009/9/main" objectType="CheckBox" fmlaLink="$AT$26" lockText="1" noThreeD="1"/>
</file>

<file path=xl/ctrlProps/ctrlProp131.xml><?xml version="1.0" encoding="utf-8"?>
<formControlPr xmlns="http://schemas.microsoft.com/office/spreadsheetml/2009/9/main" objectType="CheckBox" fmlaLink="$AT$27" lockText="1" noThreeD="1"/>
</file>

<file path=xl/ctrlProps/ctrlProp132.xml><?xml version="1.0" encoding="utf-8"?>
<formControlPr xmlns="http://schemas.microsoft.com/office/spreadsheetml/2009/9/main" objectType="CheckBox" fmlaLink="$AT$29" lockText="1" noThreeD="1"/>
</file>

<file path=xl/ctrlProps/ctrlProp133.xml><?xml version="1.0" encoding="utf-8"?>
<formControlPr xmlns="http://schemas.microsoft.com/office/spreadsheetml/2009/9/main" objectType="CheckBox" fmlaLink="$AT$43" lockText="1" noThreeD="1"/>
</file>

<file path=xl/ctrlProps/ctrlProp134.xml><?xml version="1.0" encoding="utf-8"?>
<formControlPr xmlns="http://schemas.microsoft.com/office/spreadsheetml/2009/9/main" objectType="CheckBox" fmlaLink="$AT$44" lockText="1" noThreeD="1"/>
</file>

<file path=xl/ctrlProps/ctrlProp135.xml><?xml version="1.0" encoding="utf-8"?>
<formControlPr xmlns="http://schemas.microsoft.com/office/spreadsheetml/2009/9/main" objectType="CheckBox" fmlaLink="$AT$45" lockText="1" noThreeD="1"/>
</file>

<file path=xl/ctrlProps/ctrlProp136.xml><?xml version="1.0" encoding="utf-8"?>
<formControlPr xmlns="http://schemas.microsoft.com/office/spreadsheetml/2009/9/main" objectType="CheckBox" fmlaLink="$AT$46" lockText="1" noThreeD="1"/>
</file>

<file path=xl/ctrlProps/ctrlProp137.xml><?xml version="1.0" encoding="utf-8"?>
<formControlPr xmlns="http://schemas.microsoft.com/office/spreadsheetml/2009/9/main" objectType="CheckBox" fmlaLink="$AT$31" lockText="1" noThreeD="1"/>
</file>

<file path=xl/ctrlProps/ctrlProp138.xml><?xml version="1.0" encoding="utf-8"?>
<formControlPr xmlns="http://schemas.microsoft.com/office/spreadsheetml/2009/9/main" objectType="CheckBox" fmlaLink="$AT$35" lockText="1" noThreeD="1"/>
</file>

<file path=xl/ctrlProps/ctrlProp139.xml><?xml version="1.0" encoding="utf-8"?>
<formControlPr xmlns="http://schemas.microsoft.com/office/spreadsheetml/2009/9/main" objectType="CheckBox" fmlaLink="$AT$4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AT$48" lockText="1" noThreeD="1"/>
</file>

<file path=xl/ctrlProps/ctrlProp141.xml><?xml version="1.0" encoding="utf-8"?>
<formControlPr xmlns="http://schemas.microsoft.com/office/spreadsheetml/2009/9/main" objectType="CheckBox" fmlaLink="$AT$49" lockText="1" noThreeD="1"/>
</file>

<file path=xl/ctrlProps/ctrlProp142.xml><?xml version="1.0" encoding="utf-8"?>
<formControlPr xmlns="http://schemas.microsoft.com/office/spreadsheetml/2009/9/main" objectType="CheckBox" fmlaLink="$AT$50" lockText="1" noThreeD="1"/>
</file>

<file path=xl/ctrlProps/ctrlProp143.xml><?xml version="1.0" encoding="utf-8"?>
<formControlPr xmlns="http://schemas.microsoft.com/office/spreadsheetml/2009/9/main" objectType="CheckBox" fmlaLink="$AT$51" lockText="1" noThreeD="1"/>
</file>

<file path=xl/ctrlProps/ctrlProp144.xml><?xml version="1.0" encoding="utf-8"?>
<formControlPr xmlns="http://schemas.microsoft.com/office/spreadsheetml/2009/9/main" objectType="CheckBox" fmlaLink="$AT$54" lockText="1" noThreeD="1"/>
</file>

<file path=xl/ctrlProps/ctrlProp145.xml><?xml version="1.0" encoding="utf-8"?>
<formControlPr xmlns="http://schemas.microsoft.com/office/spreadsheetml/2009/9/main" objectType="CheckBox" fmlaLink="$AT$52" lockText="1" noThreeD="1"/>
</file>

<file path=xl/ctrlProps/ctrlProp146.xml><?xml version="1.0" encoding="utf-8"?>
<formControlPr xmlns="http://schemas.microsoft.com/office/spreadsheetml/2009/9/main" objectType="CheckBox" fmlaLink="$AT$55" lockText="1" noThreeD="1"/>
</file>

<file path=xl/ctrlProps/ctrlProp147.xml><?xml version="1.0" encoding="utf-8"?>
<formControlPr xmlns="http://schemas.microsoft.com/office/spreadsheetml/2009/9/main" objectType="CheckBox" fmlaLink="$AT$57" lockText="1" noThreeD="1"/>
</file>

<file path=xl/ctrlProps/ctrlProp148.xml><?xml version="1.0" encoding="utf-8"?>
<formControlPr xmlns="http://schemas.microsoft.com/office/spreadsheetml/2009/9/main" objectType="CheckBox" fmlaLink="$AT$61" lockText="1" noThreeD="1"/>
</file>

<file path=xl/ctrlProps/ctrlProp149.xml><?xml version="1.0" encoding="utf-8"?>
<formControlPr xmlns="http://schemas.microsoft.com/office/spreadsheetml/2009/9/main" objectType="CheckBox" fmlaLink="$AT$63"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CheckBox" fmlaLink="$AT$64" lockText="1" noThreeD="1"/>
</file>

<file path=xl/ctrlProps/ctrlProp151.xml><?xml version="1.0" encoding="utf-8"?>
<formControlPr xmlns="http://schemas.microsoft.com/office/spreadsheetml/2009/9/main" objectType="CheckBox" fmlaLink="$AT$56" lockText="1" noThreeD="1"/>
</file>

<file path=xl/ctrlProps/ctrlProp152.xml><?xml version="1.0" encoding="utf-8"?>
<formControlPr xmlns="http://schemas.microsoft.com/office/spreadsheetml/2009/9/main" objectType="CheckBox" fmlaLink="$AT$68" lockText="1" noThreeD="1"/>
</file>

<file path=xl/ctrlProps/ctrlProp153.xml><?xml version="1.0" encoding="utf-8"?>
<formControlPr xmlns="http://schemas.microsoft.com/office/spreadsheetml/2009/9/main" objectType="CheckBox" fmlaLink="$AT$71" lockText="1" noThreeD="1"/>
</file>

<file path=xl/ctrlProps/ctrlProp154.xml><?xml version="1.0" encoding="utf-8"?>
<formControlPr xmlns="http://schemas.microsoft.com/office/spreadsheetml/2009/9/main" objectType="CheckBox" fmlaLink="$AT$72" lockText="1" noThreeD="1"/>
</file>

<file path=xl/ctrlProps/ctrlProp155.xml><?xml version="1.0" encoding="utf-8"?>
<formControlPr xmlns="http://schemas.microsoft.com/office/spreadsheetml/2009/9/main" objectType="CheckBox" fmlaLink="$AT$74" lockText="1" noThreeD="1"/>
</file>

<file path=xl/ctrlProps/ctrlProp156.xml><?xml version="1.0" encoding="utf-8"?>
<formControlPr xmlns="http://schemas.microsoft.com/office/spreadsheetml/2009/9/main" objectType="CheckBox" fmlaLink="$AT$86" lockText="1" noThreeD="1"/>
</file>

<file path=xl/ctrlProps/ctrlProp157.xml><?xml version="1.0" encoding="utf-8"?>
<formControlPr xmlns="http://schemas.microsoft.com/office/spreadsheetml/2009/9/main" objectType="CheckBox" fmlaLink="$AT$87" lockText="1" noThreeD="1"/>
</file>

<file path=xl/ctrlProps/ctrlProp158.xml><?xml version="1.0" encoding="utf-8"?>
<formControlPr xmlns="http://schemas.microsoft.com/office/spreadsheetml/2009/9/main" objectType="CheckBox" fmlaLink="$AT$88" lockText="1" noThreeD="1"/>
</file>

<file path=xl/ctrlProps/ctrlProp159.xml><?xml version="1.0" encoding="utf-8"?>
<formControlPr xmlns="http://schemas.microsoft.com/office/spreadsheetml/2009/9/main" objectType="CheckBox" fmlaLink="$AT$8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AT$91" lockText="1" noThreeD="1"/>
</file>

<file path=xl/ctrlProps/ctrlProp161.xml><?xml version="1.0" encoding="utf-8"?>
<formControlPr xmlns="http://schemas.microsoft.com/office/spreadsheetml/2009/9/main" objectType="CheckBox" fmlaLink="$AT$121" lockText="1" noThreeD="1"/>
</file>

<file path=xl/ctrlProps/ctrlProp162.xml><?xml version="1.0" encoding="utf-8"?>
<formControlPr xmlns="http://schemas.microsoft.com/office/spreadsheetml/2009/9/main" objectType="CheckBox" fmlaLink="$AT$77" lockText="1" noThreeD="1"/>
</file>

<file path=xl/ctrlProps/ctrlProp163.xml><?xml version="1.0" encoding="utf-8"?>
<formControlPr xmlns="http://schemas.microsoft.com/office/spreadsheetml/2009/9/main" objectType="CheckBox" fmlaLink="$AT$78" lockText="1" noThreeD="1"/>
</file>

<file path=xl/ctrlProps/ctrlProp164.xml><?xml version="1.0" encoding="utf-8"?>
<formControlPr xmlns="http://schemas.microsoft.com/office/spreadsheetml/2009/9/main" objectType="CheckBox" fmlaLink="$AT$79" lockText="1" noThreeD="1"/>
</file>

<file path=xl/ctrlProps/ctrlProp165.xml><?xml version="1.0" encoding="utf-8"?>
<formControlPr xmlns="http://schemas.microsoft.com/office/spreadsheetml/2009/9/main" objectType="CheckBox" fmlaLink="$AT$80" lockText="1" noThreeD="1"/>
</file>

<file path=xl/ctrlProps/ctrlProp166.xml><?xml version="1.0" encoding="utf-8"?>
<formControlPr xmlns="http://schemas.microsoft.com/office/spreadsheetml/2009/9/main" objectType="CheckBox" fmlaLink="$AT$81" lockText="1" noThreeD="1"/>
</file>

<file path=xl/ctrlProps/ctrlProp167.xml><?xml version="1.0" encoding="utf-8"?>
<formControlPr xmlns="http://schemas.microsoft.com/office/spreadsheetml/2009/9/main" objectType="CheckBox" fmlaLink="$AT$82" lockText="1" noThreeD="1"/>
</file>

<file path=xl/ctrlProps/ctrlProp168.xml><?xml version="1.0" encoding="utf-8"?>
<formControlPr xmlns="http://schemas.microsoft.com/office/spreadsheetml/2009/9/main" objectType="CheckBox" fmlaLink="$AT$83" lockText="1" noThreeD="1"/>
</file>

<file path=xl/ctrlProps/ctrlProp169.xml><?xml version="1.0" encoding="utf-8"?>
<formControlPr xmlns="http://schemas.microsoft.com/office/spreadsheetml/2009/9/main" objectType="CheckBox" fmlaLink="$AT$84" lockText="1" noThreeD="1"/>
</file>

<file path=xl/ctrlProps/ctrlProp17.xml><?xml version="1.0" encoding="utf-8"?>
<formControlPr xmlns="http://schemas.microsoft.com/office/spreadsheetml/2009/9/main" objectType="Radio" firstButton="1" fmlaLink="$AQ$30" lockText="1" noThreeD="1"/>
</file>

<file path=xl/ctrlProps/ctrlProp170.xml><?xml version="1.0" encoding="utf-8"?>
<formControlPr xmlns="http://schemas.microsoft.com/office/spreadsheetml/2009/9/main" objectType="CheckBox" fmlaLink="$AT$85" lockText="1" noThreeD="1"/>
</file>

<file path=xl/ctrlProps/ctrlProp171.xml><?xml version="1.0" encoding="utf-8"?>
<formControlPr xmlns="http://schemas.microsoft.com/office/spreadsheetml/2009/9/main" objectType="CheckBox" fmlaLink="$AT$126" lockText="1" noThreeD="1"/>
</file>

<file path=xl/ctrlProps/ctrlProp172.xml><?xml version="1.0" encoding="utf-8"?>
<formControlPr xmlns="http://schemas.microsoft.com/office/spreadsheetml/2009/9/main" objectType="CheckBox" fmlaLink="$AT$127" lockText="1" noThreeD="1"/>
</file>

<file path=xl/ctrlProps/ctrlProp173.xml><?xml version="1.0" encoding="utf-8"?>
<formControlPr xmlns="http://schemas.microsoft.com/office/spreadsheetml/2009/9/main" objectType="CheckBox" fmlaLink="$AT$129" lockText="1" noThreeD="1"/>
</file>

<file path=xl/ctrlProps/ctrlProp174.xml><?xml version="1.0" encoding="utf-8"?>
<formControlPr xmlns="http://schemas.microsoft.com/office/spreadsheetml/2009/9/main" objectType="CheckBox" fmlaLink="$AT$134" lockText="1" noThreeD="1"/>
</file>

<file path=xl/ctrlProps/ctrlProp175.xml><?xml version="1.0" encoding="utf-8"?>
<formControlPr xmlns="http://schemas.microsoft.com/office/spreadsheetml/2009/9/main" objectType="CheckBox" fmlaLink="$AT$135" lockText="1" noThreeD="1"/>
</file>

<file path=xl/ctrlProps/ctrlProp176.xml><?xml version="1.0" encoding="utf-8"?>
<formControlPr xmlns="http://schemas.microsoft.com/office/spreadsheetml/2009/9/main" objectType="CheckBox" fmlaLink="$AT$130" lockText="1" noThreeD="1"/>
</file>

<file path=xl/ctrlProps/ctrlProp177.xml><?xml version="1.0" encoding="utf-8"?>
<formControlPr xmlns="http://schemas.microsoft.com/office/spreadsheetml/2009/9/main" objectType="CheckBox" fmlaLink="$AT$140" lockText="1" noThreeD="1"/>
</file>

<file path=xl/ctrlProps/ctrlProp178.xml><?xml version="1.0" encoding="utf-8"?>
<formControlPr xmlns="http://schemas.microsoft.com/office/spreadsheetml/2009/9/main" objectType="CheckBox" fmlaLink="$AT$141" lockText="1" noThreeD="1"/>
</file>

<file path=xl/ctrlProps/ctrlProp179.xml><?xml version="1.0" encoding="utf-8"?>
<formControlPr xmlns="http://schemas.microsoft.com/office/spreadsheetml/2009/9/main" objectType="CheckBox" fmlaLink="$AT$143"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AT$144" lockText="1" noThreeD="1"/>
</file>

<file path=xl/ctrlProps/ctrlProp181.xml><?xml version="1.0" encoding="utf-8"?>
<formControlPr xmlns="http://schemas.microsoft.com/office/spreadsheetml/2009/9/main" objectType="CheckBox" fmlaLink="$AT$155" lockText="1" noThreeD="1"/>
</file>

<file path=xl/ctrlProps/ctrlProp182.xml><?xml version="1.0" encoding="utf-8"?>
<formControlPr xmlns="http://schemas.microsoft.com/office/spreadsheetml/2009/9/main" objectType="CheckBox" fmlaLink="$AT$156" lockText="1" noThreeD="1"/>
</file>

<file path=xl/ctrlProps/ctrlProp183.xml><?xml version="1.0" encoding="utf-8"?>
<formControlPr xmlns="http://schemas.microsoft.com/office/spreadsheetml/2009/9/main" objectType="CheckBox" fmlaLink="$AT$157" lockText="1" noThreeD="1"/>
</file>

<file path=xl/ctrlProps/ctrlProp184.xml><?xml version="1.0" encoding="utf-8"?>
<formControlPr xmlns="http://schemas.microsoft.com/office/spreadsheetml/2009/9/main" objectType="CheckBox" fmlaLink="$AT$158" lockText="1" noThreeD="1"/>
</file>

<file path=xl/ctrlProps/ctrlProp185.xml><?xml version="1.0" encoding="utf-8"?>
<formControlPr xmlns="http://schemas.microsoft.com/office/spreadsheetml/2009/9/main" objectType="CheckBox" fmlaLink="$AT$159" lockText="1" noThreeD="1"/>
</file>

<file path=xl/ctrlProps/ctrlProp186.xml><?xml version="1.0" encoding="utf-8"?>
<formControlPr xmlns="http://schemas.microsoft.com/office/spreadsheetml/2009/9/main" objectType="CheckBox" fmlaLink="$AT$148" lockText="1" noThreeD="1"/>
</file>

<file path=xl/ctrlProps/ctrlProp187.xml><?xml version="1.0" encoding="utf-8"?>
<formControlPr xmlns="http://schemas.microsoft.com/office/spreadsheetml/2009/9/main" objectType="CheckBox" fmlaLink="$AT$149" lockText="1" noThreeD="1"/>
</file>

<file path=xl/ctrlProps/ctrlProp188.xml><?xml version="1.0" encoding="utf-8"?>
<formControlPr xmlns="http://schemas.microsoft.com/office/spreadsheetml/2009/9/main" objectType="CheckBox" fmlaLink="$AT$150" lockText="1" noThreeD="1"/>
</file>

<file path=xl/ctrlProps/ctrlProp189.xml><?xml version="1.0" encoding="utf-8"?>
<formControlPr xmlns="http://schemas.microsoft.com/office/spreadsheetml/2009/9/main" objectType="CheckBox" fmlaLink="$AT$15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Q$3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AQ$36" lockText="1" noThreeD="1"/>
</file>

<file path=xl/ctrlProps/ctrlProp26.xml><?xml version="1.0" encoding="utf-8"?>
<formControlPr xmlns="http://schemas.microsoft.com/office/spreadsheetml/2009/9/main" objectType="Radio" firstButton="1" fmlaLink="$AQ$24"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Q$2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Q$26"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Q$27"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Q$3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AQ$49"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Q$5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Q$5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AQ$52"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Q$56"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AQ$12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Q$130"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AQ$143"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AQ$155"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7.png"/><Relationship Id="rId18" Type="http://schemas.openxmlformats.org/officeDocument/2006/relationships/image" Target="../media/image12.png"/><Relationship Id="rId26" Type="http://schemas.openxmlformats.org/officeDocument/2006/relationships/image" Target="../media/image20.png"/><Relationship Id="rId3" Type="http://schemas.openxmlformats.org/officeDocument/2006/relationships/chart" Target="../charts/chart3.xml"/><Relationship Id="rId21" Type="http://schemas.openxmlformats.org/officeDocument/2006/relationships/image" Target="../media/image15.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11.png"/><Relationship Id="rId25" Type="http://schemas.openxmlformats.org/officeDocument/2006/relationships/image" Target="../media/image19.png"/><Relationship Id="rId2" Type="http://schemas.openxmlformats.org/officeDocument/2006/relationships/chart" Target="../charts/chart2.xml"/><Relationship Id="rId16" Type="http://schemas.openxmlformats.org/officeDocument/2006/relationships/image" Target="../media/image10.png"/><Relationship Id="rId20" Type="http://schemas.openxmlformats.org/officeDocument/2006/relationships/image" Target="../media/image14.png"/><Relationship Id="rId29"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18.png"/><Relationship Id="rId5" Type="http://schemas.openxmlformats.org/officeDocument/2006/relationships/chart" Target="../charts/chart5.xml"/><Relationship Id="rId15" Type="http://schemas.openxmlformats.org/officeDocument/2006/relationships/image" Target="../media/image9.png"/><Relationship Id="rId23" Type="http://schemas.openxmlformats.org/officeDocument/2006/relationships/image" Target="../media/image17.png"/><Relationship Id="rId28"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image" Target="../media/image13.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8.png"/><Relationship Id="rId22" Type="http://schemas.openxmlformats.org/officeDocument/2006/relationships/image" Target="../media/image16.png"/><Relationship Id="rId27" Type="http://schemas.openxmlformats.org/officeDocument/2006/relationships/chart" Target="../charts/chart1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image" Target="../media/image22.png"/><Relationship Id="rId18" Type="http://schemas.openxmlformats.org/officeDocument/2006/relationships/image" Target="../media/image24.png"/><Relationship Id="rId26" Type="http://schemas.openxmlformats.org/officeDocument/2006/relationships/chart" Target="../charts/chart27.xml"/><Relationship Id="rId3" Type="http://schemas.openxmlformats.org/officeDocument/2006/relationships/chart" Target="../charts/chart18.xml"/><Relationship Id="rId21" Type="http://schemas.openxmlformats.org/officeDocument/2006/relationships/image" Target="../media/image25.png"/><Relationship Id="rId7" Type="http://schemas.openxmlformats.org/officeDocument/2006/relationships/chart" Target="../charts/chart22.xml"/><Relationship Id="rId12" Type="http://schemas.openxmlformats.org/officeDocument/2006/relationships/image" Target="../media/image7.png"/><Relationship Id="rId17" Type="http://schemas.openxmlformats.org/officeDocument/2006/relationships/image" Target="../media/image12.png"/><Relationship Id="rId25" Type="http://schemas.openxmlformats.org/officeDocument/2006/relationships/image" Target="../media/image20.png"/><Relationship Id="rId2" Type="http://schemas.openxmlformats.org/officeDocument/2006/relationships/chart" Target="../charts/chart17.xml"/><Relationship Id="rId16" Type="http://schemas.openxmlformats.org/officeDocument/2006/relationships/image" Target="../media/image23.png"/><Relationship Id="rId20" Type="http://schemas.openxmlformats.org/officeDocument/2006/relationships/image" Target="../media/image15.png"/><Relationship Id="rId1" Type="http://schemas.openxmlformats.org/officeDocument/2006/relationships/chart" Target="../charts/chart16.xml"/><Relationship Id="rId6" Type="http://schemas.openxmlformats.org/officeDocument/2006/relationships/chart" Target="../charts/chart21.xml"/><Relationship Id="rId11" Type="http://schemas.openxmlformats.org/officeDocument/2006/relationships/chart" Target="../charts/chart26.xml"/><Relationship Id="rId24" Type="http://schemas.openxmlformats.org/officeDocument/2006/relationships/image" Target="../media/image19.png"/><Relationship Id="rId5" Type="http://schemas.openxmlformats.org/officeDocument/2006/relationships/chart" Target="../charts/chart20.xml"/><Relationship Id="rId15" Type="http://schemas.openxmlformats.org/officeDocument/2006/relationships/image" Target="../media/image10.png"/><Relationship Id="rId23" Type="http://schemas.openxmlformats.org/officeDocument/2006/relationships/image" Target="../media/image18.png"/><Relationship Id="rId28" Type="http://schemas.openxmlformats.org/officeDocument/2006/relationships/chart" Target="../charts/chart29.xml"/><Relationship Id="rId10" Type="http://schemas.openxmlformats.org/officeDocument/2006/relationships/chart" Target="../charts/chart25.xml"/><Relationship Id="rId19" Type="http://schemas.openxmlformats.org/officeDocument/2006/relationships/image" Target="../media/image14.png"/><Relationship Id="rId4" Type="http://schemas.openxmlformats.org/officeDocument/2006/relationships/chart" Target="../charts/chart19.xml"/><Relationship Id="rId9" Type="http://schemas.openxmlformats.org/officeDocument/2006/relationships/chart" Target="../charts/chart24.xml"/><Relationship Id="rId14" Type="http://schemas.openxmlformats.org/officeDocument/2006/relationships/image" Target="../media/image9.png"/><Relationship Id="rId22" Type="http://schemas.openxmlformats.org/officeDocument/2006/relationships/image" Target="../media/image17.png"/><Relationship Id="rId27"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2.xml"/><Relationship Id="rId7" Type="http://schemas.openxmlformats.org/officeDocument/2006/relationships/image" Target="../media/image20.png"/><Relationship Id="rId12" Type="http://schemas.openxmlformats.org/officeDocument/2006/relationships/image" Target="../media/image19.png"/><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39.xml"/><Relationship Id="rId5" Type="http://schemas.openxmlformats.org/officeDocument/2006/relationships/chart" Target="../charts/chart34.xml"/><Relationship Id="rId10" Type="http://schemas.openxmlformats.org/officeDocument/2006/relationships/chart" Target="../charts/chart38.xml"/><Relationship Id="rId4" Type="http://schemas.openxmlformats.org/officeDocument/2006/relationships/chart" Target="../charts/chart33.xml"/><Relationship Id="rId9"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image" Target="../media/image22.png"/><Relationship Id="rId18" Type="http://schemas.openxmlformats.org/officeDocument/2006/relationships/image" Target="../media/image33.png"/><Relationship Id="rId26" Type="http://schemas.openxmlformats.org/officeDocument/2006/relationships/chart" Target="../charts/chart51.xml"/><Relationship Id="rId3" Type="http://schemas.openxmlformats.org/officeDocument/2006/relationships/chart" Target="../charts/chart42.xml"/><Relationship Id="rId21" Type="http://schemas.openxmlformats.org/officeDocument/2006/relationships/image" Target="../media/image36.png"/><Relationship Id="rId7" Type="http://schemas.openxmlformats.org/officeDocument/2006/relationships/chart" Target="../charts/chart46.xml"/><Relationship Id="rId12" Type="http://schemas.openxmlformats.org/officeDocument/2006/relationships/image" Target="../media/image28.png"/><Relationship Id="rId17" Type="http://schemas.openxmlformats.org/officeDocument/2006/relationships/image" Target="../media/image32.png"/><Relationship Id="rId25" Type="http://schemas.openxmlformats.org/officeDocument/2006/relationships/image" Target="../media/image20.png"/><Relationship Id="rId2" Type="http://schemas.openxmlformats.org/officeDocument/2006/relationships/chart" Target="../charts/chart41.xml"/><Relationship Id="rId16" Type="http://schemas.openxmlformats.org/officeDocument/2006/relationships/image" Target="../media/image31.png"/><Relationship Id="rId20" Type="http://schemas.openxmlformats.org/officeDocument/2006/relationships/image" Target="../media/image35.png"/><Relationship Id="rId1" Type="http://schemas.openxmlformats.org/officeDocument/2006/relationships/chart" Target="../charts/chart40.xml"/><Relationship Id="rId6" Type="http://schemas.openxmlformats.org/officeDocument/2006/relationships/chart" Target="../charts/chart45.xml"/><Relationship Id="rId11" Type="http://schemas.openxmlformats.org/officeDocument/2006/relationships/chart" Target="../charts/chart50.xml"/><Relationship Id="rId24" Type="http://schemas.openxmlformats.org/officeDocument/2006/relationships/image" Target="../media/image19.png"/><Relationship Id="rId5" Type="http://schemas.openxmlformats.org/officeDocument/2006/relationships/chart" Target="../charts/chart44.xml"/><Relationship Id="rId15" Type="http://schemas.openxmlformats.org/officeDocument/2006/relationships/image" Target="../media/image30.png"/><Relationship Id="rId23" Type="http://schemas.openxmlformats.org/officeDocument/2006/relationships/image" Target="../media/image38.png"/><Relationship Id="rId28" Type="http://schemas.openxmlformats.org/officeDocument/2006/relationships/image" Target="../media/image39.png"/><Relationship Id="rId10" Type="http://schemas.openxmlformats.org/officeDocument/2006/relationships/chart" Target="../charts/chart49.xml"/><Relationship Id="rId19" Type="http://schemas.openxmlformats.org/officeDocument/2006/relationships/image" Target="../media/image34.png"/><Relationship Id="rId4" Type="http://schemas.openxmlformats.org/officeDocument/2006/relationships/chart" Target="../charts/chart43.xml"/><Relationship Id="rId9" Type="http://schemas.openxmlformats.org/officeDocument/2006/relationships/chart" Target="../charts/chart48.xml"/><Relationship Id="rId14" Type="http://schemas.openxmlformats.org/officeDocument/2006/relationships/image" Target="../media/image29.png"/><Relationship Id="rId22" Type="http://schemas.openxmlformats.org/officeDocument/2006/relationships/image" Target="../media/image37.png"/><Relationship Id="rId27" Type="http://schemas.openxmlformats.org/officeDocument/2006/relationships/chart" Target="../charts/chart52.xml"/></Relationships>
</file>

<file path=xl/drawings/_rels/drawing32.xml.rels><?xml version="1.0" encoding="UTF-8" standalone="yes"?>
<Relationships xmlns="http://schemas.openxmlformats.org/package/2006/relationships"><Relationship Id="rId8" Type="http://schemas.openxmlformats.org/officeDocument/2006/relationships/image" Target="../media/image47.png"/><Relationship Id="rId13" Type="http://schemas.openxmlformats.org/officeDocument/2006/relationships/image" Target="../media/image52.png"/><Relationship Id="rId3" Type="http://schemas.openxmlformats.org/officeDocument/2006/relationships/image" Target="../media/image42.png"/><Relationship Id="rId7" Type="http://schemas.openxmlformats.org/officeDocument/2006/relationships/image" Target="../media/image46.png"/><Relationship Id="rId12" Type="http://schemas.openxmlformats.org/officeDocument/2006/relationships/image" Target="../media/image51.png"/><Relationship Id="rId17" Type="http://schemas.openxmlformats.org/officeDocument/2006/relationships/image" Target="../media/image56.png"/><Relationship Id="rId2" Type="http://schemas.openxmlformats.org/officeDocument/2006/relationships/image" Target="../media/image41.png"/><Relationship Id="rId16" Type="http://schemas.openxmlformats.org/officeDocument/2006/relationships/image" Target="../media/image55.png"/><Relationship Id="rId1" Type="http://schemas.openxmlformats.org/officeDocument/2006/relationships/image" Target="../media/image40.png"/><Relationship Id="rId6" Type="http://schemas.openxmlformats.org/officeDocument/2006/relationships/image" Target="../media/image45.png"/><Relationship Id="rId11" Type="http://schemas.openxmlformats.org/officeDocument/2006/relationships/image" Target="../media/image50.png"/><Relationship Id="rId5" Type="http://schemas.openxmlformats.org/officeDocument/2006/relationships/image" Target="../media/image44.png"/><Relationship Id="rId15" Type="http://schemas.openxmlformats.org/officeDocument/2006/relationships/image" Target="../media/image54.png"/><Relationship Id="rId10" Type="http://schemas.openxmlformats.org/officeDocument/2006/relationships/image" Target="../media/image49.png"/><Relationship Id="rId4" Type="http://schemas.openxmlformats.org/officeDocument/2006/relationships/image" Target="../media/image43.png"/><Relationship Id="rId9" Type="http://schemas.openxmlformats.org/officeDocument/2006/relationships/image" Target="../media/image48.png"/><Relationship Id="rId14"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editAs="absolute">
    <xdr:from>
      <xdr:col>12</xdr:col>
      <xdr:colOff>1531</xdr:colOff>
      <xdr:row>26</xdr:row>
      <xdr:rowOff>20769</xdr:rowOff>
    </xdr:from>
    <xdr:to>
      <xdr:col>16</xdr:col>
      <xdr:colOff>708</xdr:colOff>
      <xdr:row>38</xdr:row>
      <xdr:rowOff>132419</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512403</xdr:colOff>
      <xdr:row>26</xdr:row>
      <xdr:rowOff>94419</xdr:rowOff>
    </xdr:from>
    <xdr:to>
      <xdr:col>16</xdr:col>
      <xdr:colOff>16735</xdr:colOff>
      <xdr:row>27</xdr:row>
      <xdr:rowOff>131314</xdr:rowOff>
    </xdr:to>
    <xdr:sp macro="" textlink="$AD$30">
      <xdr:nvSpPr>
        <xdr:cNvPr id="3" name="テキスト ボックス 2">
          <a:extLst>
            <a:ext uri="{FF2B5EF4-FFF2-40B4-BE49-F238E27FC236}">
              <a16:creationId xmlns:a16="http://schemas.microsoft.com/office/drawing/2014/main" id="{00000000-0008-0000-0000-000003000000}"/>
            </a:ext>
          </a:extLst>
        </xdr:cNvPr>
        <xdr:cNvSpPr txBox="1"/>
      </xdr:nvSpPr>
      <xdr:spPr>
        <a:xfrm>
          <a:off x="8966793" y="4656894"/>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630555</xdr:colOff>
      <xdr:row>22</xdr:row>
      <xdr:rowOff>133350</xdr:rowOff>
    </xdr:from>
    <xdr:to>
      <xdr:col>7</xdr:col>
      <xdr:colOff>7620</xdr:colOff>
      <xdr:row>26</xdr:row>
      <xdr:rowOff>144780</xdr:rowOff>
    </xdr:to>
    <xdr:graphicFrame macro="">
      <xdr:nvGraphicFramePr>
        <xdr:cNvPr id="4" name="Chart 12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30480</xdr:colOff>
      <xdr:row>23</xdr:row>
      <xdr:rowOff>152400</xdr:rowOff>
    </xdr:from>
    <xdr:ext cx="560410" cy="219419"/>
    <xdr:sp macro="" textlink="">
      <xdr:nvSpPr>
        <xdr:cNvPr id="5" name="Text Box 39">
          <a:extLst>
            <a:ext uri="{FF2B5EF4-FFF2-40B4-BE49-F238E27FC236}">
              <a16:creationId xmlns:a16="http://schemas.microsoft.com/office/drawing/2014/main" id="{00000000-0008-0000-0000-000005000000}"/>
            </a:ext>
          </a:extLst>
        </xdr:cNvPr>
        <xdr:cNvSpPr txBox="1">
          <a:spLocks noChangeArrowheads="1"/>
        </xdr:cNvSpPr>
      </xdr:nvSpPr>
      <xdr:spPr bwMode="auto">
        <a:xfrm>
          <a:off x="28575" y="4191000"/>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28575</xdr:colOff>
      <xdr:row>25</xdr:row>
      <xdr:rowOff>163830</xdr:rowOff>
    </xdr:from>
    <xdr:to>
      <xdr:col>7</xdr:col>
      <xdr:colOff>142875</xdr:colOff>
      <xdr:row>27</xdr:row>
      <xdr:rowOff>28575</xdr:rowOff>
    </xdr:to>
    <xdr:sp macro="" textlink="">
      <xdr:nvSpPr>
        <xdr:cNvPr id="6" name="Text Box 129">
          <a:extLst>
            <a:ext uri="{FF2B5EF4-FFF2-40B4-BE49-F238E27FC236}">
              <a16:creationId xmlns:a16="http://schemas.microsoft.com/office/drawing/2014/main" id="{00000000-0008-0000-0000-000006000000}"/>
            </a:ext>
          </a:extLst>
        </xdr:cNvPr>
        <xdr:cNvSpPr txBox="1">
          <a:spLocks noChangeArrowheads="1"/>
        </xdr:cNvSpPr>
      </xdr:nvSpPr>
      <xdr:spPr bwMode="auto">
        <a:xfrm>
          <a:off x="83820" y="4549140"/>
          <a:ext cx="3276600" cy="22098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20955</xdr:colOff>
      <xdr:row>26</xdr:row>
      <xdr:rowOff>0</xdr:rowOff>
    </xdr:from>
    <xdr:to>
      <xdr:col>11</xdr:col>
      <xdr:colOff>97155</xdr:colOff>
      <xdr:row>27</xdr:row>
      <xdr:rowOff>26670</xdr:rowOff>
    </xdr:to>
    <xdr:sp macro="" textlink="">
      <xdr:nvSpPr>
        <xdr:cNvPr id="7" name="Text Box 129">
          <a:extLst>
            <a:ext uri="{FF2B5EF4-FFF2-40B4-BE49-F238E27FC236}">
              <a16:creationId xmlns:a16="http://schemas.microsoft.com/office/drawing/2014/main" id="{00000000-0008-0000-0000-000007000000}"/>
            </a:ext>
          </a:extLst>
        </xdr:cNvPr>
        <xdr:cNvSpPr txBox="1">
          <a:spLocks noChangeArrowheads="1"/>
        </xdr:cNvSpPr>
      </xdr:nvSpPr>
      <xdr:spPr bwMode="auto">
        <a:xfrm>
          <a:off x="3236595" y="4552950"/>
          <a:ext cx="3095625" cy="21526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358140</xdr:colOff>
      <xdr:row>22</xdr:row>
      <xdr:rowOff>123825</xdr:rowOff>
    </xdr:from>
    <xdr:to>
      <xdr:col>10</xdr:col>
      <xdr:colOff>558165</xdr:colOff>
      <xdr:row>26</xdr:row>
      <xdr:rowOff>167640</xdr:rowOff>
    </xdr:to>
    <xdr:graphicFrame macro="">
      <xdr:nvGraphicFramePr>
        <xdr:cNvPr id="8" name="Chart 12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93345</xdr:colOff>
      <xdr:row>26</xdr:row>
      <xdr:rowOff>152400</xdr:rowOff>
    </xdr:from>
    <xdr:to>
      <xdr:col>6</xdr:col>
      <xdr:colOff>15240</xdr:colOff>
      <xdr:row>39</xdr:row>
      <xdr:rowOff>76200</xdr:rowOff>
    </xdr:to>
    <xdr:graphicFrame macro="">
      <xdr:nvGraphicFramePr>
        <xdr:cNvPr id="9" name="Chart 17">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10" name="Chart 130">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11" name="Text Box 131">
          <a:extLst>
            <a:ext uri="{FF2B5EF4-FFF2-40B4-BE49-F238E27FC236}">
              <a16:creationId xmlns:a16="http://schemas.microsoft.com/office/drawing/2014/main" id="{00000000-0008-0000-0000-00000B000000}"/>
            </a:ext>
          </a:extLst>
        </xdr:cNvPr>
        <xdr:cNvSpPr txBox="1">
          <a:spLocks noChangeArrowheads="1"/>
        </xdr:cNvSpPr>
      </xdr:nvSpPr>
      <xdr:spPr bwMode="auto">
        <a:xfrm>
          <a:off x="3219450" y="4972050"/>
          <a:ext cx="1101090"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12" name="Text Box 46">
          <a:extLst>
            <a:ext uri="{FF2B5EF4-FFF2-40B4-BE49-F238E27FC236}">
              <a16:creationId xmlns:a16="http://schemas.microsoft.com/office/drawing/2014/main" id="{00000000-0008-0000-0000-00000C000000}"/>
            </a:ext>
          </a:extLst>
        </xdr:cNvPr>
        <xdr:cNvSpPr txBox="1">
          <a:spLocks noChangeArrowheads="1"/>
        </xdr:cNvSpPr>
      </xdr:nvSpPr>
      <xdr:spPr bwMode="auto">
        <a:xfrm>
          <a:off x="3217545" y="5288280"/>
          <a:ext cx="117538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13" name="Text Box 47">
          <a:extLst>
            <a:ext uri="{FF2B5EF4-FFF2-40B4-BE49-F238E27FC236}">
              <a16:creationId xmlns:a16="http://schemas.microsoft.com/office/drawing/2014/main" id="{00000000-0008-0000-0000-00000D000000}"/>
            </a:ext>
          </a:extLst>
        </xdr:cNvPr>
        <xdr:cNvSpPr txBox="1">
          <a:spLocks noChangeArrowheads="1"/>
        </xdr:cNvSpPr>
      </xdr:nvSpPr>
      <xdr:spPr bwMode="auto">
        <a:xfrm>
          <a:off x="3217545" y="5554980"/>
          <a:ext cx="1175385" cy="29337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14" name="Text Box 49">
          <a:extLst>
            <a:ext uri="{FF2B5EF4-FFF2-40B4-BE49-F238E27FC236}">
              <a16:creationId xmlns:a16="http://schemas.microsoft.com/office/drawing/2014/main" id="{00000000-0008-0000-0000-00000E000000}"/>
            </a:ext>
          </a:extLst>
        </xdr:cNvPr>
        <xdr:cNvSpPr txBox="1">
          <a:spLocks noChangeArrowheads="1"/>
        </xdr:cNvSpPr>
      </xdr:nvSpPr>
      <xdr:spPr bwMode="auto">
        <a:xfrm>
          <a:off x="3217545" y="5875020"/>
          <a:ext cx="1175385" cy="29337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10</xdr:col>
      <xdr:colOff>220980</xdr:colOff>
      <xdr:row>35</xdr:row>
      <xdr:rowOff>91440</xdr:rowOff>
    </xdr:from>
    <xdr:to>
      <xdr:col>11</xdr:col>
      <xdr:colOff>268605</xdr:colOff>
      <xdr:row>36</xdr:row>
      <xdr:rowOff>110490</xdr:rowOff>
    </xdr:to>
    <xdr:sp macro="" textlink="">
      <xdr:nvSpPr>
        <xdr:cNvPr id="15" name="Text Box 45">
          <a:extLst>
            <a:ext uri="{FF2B5EF4-FFF2-40B4-BE49-F238E27FC236}">
              <a16:creationId xmlns:a16="http://schemas.microsoft.com/office/drawing/2014/main" id="{00000000-0008-0000-0000-00000F000000}"/>
            </a:ext>
          </a:extLst>
        </xdr:cNvPr>
        <xdr:cNvSpPr txBox="1">
          <a:spLocks noChangeArrowheads="1"/>
        </xdr:cNvSpPr>
      </xdr:nvSpPr>
      <xdr:spPr bwMode="auto">
        <a:xfrm>
          <a:off x="5638800" y="6362700"/>
          <a:ext cx="868680" cy="20574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xdr:from>
      <xdr:col>1</xdr:col>
      <xdr:colOff>57149</xdr:colOff>
      <xdr:row>42</xdr:row>
      <xdr:rowOff>137160</xdr:rowOff>
    </xdr:from>
    <xdr:to>
      <xdr:col>4</xdr:col>
      <xdr:colOff>434340</xdr:colOff>
      <xdr:row>51</xdr:row>
      <xdr:rowOff>22860</xdr:rowOff>
    </xdr:to>
    <xdr:graphicFrame macro="">
      <xdr:nvGraphicFramePr>
        <xdr:cNvPr id="16" name="Chart 4">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426720</xdr:colOff>
      <xdr:row>42</xdr:row>
      <xdr:rowOff>142876</xdr:rowOff>
    </xdr:from>
    <xdr:to>
      <xdr:col>9</xdr:col>
      <xdr:colOff>373381</xdr:colOff>
      <xdr:row>51</xdr:row>
      <xdr:rowOff>64770</xdr:rowOff>
    </xdr:to>
    <xdr:graphicFrame macro="">
      <xdr:nvGraphicFramePr>
        <xdr:cNvPr id="17" name="Chart 1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390524</xdr:colOff>
      <xdr:row>42</xdr:row>
      <xdr:rowOff>163830</xdr:rowOff>
    </xdr:from>
    <xdr:to>
      <xdr:col>11</xdr:col>
      <xdr:colOff>784860</xdr:colOff>
      <xdr:row>51</xdr:row>
      <xdr:rowOff>34290</xdr:rowOff>
    </xdr:to>
    <xdr:graphicFrame macro="">
      <xdr:nvGraphicFramePr>
        <xdr:cNvPr id="18" name="Chart 1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47625</xdr:colOff>
      <xdr:row>53</xdr:row>
      <xdr:rowOff>125730</xdr:rowOff>
    </xdr:from>
    <xdr:to>
      <xdr:col>5</xdr:col>
      <xdr:colOff>213360</xdr:colOff>
      <xdr:row>61</xdr:row>
      <xdr:rowOff>182879</xdr:rowOff>
    </xdr:to>
    <xdr:graphicFrame macro="">
      <xdr:nvGraphicFramePr>
        <xdr:cNvPr id="19" name="Chart 4">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318135</xdr:colOff>
      <xdr:row>53</xdr:row>
      <xdr:rowOff>139065</xdr:rowOff>
    </xdr:from>
    <xdr:to>
      <xdr:col>9</xdr:col>
      <xdr:colOff>201930</xdr:colOff>
      <xdr:row>61</xdr:row>
      <xdr:rowOff>135255</xdr:rowOff>
    </xdr:to>
    <xdr:graphicFrame macro="">
      <xdr:nvGraphicFramePr>
        <xdr:cNvPr id="20" name="Chart 15">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251459</xdr:colOff>
      <xdr:row>54</xdr:row>
      <xdr:rowOff>1905</xdr:rowOff>
    </xdr:from>
    <xdr:to>
      <xdr:col>11</xdr:col>
      <xdr:colOff>796290</xdr:colOff>
      <xdr:row>62</xdr:row>
      <xdr:rowOff>7620</xdr:rowOff>
    </xdr:to>
    <xdr:graphicFrame macro="">
      <xdr:nvGraphicFramePr>
        <xdr:cNvPr id="21" name="Chart 15">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10</xdr:col>
      <xdr:colOff>47625</xdr:colOff>
      <xdr:row>41</xdr:row>
      <xdr:rowOff>186690</xdr:rowOff>
    </xdr:from>
    <xdr:ext cx="1034001" cy="201850"/>
    <xdr:sp macro="" textlink="">
      <xdr:nvSpPr>
        <xdr:cNvPr id="22" name="Text Box 135">
          <a:extLst>
            <a:ext uri="{FF2B5EF4-FFF2-40B4-BE49-F238E27FC236}">
              <a16:creationId xmlns:a16="http://schemas.microsoft.com/office/drawing/2014/main" id="{00000000-0008-0000-0000-000016000000}"/>
            </a:ext>
          </a:extLst>
        </xdr:cNvPr>
        <xdr:cNvSpPr txBox="1">
          <a:spLocks noChangeArrowheads="1"/>
        </xdr:cNvSpPr>
      </xdr:nvSpPr>
      <xdr:spPr bwMode="auto">
        <a:xfrm>
          <a:off x="5469255" y="7597140"/>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344805</xdr:colOff>
      <xdr:row>41</xdr:row>
      <xdr:rowOff>169545</xdr:rowOff>
    </xdr:from>
    <xdr:ext cx="1034001" cy="201850"/>
    <xdr:sp macro="" textlink="">
      <xdr:nvSpPr>
        <xdr:cNvPr id="23" name="Text Box 138">
          <a:extLst>
            <a:ext uri="{FF2B5EF4-FFF2-40B4-BE49-F238E27FC236}">
              <a16:creationId xmlns:a16="http://schemas.microsoft.com/office/drawing/2014/main" id="{00000000-0008-0000-0000-000017000000}"/>
            </a:ext>
          </a:extLst>
        </xdr:cNvPr>
        <xdr:cNvSpPr txBox="1">
          <a:spLocks noChangeArrowheads="1"/>
        </xdr:cNvSpPr>
      </xdr:nvSpPr>
      <xdr:spPr bwMode="auto">
        <a:xfrm>
          <a:off x="3564255" y="7583805"/>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445770</xdr:colOff>
      <xdr:row>41</xdr:row>
      <xdr:rowOff>188595</xdr:rowOff>
    </xdr:from>
    <xdr:ext cx="1034001" cy="201850"/>
    <xdr:sp macro="" textlink="">
      <xdr:nvSpPr>
        <xdr:cNvPr id="24" name="Text Box 139">
          <a:extLst>
            <a:ext uri="{FF2B5EF4-FFF2-40B4-BE49-F238E27FC236}">
              <a16:creationId xmlns:a16="http://schemas.microsoft.com/office/drawing/2014/main" id="{00000000-0008-0000-0000-000018000000}"/>
            </a:ext>
          </a:extLst>
        </xdr:cNvPr>
        <xdr:cNvSpPr txBox="1">
          <a:spLocks noChangeArrowheads="1"/>
        </xdr:cNvSpPr>
      </xdr:nvSpPr>
      <xdr:spPr bwMode="auto">
        <a:xfrm>
          <a:off x="643890" y="7599045"/>
          <a:ext cx="1034001"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QUD-1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809625</xdr:colOff>
      <xdr:row>53</xdr:row>
      <xdr:rowOff>7620</xdr:rowOff>
    </xdr:from>
    <xdr:ext cx="1099083" cy="201850"/>
    <xdr:sp macro="" textlink="">
      <xdr:nvSpPr>
        <xdr:cNvPr id="25" name="Text Box 136">
          <a:extLst>
            <a:ext uri="{FF2B5EF4-FFF2-40B4-BE49-F238E27FC236}">
              <a16:creationId xmlns:a16="http://schemas.microsoft.com/office/drawing/2014/main" id="{00000000-0008-0000-0000-000019000000}"/>
            </a:ext>
          </a:extLst>
        </xdr:cNvPr>
        <xdr:cNvSpPr txBox="1">
          <a:spLocks noChangeArrowheads="1"/>
        </xdr:cNvSpPr>
      </xdr:nvSpPr>
      <xdr:spPr bwMode="auto">
        <a:xfrm>
          <a:off x="5402580" y="9705975"/>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247650</xdr:colOff>
      <xdr:row>53</xdr:row>
      <xdr:rowOff>3810</xdr:rowOff>
    </xdr:from>
    <xdr:ext cx="1099083" cy="201850"/>
    <xdr:sp macro="" textlink="">
      <xdr:nvSpPr>
        <xdr:cNvPr id="26" name="Text Box 137">
          <a:extLst>
            <a:ext uri="{FF2B5EF4-FFF2-40B4-BE49-F238E27FC236}">
              <a16:creationId xmlns:a16="http://schemas.microsoft.com/office/drawing/2014/main" id="{00000000-0008-0000-0000-00001A000000}"/>
            </a:ext>
          </a:extLst>
        </xdr:cNvPr>
        <xdr:cNvSpPr txBox="1">
          <a:spLocks noChangeArrowheads="1"/>
        </xdr:cNvSpPr>
      </xdr:nvSpPr>
      <xdr:spPr bwMode="auto">
        <a:xfrm>
          <a:off x="3463290" y="9702165"/>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830580</xdr:colOff>
      <xdr:row>52</xdr:row>
      <xdr:rowOff>180975</xdr:rowOff>
    </xdr:from>
    <xdr:ext cx="1099083" cy="201850"/>
    <xdr:sp macro="" textlink="">
      <xdr:nvSpPr>
        <xdr:cNvPr id="27" name="Text Box 140">
          <a:extLst>
            <a:ext uri="{FF2B5EF4-FFF2-40B4-BE49-F238E27FC236}">
              <a16:creationId xmlns:a16="http://schemas.microsoft.com/office/drawing/2014/main" id="{00000000-0008-0000-0000-00001B000000}"/>
            </a:ext>
          </a:extLst>
        </xdr:cNvPr>
        <xdr:cNvSpPr txBox="1">
          <a:spLocks noChangeArrowheads="1"/>
        </xdr:cNvSpPr>
      </xdr:nvSpPr>
      <xdr:spPr bwMode="auto">
        <a:xfrm>
          <a:off x="1028700" y="9685020"/>
          <a:ext cx="109908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LRUD-1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397419</xdr:colOff>
      <xdr:row>22</xdr:row>
      <xdr:rowOff>94639</xdr:rowOff>
    </xdr:from>
    <xdr:to>
      <xdr:col>14</xdr:col>
      <xdr:colOff>441819</xdr:colOff>
      <xdr:row>26</xdr:row>
      <xdr:rowOff>169275</xdr:rowOff>
    </xdr:to>
    <xdr:graphicFrame macro="">
      <xdr:nvGraphicFramePr>
        <xdr:cNvPr id="28" name="Chart 123">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14</xdr:col>
      <xdr:colOff>512403</xdr:colOff>
      <xdr:row>27</xdr:row>
      <xdr:rowOff>92029</xdr:rowOff>
    </xdr:from>
    <xdr:to>
      <xdr:col>16</xdr:col>
      <xdr:colOff>18640</xdr:colOff>
      <xdr:row>28</xdr:row>
      <xdr:rowOff>111779</xdr:rowOff>
    </xdr:to>
    <xdr:sp macro="" textlink="AD31">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74413" y="4839289"/>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28</xdr:row>
      <xdr:rowOff>72500</xdr:rowOff>
    </xdr:from>
    <xdr:to>
      <xdr:col>16</xdr:col>
      <xdr:colOff>16735</xdr:colOff>
      <xdr:row>29</xdr:row>
      <xdr:rowOff>92250</xdr:rowOff>
    </xdr:to>
    <xdr:sp macro="" textlink="AD32">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966793" y="5006450"/>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29</xdr:row>
      <xdr:rowOff>54876</xdr:rowOff>
    </xdr:from>
    <xdr:to>
      <xdr:col>16</xdr:col>
      <xdr:colOff>16735</xdr:colOff>
      <xdr:row>30</xdr:row>
      <xdr:rowOff>74626</xdr:rowOff>
    </xdr:to>
    <xdr:sp macro="" textlink="AD33">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966793" y="5183136"/>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30</xdr:row>
      <xdr:rowOff>20107</xdr:rowOff>
    </xdr:from>
    <xdr:to>
      <xdr:col>16</xdr:col>
      <xdr:colOff>18640</xdr:colOff>
      <xdr:row>31</xdr:row>
      <xdr:rowOff>39857</xdr:rowOff>
    </xdr:to>
    <xdr:sp macro="" textlink="AD34">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974413" y="5331247"/>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31</xdr:row>
      <xdr:rowOff>17723</xdr:rowOff>
    </xdr:from>
    <xdr:to>
      <xdr:col>16</xdr:col>
      <xdr:colOff>16735</xdr:colOff>
      <xdr:row>32</xdr:row>
      <xdr:rowOff>37473</xdr:rowOff>
    </xdr:to>
    <xdr:sp macro="" textlink="AD3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966793" y="5526983"/>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31</xdr:row>
      <xdr:rowOff>169644</xdr:rowOff>
    </xdr:from>
    <xdr:to>
      <xdr:col>16</xdr:col>
      <xdr:colOff>18640</xdr:colOff>
      <xdr:row>33</xdr:row>
      <xdr:rowOff>16039</xdr:rowOff>
    </xdr:to>
    <xdr:sp macro="" textlink="AD3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974413" y="5678904"/>
          <a:ext cx="350152" cy="215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32</xdr:row>
      <xdr:rowOff>188215</xdr:rowOff>
    </xdr:from>
    <xdr:to>
      <xdr:col>16</xdr:col>
      <xdr:colOff>16735</xdr:colOff>
      <xdr:row>34</xdr:row>
      <xdr:rowOff>17465</xdr:rowOff>
    </xdr:to>
    <xdr:sp macro="" textlink="AD37">
      <xdr:nvSpPr>
        <xdr:cNvPr id="35" name="テキスト ボックス 34">
          <a:extLst>
            <a:ext uri="{FF2B5EF4-FFF2-40B4-BE49-F238E27FC236}">
              <a16:creationId xmlns:a16="http://schemas.microsoft.com/office/drawing/2014/main" id="{00000000-0008-0000-0000-000023000000}"/>
            </a:ext>
          </a:extLst>
        </xdr:cNvPr>
        <xdr:cNvSpPr txBox="1"/>
      </xdr:nvSpPr>
      <xdr:spPr>
        <a:xfrm>
          <a:off x="8966793" y="5884165"/>
          <a:ext cx="350152"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33</xdr:row>
      <xdr:rowOff>153446</xdr:rowOff>
    </xdr:from>
    <xdr:to>
      <xdr:col>16</xdr:col>
      <xdr:colOff>16735</xdr:colOff>
      <xdr:row>34</xdr:row>
      <xdr:rowOff>173196</xdr:rowOff>
    </xdr:to>
    <xdr:sp macro="" textlink="AD38">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966793" y="6039896"/>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34</xdr:row>
      <xdr:rowOff>168207</xdr:rowOff>
    </xdr:from>
    <xdr:to>
      <xdr:col>16</xdr:col>
      <xdr:colOff>18640</xdr:colOff>
      <xdr:row>35</xdr:row>
      <xdr:rowOff>170812</xdr:rowOff>
    </xdr:to>
    <xdr:sp macro="" textlink="AD39">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974413" y="6241347"/>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35</xdr:row>
      <xdr:rowOff>129628</xdr:rowOff>
    </xdr:from>
    <xdr:to>
      <xdr:col>16</xdr:col>
      <xdr:colOff>16735</xdr:colOff>
      <xdr:row>36</xdr:row>
      <xdr:rowOff>149378</xdr:rowOff>
    </xdr:to>
    <xdr:sp macro="" textlink="AD40">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966793" y="6400888"/>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512403</xdr:colOff>
      <xdr:row>36</xdr:row>
      <xdr:rowOff>94861</xdr:rowOff>
    </xdr:from>
    <xdr:to>
      <xdr:col>16</xdr:col>
      <xdr:colOff>16735</xdr:colOff>
      <xdr:row>37</xdr:row>
      <xdr:rowOff>114611</xdr:rowOff>
    </xdr:to>
    <xdr:sp macro="" textlink="AD41">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966793" y="6556621"/>
          <a:ext cx="350152" cy="2064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169236</xdr:colOff>
      <xdr:row>26</xdr:row>
      <xdr:rowOff>92058</xdr:rowOff>
    </xdr:from>
    <xdr:to>
      <xdr:col>12</xdr:col>
      <xdr:colOff>1358</xdr:colOff>
      <xdr:row>27</xdr:row>
      <xdr:rowOff>133218</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404301" y="4648818"/>
          <a:ext cx="647462" cy="23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169236</xdr:colOff>
      <xdr:row>27</xdr:row>
      <xdr:rowOff>92595</xdr:rowOff>
    </xdr:from>
    <xdr:to>
      <xdr:col>12</xdr:col>
      <xdr:colOff>1358</xdr:colOff>
      <xdr:row>28</xdr:row>
      <xdr:rowOff>72795</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6404301" y="4839855"/>
          <a:ext cx="647462" cy="16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169236</xdr:colOff>
      <xdr:row>28</xdr:row>
      <xdr:rowOff>74082</xdr:rowOff>
    </xdr:from>
    <xdr:to>
      <xdr:col>12</xdr:col>
      <xdr:colOff>95297</xdr:colOff>
      <xdr:row>29</xdr:row>
      <xdr:rowOff>94287</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6404301" y="5008032"/>
          <a:ext cx="745211" cy="2145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169236</xdr:colOff>
      <xdr:row>29</xdr:row>
      <xdr:rowOff>53664</xdr:rowOff>
    </xdr:from>
    <xdr:to>
      <xdr:col>12</xdr:col>
      <xdr:colOff>95297</xdr:colOff>
      <xdr:row>30</xdr:row>
      <xdr:rowOff>54819</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404301" y="5181924"/>
          <a:ext cx="745211" cy="184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169236</xdr:colOff>
      <xdr:row>30</xdr:row>
      <xdr:rowOff>54201</xdr:rowOff>
    </xdr:from>
    <xdr:to>
      <xdr:col>12</xdr:col>
      <xdr:colOff>95297</xdr:colOff>
      <xdr:row>31</xdr:row>
      <xdr:rowOff>59166</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6404301" y="5365341"/>
          <a:ext cx="745211" cy="195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169236</xdr:colOff>
      <xdr:row>31</xdr:row>
      <xdr:rowOff>18543</xdr:rowOff>
    </xdr:from>
    <xdr:to>
      <xdr:col>12</xdr:col>
      <xdr:colOff>95297</xdr:colOff>
      <xdr:row>32</xdr:row>
      <xdr:rowOff>15888</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404301" y="5527803"/>
          <a:ext cx="745211" cy="1878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169236</xdr:colOff>
      <xdr:row>32</xdr:row>
      <xdr:rowOff>15270</xdr:rowOff>
    </xdr:from>
    <xdr:to>
      <xdr:col>12</xdr:col>
      <xdr:colOff>95297</xdr:colOff>
      <xdr:row>33</xdr:row>
      <xdr:rowOff>37380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404301" y="5715030"/>
          <a:ext cx="745211" cy="20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169236</xdr:colOff>
      <xdr:row>32</xdr:row>
      <xdr:rowOff>187257</xdr:rowOff>
    </xdr:from>
    <xdr:to>
      <xdr:col>12</xdr:col>
      <xdr:colOff>1358</xdr:colOff>
      <xdr:row>33</xdr:row>
      <xdr:rowOff>169362</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6404301" y="5883207"/>
          <a:ext cx="647462" cy="176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169235</xdr:colOff>
      <xdr:row>33</xdr:row>
      <xdr:rowOff>153504</xdr:rowOff>
    </xdr:from>
    <xdr:to>
      <xdr:col>12</xdr:col>
      <xdr:colOff>60552</xdr:colOff>
      <xdr:row>35</xdr:row>
      <xdr:rowOff>19404</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6404300" y="6039954"/>
          <a:ext cx="710467" cy="243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169235</xdr:colOff>
      <xdr:row>34</xdr:row>
      <xdr:rowOff>169281</xdr:rowOff>
    </xdr:from>
    <xdr:to>
      <xdr:col>12</xdr:col>
      <xdr:colOff>96133</xdr:colOff>
      <xdr:row>35</xdr:row>
      <xdr:rowOff>132336</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6404300" y="6242421"/>
          <a:ext cx="746048" cy="161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169235</xdr:colOff>
      <xdr:row>36</xdr:row>
      <xdr:rowOff>130354</xdr:rowOff>
    </xdr:from>
    <xdr:to>
      <xdr:col>12</xdr:col>
      <xdr:colOff>96133</xdr:colOff>
      <xdr:row>37</xdr:row>
      <xdr:rowOff>110554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6404300" y="6592114"/>
          <a:ext cx="746048" cy="1668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169235</xdr:colOff>
      <xdr:row>35</xdr:row>
      <xdr:rowOff>129813</xdr:rowOff>
    </xdr:from>
    <xdr:to>
      <xdr:col>12</xdr:col>
      <xdr:colOff>96133</xdr:colOff>
      <xdr:row>36</xdr:row>
      <xdr:rowOff>170973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6404300" y="6401073"/>
          <a:ext cx="746048" cy="23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53863</xdr:colOff>
      <xdr:row>26</xdr:row>
      <xdr:rowOff>94503</xdr:rowOff>
    </xdr:from>
    <xdr:to>
      <xdr:col>11</xdr:col>
      <xdr:colOff>245404</xdr:colOff>
      <xdr:row>27</xdr:row>
      <xdr:rowOff>92673</xdr:rowOff>
    </xdr:to>
    <xdr:pic>
      <xdr:nvPicPr>
        <xdr:cNvPr id="52" name="図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296548" y="4651263"/>
          <a:ext cx="183921" cy="188670"/>
        </a:xfrm>
        <a:prstGeom prst="rect">
          <a:avLst/>
        </a:prstGeom>
      </xdr:spPr>
    </xdr:pic>
    <xdr:clientData/>
  </xdr:twoCellAnchor>
  <xdr:twoCellAnchor editAs="absolute">
    <xdr:from>
      <xdr:col>11</xdr:col>
      <xdr:colOff>53863</xdr:colOff>
      <xdr:row>27</xdr:row>
      <xdr:rowOff>133140</xdr:rowOff>
    </xdr:from>
    <xdr:to>
      <xdr:col>11</xdr:col>
      <xdr:colOff>245404</xdr:colOff>
      <xdr:row>28</xdr:row>
      <xdr:rowOff>74160</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96548" y="4880400"/>
          <a:ext cx="183921" cy="127710"/>
        </a:xfrm>
        <a:prstGeom prst="rect">
          <a:avLst/>
        </a:prstGeom>
      </xdr:spPr>
    </xdr:pic>
    <xdr:clientData/>
  </xdr:twoCellAnchor>
  <xdr:twoCellAnchor editAs="absolute">
    <xdr:from>
      <xdr:col>11</xdr:col>
      <xdr:colOff>53863</xdr:colOff>
      <xdr:row>28</xdr:row>
      <xdr:rowOff>72717</xdr:rowOff>
    </xdr:from>
    <xdr:to>
      <xdr:col>11</xdr:col>
      <xdr:colOff>245404</xdr:colOff>
      <xdr:row>29</xdr:row>
      <xdr:rowOff>54172</xdr:rowOff>
    </xdr:to>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96548" y="5006667"/>
          <a:ext cx="183921" cy="175765"/>
        </a:xfrm>
        <a:prstGeom prst="rect">
          <a:avLst/>
        </a:prstGeom>
      </xdr:spPr>
    </xdr:pic>
    <xdr:clientData/>
  </xdr:twoCellAnchor>
  <xdr:twoCellAnchor editAs="absolute">
    <xdr:from>
      <xdr:col>11</xdr:col>
      <xdr:colOff>53863</xdr:colOff>
      <xdr:row>29</xdr:row>
      <xdr:rowOff>54204</xdr:rowOff>
    </xdr:from>
    <xdr:to>
      <xdr:col>11</xdr:col>
      <xdr:colOff>245404</xdr:colOff>
      <xdr:row>30</xdr:row>
      <xdr:rowOff>54279</xdr:rowOff>
    </xdr:to>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96548" y="5182464"/>
          <a:ext cx="183921" cy="182955"/>
        </a:xfrm>
        <a:prstGeom prst="rect">
          <a:avLst/>
        </a:prstGeom>
      </xdr:spPr>
    </xdr:pic>
    <xdr:clientData/>
  </xdr:twoCellAnchor>
  <xdr:twoCellAnchor editAs="absolute">
    <xdr:from>
      <xdr:col>11</xdr:col>
      <xdr:colOff>53863</xdr:colOff>
      <xdr:row>30</xdr:row>
      <xdr:rowOff>54741</xdr:rowOff>
    </xdr:from>
    <xdr:to>
      <xdr:col>11</xdr:col>
      <xdr:colOff>245404</xdr:colOff>
      <xdr:row>31</xdr:row>
      <xdr:rowOff>18621</xdr:rowOff>
    </xdr:to>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296548" y="5365881"/>
          <a:ext cx="183921" cy="162000"/>
        </a:xfrm>
        <a:prstGeom prst="rect">
          <a:avLst/>
        </a:prstGeom>
      </xdr:spPr>
    </xdr:pic>
    <xdr:clientData/>
  </xdr:twoCellAnchor>
  <xdr:twoCellAnchor editAs="absolute">
    <xdr:from>
      <xdr:col>11</xdr:col>
      <xdr:colOff>53863</xdr:colOff>
      <xdr:row>31</xdr:row>
      <xdr:rowOff>17178</xdr:rowOff>
    </xdr:from>
    <xdr:to>
      <xdr:col>11</xdr:col>
      <xdr:colOff>245404</xdr:colOff>
      <xdr:row>32</xdr:row>
      <xdr:rowOff>15348</xdr:rowOff>
    </xdr:to>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296548" y="5526438"/>
          <a:ext cx="183921" cy="188670"/>
        </a:xfrm>
        <a:prstGeom prst="rect">
          <a:avLst/>
        </a:prstGeom>
      </xdr:spPr>
    </xdr:pic>
    <xdr:clientData/>
  </xdr:twoCellAnchor>
  <xdr:twoCellAnchor editAs="absolute">
    <xdr:from>
      <xdr:col>11</xdr:col>
      <xdr:colOff>53863</xdr:colOff>
      <xdr:row>32</xdr:row>
      <xdr:rowOff>15810</xdr:rowOff>
    </xdr:from>
    <xdr:to>
      <xdr:col>11</xdr:col>
      <xdr:colOff>245494</xdr:colOff>
      <xdr:row>32</xdr:row>
      <xdr:rowOff>187335</xdr:rowOff>
    </xdr:to>
    <xdr:pic>
      <xdr:nvPicPr>
        <xdr:cNvPr id="58" name="図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296548" y="5715570"/>
          <a:ext cx="184011" cy="167715"/>
        </a:xfrm>
        <a:prstGeom prst="rect">
          <a:avLst/>
        </a:prstGeom>
      </xdr:spPr>
    </xdr:pic>
    <xdr:clientData/>
  </xdr:twoCellAnchor>
  <xdr:twoCellAnchor editAs="absolute">
    <xdr:from>
      <xdr:col>11</xdr:col>
      <xdr:colOff>53863</xdr:colOff>
      <xdr:row>32</xdr:row>
      <xdr:rowOff>187797</xdr:rowOff>
    </xdr:from>
    <xdr:to>
      <xdr:col>11</xdr:col>
      <xdr:colOff>245417</xdr:colOff>
      <xdr:row>33</xdr:row>
      <xdr:rowOff>168822</xdr:rowOff>
    </xdr:to>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296548" y="5883747"/>
          <a:ext cx="183934" cy="175335"/>
        </a:xfrm>
        <a:prstGeom prst="rect">
          <a:avLst/>
        </a:prstGeom>
      </xdr:spPr>
    </xdr:pic>
    <xdr:clientData/>
  </xdr:twoCellAnchor>
  <xdr:twoCellAnchor editAs="absolute">
    <xdr:from>
      <xdr:col>11</xdr:col>
      <xdr:colOff>53863</xdr:colOff>
      <xdr:row>33</xdr:row>
      <xdr:rowOff>169284</xdr:rowOff>
    </xdr:from>
    <xdr:to>
      <xdr:col>11</xdr:col>
      <xdr:colOff>245417</xdr:colOff>
      <xdr:row>34</xdr:row>
      <xdr:rowOff>169359</xdr:rowOff>
    </xdr:to>
    <xdr:pic>
      <xdr:nvPicPr>
        <xdr:cNvPr id="60" name="図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296548" y="6059544"/>
          <a:ext cx="183934" cy="182955"/>
        </a:xfrm>
        <a:prstGeom prst="rect">
          <a:avLst/>
        </a:prstGeom>
      </xdr:spPr>
    </xdr:pic>
    <xdr:clientData/>
  </xdr:twoCellAnchor>
  <xdr:twoCellAnchor editAs="absolute">
    <xdr:from>
      <xdr:col>11</xdr:col>
      <xdr:colOff>53863</xdr:colOff>
      <xdr:row>34</xdr:row>
      <xdr:rowOff>167916</xdr:rowOff>
    </xdr:from>
    <xdr:to>
      <xdr:col>11</xdr:col>
      <xdr:colOff>245417</xdr:colOff>
      <xdr:row>35</xdr:row>
      <xdr:rowOff>131796</xdr:rowOff>
    </xdr:to>
    <xdr:pic>
      <xdr:nvPicPr>
        <xdr:cNvPr id="61" name="図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296548" y="6241056"/>
          <a:ext cx="183934" cy="162000"/>
        </a:xfrm>
        <a:prstGeom prst="rect">
          <a:avLst/>
        </a:prstGeom>
      </xdr:spPr>
    </xdr:pic>
    <xdr:clientData/>
  </xdr:twoCellAnchor>
  <xdr:twoCellAnchor editAs="absolute">
    <xdr:from>
      <xdr:col>11</xdr:col>
      <xdr:colOff>53863</xdr:colOff>
      <xdr:row>35</xdr:row>
      <xdr:rowOff>132258</xdr:rowOff>
    </xdr:from>
    <xdr:to>
      <xdr:col>11</xdr:col>
      <xdr:colOff>245417</xdr:colOff>
      <xdr:row>36</xdr:row>
      <xdr:rowOff>130428</xdr:rowOff>
    </xdr:to>
    <xdr:pic>
      <xdr:nvPicPr>
        <xdr:cNvPr id="62" name="図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296548" y="6403518"/>
          <a:ext cx="183934" cy="188670"/>
        </a:xfrm>
        <a:prstGeom prst="rect">
          <a:avLst/>
        </a:prstGeom>
      </xdr:spPr>
    </xdr:pic>
    <xdr:clientData/>
  </xdr:twoCellAnchor>
  <xdr:twoCellAnchor editAs="absolute">
    <xdr:from>
      <xdr:col>11</xdr:col>
      <xdr:colOff>53863</xdr:colOff>
      <xdr:row>36</xdr:row>
      <xdr:rowOff>130894</xdr:rowOff>
    </xdr:from>
    <xdr:to>
      <xdr:col>11</xdr:col>
      <xdr:colOff>245395</xdr:colOff>
      <xdr:row>37</xdr:row>
      <xdr:rowOff>111919</xdr:rowOff>
    </xdr:to>
    <xdr:pic>
      <xdr:nvPicPr>
        <xdr:cNvPr id="63" name="図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296548" y="6592654"/>
          <a:ext cx="183912" cy="167715"/>
        </a:xfrm>
        <a:prstGeom prst="rect">
          <a:avLst/>
        </a:prstGeom>
      </xdr:spPr>
    </xdr:pic>
    <xdr:clientData/>
  </xdr:twoCellAnchor>
  <xdr:twoCellAnchor>
    <xdr:from>
      <xdr:col>12</xdr:col>
      <xdr:colOff>325755</xdr:colOff>
      <xdr:row>25</xdr:row>
      <xdr:rowOff>26670</xdr:rowOff>
    </xdr:from>
    <xdr:to>
      <xdr:col>14</xdr:col>
      <xdr:colOff>614680</xdr:colOff>
      <xdr:row>26</xdr:row>
      <xdr:rowOff>109220</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7379970" y="4444365"/>
          <a:ext cx="1694815" cy="215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2021</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oneCell">
    <xdr:from>
      <xdr:col>11</xdr:col>
      <xdr:colOff>792480</xdr:colOff>
      <xdr:row>4</xdr:row>
      <xdr:rowOff>1905</xdr:rowOff>
    </xdr:from>
    <xdr:to>
      <xdr:col>13</xdr:col>
      <xdr:colOff>57149</xdr:colOff>
      <xdr:row>5</xdr:row>
      <xdr:rowOff>21034</xdr:rowOff>
    </xdr:to>
    <xdr:sp macro="" textlink="">
      <xdr:nvSpPr>
        <xdr:cNvPr id="65" name="Text Box 178">
          <a:extLst>
            <a:ext uri="{FF2B5EF4-FFF2-40B4-BE49-F238E27FC236}">
              <a16:creationId xmlns:a16="http://schemas.microsoft.com/office/drawing/2014/main" id="{00000000-0008-0000-0000-000041000000}"/>
            </a:ext>
          </a:extLst>
        </xdr:cNvPr>
        <xdr:cNvSpPr txBox="1">
          <a:spLocks noChangeArrowheads="1"/>
        </xdr:cNvSpPr>
      </xdr:nvSpPr>
      <xdr:spPr bwMode="auto">
        <a:xfrm>
          <a:off x="7029450" y="687705"/>
          <a:ext cx="895349" cy="190579"/>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36195</xdr:colOff>
      <xdr:row>0</xdr:row>
      <xdr:rowOff>93345</xdr:rowOff>
    </xdr:from>
    <xdr:to>
      <xdr:col>8</xdr:col>
      <xdr:colOff>436245</xdr:colOff>
      <xdr:row>4</xdr:row>
      <xdr:rowOff>93740</xdr:rowOff>
    </xdr:to>
    <xdr:pic>
      <xdr:nvPicPr>
        <xdr:cNvPr id="66" name="図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3345" y="97155"/>
          <a:ext cx="4465320" cy="68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744855</xdr:colOff>
      <xdr:row>3</xdr:row>
      <xdr:rowOff>17145</xdr:rowOff>
    </xdr:to>
    <xdr:pic>
      <xdr:nvPicPr>
        <xdr:cNvPr id="67" name="Picture 181" descr="評価結果">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6867525" y="154305"/>
          <a:ext cx="2335530"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17145</xdr:colOff>
      <xdr:row>23</xdr:row>
      <xdr:rowOff>19050</xdr:rowOff>
    </xdr:from>
    <xdr:to>
      <xdr:col>14</xdr:col>
      <xdr:colOff>771525</xdr:colOff>
      <xdr:row>38</xdr:row>
      <xdr:rowOff>148590</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6259830" y="4053840"/>
          <a:ext cx="2971800" cy="2933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742949</xdr:colOff>
      <xdr:row>22</xdr:row>
      <xdr:rowOff>169545</xdr:rowOff>
    </xdr:from>
    <xdr:to>
      <xdr:col>16</xdr:col>
      <xdr:colOff>19049</xdr:colOff>
      <xdr:row>39</xdr:row>
      <xdr:rowOff>17145</xdr:rowOff>
    </xdr:to>
    <xdr:graphicFrame macro="">
      <xdr:nvGraphicFramePr>
        <xdr:cNvPr id="69" name="Chart 8">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55244</xdr:colOff>
      <xdr:row>43</xdr:row>
      <xdr:rowOff>58102</xdr:rowOff>
    </xdr:from>
    <xdr:to>
      <xdr:col>14</xdr:col>
      <xdr:colOff>742950</xdr:colOff>
      <xdr:row>51</xdr:row>
      <xdr:rowOff>152400</xdr:rowOff>
    </xdr:to>
    <xdr:graphicFrame macro="">
      <xdr:nvGraphicFramePr>
        <xdr:cNvPr id="70" name="グラフ 69">
          <a:extLst>
            <a:ext uri="{FF2B5EF4-FFF2-40B4-BE49-F238E27FC236}">
              <a16:creationId xmlns:a16="http://schemas.microsoft.com/office/drawing/2014/main" id="{00000000-0008-0000-00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oneCellAnchor>
    <xdr:from>
      <xdr:col>13</xdr:col>
      <xdr:colOff>127635</xdr:colOff>
      <xdr:row>52</xdr:row>
      <xdr:rowOff>180975</xdr:rowOff>
    </xdr:from>
    <xdr:ext cx="693973" cy="201850"/>
    <xdr:sp macro="" textlink="">
      <xdr:nvSpPr>
        <xdr:cNvPr id="71" name="Text Box 135">
          <a:extLst>
            <a:ext uri="{FF2B5EF4-FFF2-40B4-BE49-F238E27FC236}">
              <a16:creationId xmlns:a16="http://schemas.microsoft.com/office/drawing/2014/main" id="{00000000-0008-0000-0000-000047000000}"/>
            </a:ext>
          </a:extLst>
        </xdr:cNvPr>
        <xdr:cNvSpPr txBox="1">
          <a:spLocks noChangeArrowheads="1"/>
        </xdr:cNvSpPr>
      </xdr:nvSpPr>
      <xdr:spPr bwMode="auto">
        <a:xfrm>
          <a:off x="7999095" y="9685020"/>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xdr:from>
      <xdr:col>12</xdr:col>
      <xdr:colOff>57150</xdr:colOff>
      <xdr:row>54</xdr:row>
      <xdr:rowOff>28575</xdr:rowOff>
    </xdr:from>
    <xdr:to>
      <xdr:col>14</xdr:col>
      <xdr:colOff>735331</xdr:colOff>
      <xdr:row>61</xdr:row>
      <xdr:rowOff>151448</xdr:rowOff>
    </xdr:to>
    <xdr:graphicFrame macro="">
      <xdr:nvGraphicFramePr>
        <xdr:cNvPr id="72" name="グラフ 71">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oneCellAnchor>
    <xdr:from>
      <xdr:col>13</xdr:col>
      <xdr:colOff>83820</xdr:colOff>
      <xdr:row>42</xdr:row>
      <xdr:rowOff>0</xdr:rowOff>
    </xdr:from>
    <xdr:ext cx="713785" cy="228600"/>
    <xdr:sp macro="" textlink="">
      <xdr:nvSpPr>
        <xdr:cNvPr id="73" name="Text Box 135">
          <a:extLst>
            <a:ext uri="{FF2B5EF4-FFF2-40B4-BE49-F238E27FC236}">
              <a16:creationId xmlns:a16="http://schemas.microsoft.com/office/drawing/2014/main" id="{00000000-0008-0000-0000-000049000000}"/>
            </a:ext>
          </a:extLst>
        </xdr:cNvPr>
        <xdr:cNvSpPr txBox="1">
          <a:spLocks noChangeArrowheads="1"/>
        </xdr:cNvSpPr>
      </xdr:nvSpPr>
      <xdr:spPr bwMode="auto">
        <a:xfrm>
          <a:off x="7953375" y="760095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68554</xdr:colOff>
      <xdr:row>0</xdr:row>
      <xdr:rowOff>85725</xdr:rowOff>
    </xdr:from>
    <xdr:to>
      <xdr:col>3</xdr:col>
      <xdr:colOff>655321</xdr:colOff>
      <xdr:row>2</xdr:row>
      <xdr:rowOff>320040</xdr:rowOff>
    </xdr:to>
    <xdr:pic>
      <xdr:nvPicPr>
        <xdr:cNvPr id="2750" name="図 1">
          <a:extLst>
            <a:ext uri="{FF2B5EF4-FFF2-40B4-BE49-F238E27FC236}">
              <a16:creationId xmlns:a16="http://schemas.microsoft.com/office/drawing/2014/main" id="{00000000-0008-0000-0200-0000BE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74" y="85725"/>
          <a:ext cx="3634767" cy="58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723900</xdr:colOff>
      <xdr:row>1</xdr:row>
      <xdr:rowOff>160020</xdr:rowOff>
    </xdr:from>
    <xdr:to>
      <xdr:col>6</xdr:col>
      <xdr:colOff>0</xdr:colOff>
      <xdr:row>2</xdr:row>
      <xdr:rowOff>331289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335280"/>
          <a:ext cx="2385060" cy="346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2000" b="1">
              <a:latin typeface="Arial" panose="020B0604020202020204" pitchFamily="34" charset="0"/>
              <a:cs typeface="Arial" panose="020B0604020202020204" pitchFamily="34" charset="0"/>
            </a:rPr>
            <a:t>SDGs</a:t>
          </a:r>
          <a:r>
            <a:rPr kumimoji="1" lang="ja-JP" altLang="en-US" sz="2000" b="1">
              <a:latin typeface="Arial" panose="020B0604020202020204" pitchFamily="34" charset="0"/>
              <a:cs typeface="Arial" panose="020B0604020202020204" pitchFamily="34" charset="0"/>
            </a:rPr>
            <a:t>対応試行版</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740389</xdr:colOff>
      <xdr:row>26</xdr:row>
      <xdr:rowOff>20769</xdr:rowOff>
    </xdr:from>
    <xdr:to>
      <xdr:col>14</xdr:col>
      <xdr:colOff>765635</xdr:colOff>
      <xdr:row>41</xdr:row>
      <xdr:rowOff>53753</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400399</xdr:colOff>
      <xdr:row>26</xdr:row>
      <xdr:rowOff>131843</xdr:rowOff>
    </xdr:from>
    <xdr:to>
      <xdr:col>14</xdr:col>
      <xdr:colOff>756266</xdr:colOff>
      <xdr:row>28</xdr:row>
      <xdr:rowOff>18243</xdr:rowOff>
    </xdr:to>
    <xdr:sp macro="" textlink="$AG$30">
      <xdr:nvSpPr>
        <xdr:cNvPr id="3" name="テキスト ボックス 2">
          <a:extLst>
            <a:ext uri="{FF2B5EF4-FFF2-40B4-BE49-F238E27FC236}">
              <a16:creationId xmlns:a16="http://schemas.microsoft.com/office/drawing/2014/main" id="{00000000-0008-0000-0300-000003000000}"/>
            </a:ext>
          </a:extLst>
        </xdr:cNvPr>
        <xdr:cNvSpPr txBox="1"/>
      </xdr:nvSpPr>
      <xdr:spPr>
        <a:xfrm>
          <a:off x="8866219" y="4703843"/>
          <a:ext cx="355867" cy="214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796215</xdr:colOff>
      <xdr:row>22</xdr:row>
      <xdr:rowOff>133350</xdr:rowOff>
    </xdr:from>
    <xdr:to>
      <xdr:col>6</xdr:col>
      <xdr:colOff>367280</xdr:colOff>
      <xdr:row>26</xdr:row>
      <xdr:rowOff>144780</xdr:rowOff>
    </xdr:to>
    <xdr:graphicFrame macro="">
      <xdr:nvGraphicFramePr>
        <xdr:cNvPr id="4" name="Chart 12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47046</xdr:colOff>
      <xdr:row>23</xdr:row>
      <xdr:rowOff>168966</xdr:rowOff>
    </xdr:from>
    <xdr:ext cx="560410" cy="219419"/>
    <xdr:sp macro="" textlink="">
      <xdr:nvSpPr>
        <xdr:cNvPr id="5" name="Text Box 39">
          <a:extLst>
            <a:ext uri="{FF2B5EF4-FFF2-40B4-BE49-F238E27FC236}">
              <a16:creationId xmlns:a16="http://schemas.microsoft.com/office/drawing/2014/main" id="{00000000-0008-0000-0300-000005000000}"/>
            </a:ext>
          </a:extLst>
        </xdr:cNvPr>
        <xdr:cNvSpPr txBox="1">
          <a:spLocks noChangeArrowheads="1"/>
        </xdr:cNvSpPr>
      </xdr:nvSpPr>
      <xdr:spPr bwMode="auto">
        <a:xfrm>
          <a:off x="47046" y="4230426"/>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26670</xdr:colOff>
      <xdr:row>25</xdr:row>
      <xdr:rowOff>129540</xdr:rowOff>
    </xdr:from>
    <xdr:to>
      <xdr:col>7</xdr:col>
      <xdr:colOff>140970</xdr:colOff>
      <xdr:row>27</xdr:row>
      <xdr:rowOff>26670</xdr:rowOff>
    </xdr:to>
    <xdr:sp macro="" textlink="">
      <xdr:nvSpPr>
        <xdr:cNvPr id="6" name="Text Box 129">
          <a:extLst>
            <a:ext uri="{FF2B5EF4-FFF2-40B4-BE49-F238E27FC236}">
              <a16:creationId xmlns:a16="http://schemas.microsoft.com/office/drawing/2014/main" id="{00000000-0008-0000-0300-000006000000}"/>
            </a:ext>
          </a:extLst>
        </xdr:cNvPr>
        <xdr:cNvSpPr txBox="1">
          <a:spLocks noChangeArrowheads="1"/>
        </xdr:cNvSpPr>
      </xdr:nvSpPr>
      <xdr:spPr bwMode="auto">
        <a:xfrm>
          <a:off x="80010" y="4572000"/>
          <a:ext cx="3291840" cy="19431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437163</xdr:colOff>
      <xdr:row>22</xdr:row>
      <xdr:rowOff>136109</xdr:rowOff>
    </xdr:from>
    <xdr:to>
      <xdr:col>10</xdr:col>
      <xdr:colOff>411532</xdr:colOff>
      <xdr:row>26</xdr:row>
      <xdr:rowOff>164684</xdr:rowOff>
    </xdr:to>
    <xdr:graphicFrame macro="">
      <xdr:nvGraphicFramePr>
        <xdr:cNvPr id="7" name="Chart 123">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97154</xdr:colOff>
      <xdr:row>26</xdr:row>
      <xdr:rowOff>130245</xdr:rowOff>
    </xdr:from>
    <xdr:to>
      <xdr:col>6</xdr:col>
      <xdr:colOff>17912</xdr:colOff>
      <xdr:row>41</xdr:row>
      <xdr:rowOff>54748</xdr:rowOff>
    </xdr:to>
    <xdr:graphicFrame macro="">
      <xdr:nvGraphicFramePr>
        <xdr:cNvPr id="8" name="Chart 1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57149</xdr:colOff>
      <xdr:row>44</xdr:row>
      <xdr:rowOff>137160</xdr:rowOff>
    </xdr:from>
    <xdr:to>
      <xdr:col>4</xdr:col>
      <xdr:colOff>434340</xdr:colOff>
      <xdr:row>53</xdr:row>
      <xdr:rowOff>22860</xdr:rowOff>
    </xdr:to>
    <xdr:graphicFrame macro="">
      <xdr:nvGraphicFramePr>
        <xdr:cNvPr id="9" name="Chart 4">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426720</xdr:colOff>
      <xdr:row>44</xdr:row>
      <xdr:rowOff>142876</xdr:rowOff>
    </xdr:from>
    <xdr:to>
      <xdr:col>9</xdr:col>
      <xdr:colOff>373381</xdr:colOff>
      <xdr:row>53</xdr:row>
      <xdr:rowOff>64770</xdr:rowOff>
    </xdr:to>
    <xdr:graphicFrame macro="">
      <xdr:nvGraphicFramePr>
        <xdr:cNvPr id="10" name="Chart 15">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390524</xdr:colOff>
      <xdr:row>44</xdr:row>
      <xdr:rowOff>163830</xdr:rowOff>
    </xdr:from>
    <xdr:to>
      <xdr:col>11</xdr:col>
      <xdr:colOff>784860</xdr:colOff>
      <xdr:row>53</xdr:row>
      <xdr:rowOff>34290</xdr:rowOff>
    </xdr:to>
    <xdr:graphicFrame macro="">
      <xdr:nvGraphicFramePr>
        <xdr:cNvPr id="11" name="Chart 15">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55</xdr:row>
      <xdr:rowOff>125730</xdr:rowOff>
    </xdr:from>
    <xdr:to>
      <xdr:col>5</xdr:col>
      <xdr:colOff>213360</xdr:colOff>
      <xdr:row>63</xdr:row>
      <xdr:rowOff>182879</xdr:rowOff>
    </xdr:to>
    <xdr:graphicFrame macro="">
      <xdr:nvGraphicFramePr>
        <xdr:cNvPr id="12" name="Chart 4">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325757</xdr:colOff>
      <xdr:row>55</xdr:row>
      <xdr:rowOff>131445</xdr:rowOff>
    </xdr:from>
    <xdr:to>
      <xdr:col>9</xdr:col>
      <xdr:colOff>142876</xdr:colOff>
      <xdr:row>63</xdr:row>
      <xdr:rowOff>135255</xdr:rowOff>
    </xdr:to>
    <xdr:graphicFrame macro="">
      <xdr:nvGraphicFramePr>
        <xdr:cNvPr id="13" name="Chart 15">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228600</xdr:colOff>
      <xdr:row>56</xdr:row>
      <xdr:rowOff>1905</xdr:rowOff>
    </xdr:from>
    <xdr:to>
      <xdr:col>11</xdr:col>
      <xdr:colOff>790575</xdr:colOff>
      <xdr:row>64</xdr:row>
      <xdr:rowOff>19050</xdr:rowOff>
    </xdr:to>
    <xdr:graphicFrame macro="">
      <xdr:nvGraphicFramePr>
        <xdr:cNvPr id="14" name="Chart 15">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10</xdr:col>
      <xdr:colOff>130266</xdr:colOff>
      <xdr:row>43</xdr:row>
      <xdr:rowOff>180975</xdr:rowOff>
    </xdr:from>
    <xdr:ext cx="851067" cy="201850"/>
    <xdr:sp macro="" textlink="">
      <xdr:nvSpPr>
        <xdr:cNvPr id="15" name="Text Box 135">
          <a:extLst>
            <a:ext uri="{FF2B5EF4-FFF2-40B4-BE49-F238E27FC236}">
              <a16:creationId xmlns:a16="http://schemas.microsoft.com/office/drawing/2014/main" id="{00000000-0008-0000-0300-00000F000000}"/>
            </a:ext>
          </a:extLst>
        </xdr:cNvPr>
        <xdr:cNvSpPr txBox="1">
          <a:spLocks noChangeArrowheads="1"/>
        </xdr:cNvSpPr>
      </xdr:nvSpPr>
      <xdr:spPr bwMode="auto">
        <a:xfrm>
          <a:off x="5624286"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590550</xdr:colOff>
      <xdr:row>43</xdr:row>
      <xdr:rowOff>180975</xdr:rowOff>
    </xdr:from>
    <xdr:ext cx="851067" cy="201850"/>
    <xdr:sp macro="" textlink="">
      <xdr:nvSpPr>
        <xdr:cNvPr id="16" name="Text Box 138">
          <a:extLst>
            <a:ext uri="{FF2B5EF4-FFF2-40B4-BE49-F238E27FC236}">
              <a16:creationId xmlns:a16="http://schemas.microsoft.com/office/drawing/2014/main" id="{00000000-0008-0000-0300-000010000000}"/>
            </a:ext>
          </a:extLst>
        </xdr:cNvPr>
        <xdr:cNvSpPr txBox="1">
          <a:spLocks noChangeArrowheads="1"/>
        </xdr:cNvSpPr>
      </xdr:nvSpPr>
      <xdr:spPr bwMode="auto">
        <a:xfrm>
          <a:off x="3821430"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739140</xdr:colOff>
      <xdr:row>43</xdr:row>
      <xdr:rowOff>180975</xdr:rowOff>
    </xdr:from>
    <xdr:ext cx="851067" cy="201850"/>
    <xdr:sp macro="" textlink="">
      <xdr:nvSpPr>
        <xdr:cNvPr id="17" name="Text Box 139">
          <a:extLst>
            <a:ext uri="{FF2B5EF4-FFF2-40B4-BE49-F238E27FC236}">
              <a16:creationId xmlns:a16="http://schemas.microsoft.com/office/drawing/2014/main" id="{00000000-0008-0000-0300-000011000000}"/>
            </a:ext>
          </a:extLst>
        </xdr:cNvPr>
        <xdr:cNvSpPr txBox="1">
          <a:spLocks noChangeArrowheads="1"/>
        </xdr:cNvSpPr>
      </xdr:nvSpPr>
      <xdr:spPr bwMode="auto">
        <a:xfrm>
          <a:off x="937260" y="754189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10</xdr:col>
      <xdr:colOff>87630</xdr:colOff>
      <xdr:row>54</xdr:row>
      <xdr:rowOff>181927</xdr:rowOff>
    </xdr:from>
    <xdr:ext cx="916148" cy="201850"/>
    <xdr:sp macro="" textlink="">
      <xdr:nvSpPr>
        <xdr:cNvPr id="18" name="Text Box 136">
          <a:extLst>
            <a:ext uri="{FF2B5EF4-FFF2-40B4-BE49-F238E27FC236}">
              <a16:creationId xmlns:a16="http://schemas.microsoft.com/office/drawing/2014/main" id="{00000000-0008-0000-0300-000012000000}"/>
            </a:ext>
          </a:extLst>
        </xdr:cNvPr>
        <xdr:cNvSpPr txBox="1">
          <a:spLocks noChangeArrowheads="1"/>
        </xdr:cNvSpPr>
      </xdr:nvSpPr>
      <xdr:spPr bwMode="auto">
        <a:xfrm>
          <a:off x="558165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510540</xdr:colOff>
      <xdr:row>54</xdr:row>
      <xdr:rowOff>181927</xdr:rowOff>
    </xdr:from>
    <xdr:ext cx="916148" cy="201850"/>
    <xdr:sp macro="" textlink="">
      <xdr:nvSpPr>
        <xdr:cNvPr id="19" name="Text Box 137">
          <a:extLst>
            <a:ext uri="{FF2B5EF4-FFF2-40B4-BE49-F238E27FC236}">
              <a16:creationId xmlns:a16="http://schemas.microsoft.com/office/drawing/2014/main" id="{00000000-0008-0000-0300-000013000000}"/>
            </a:ext>
          </a:extLst>
        </xdr:cNvPr>
        <xdr:cNvSpPr txBox="1">
          <a:spLocks noChangeArrowheads="1"/>
        </xdr:cNvSpPr>
      </xdr:nvSpPr>
      <xdr:spPr bwMode="auto">
        <a:xfrm>
          <a:off x="374142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3</xdr:col>
      <xdr:colOff>72390</xdr:colOff>
      <xdr:row>54</xdr:row>
      <xdr:rowOff>181927</xdr:rowOff>
    </xdr:from>
    <xdr:ext cx="916148" cy="201850"/>
    <xdr:sp macro="" textlink="">
      <xdr:nvSpPr>
        <xdr:cNvPr id="20" name="Text Box 140">
          <a:extLst>
            <a:ext uri="{FF2B5EF4-FFF2-40B4-BE49-F238E27FC236}">
              <a16:creationId xmlns:a16="http://schemas.microsoft.com/office/drawing/2014/main" id="{00000000-0008-0000-0300-000014000000}"/>
            </a:ext>
          </a:extLst>
        </xdr:cNvPr>
        <xdr:cNvSpPr txBox="1">
          <a:spLocks noChangeArrowheads="1"/>
        </xdr:cNvSpPr>
      </xdr:nvSpPr>
      <xdr:spPr bwMode="auto">
        <a:xfrm>
          <a:off x="1360170" y="963834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398794</xdr:colOff>
      <xdr:row>22</xdr:row>
      <xdr:rowOff>94639</xdr:rowOff>
    </xdr:from>
    <xdr:to>
      <xdr:col>14</xdr:col>
      <xdr:colOff>437481</xdr:colOff>
      <xdr:row>27</xdr:row>
      <xdr:rowOff>20012</xdr:rowOff>
    </xdr:to>
    <xdr:graphicFrame macro="">
      <xdr:nvGraphicFramePr>
        <xdr:cNvPr id="21" name="Chart 123">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14</xdr:col>
      <xdr:colOff>400399</xdr:colOff>
      <xdr:row>27</xdr:row>
      <xdr:rowOff>130846</xdr:rowOff>
    </xdr:from>
    <xdr:to>
      <xdr:col>14</xdr:col>
      <xdr:colOff>756266</xdr:colOff>
      <xdr:row>29</xdr:row>
      <xdr:rowOff>21056</xdr:rowOff>
    </xdr:to>
    <xdr:sp macro="" textlink="AG31">
      <xdr:nvSpPr>
        <xdr:cNvPr id="22" name="テキスト ボックス 21">
          <a:extLst>
            <a:ext uri="{FF2B5EF4-FFF2-40B4-BE49-F238E27FC236}">
              <a16:creationId xmlns:a16="http://schemas.microsoft.com/office/drawing/2014/main" id="{00000000-0008-0000-0300-000016000000}"/>
            </a:ext>
          </a:extLst>
        </xdr:cNvPr>
        <xdr:cNvSpPr txBox="1"/>
      </xdr:nvSpPr>
      <xdr:spPr>
        <a:xfrm>
          <a:off x="8866219" y="487048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28</xdr:row>
      <xdr:rowOff>130128</xdr:rowOff>
    </xdr:from>
    <xdr:to>
      <xdr:col>14</xdr:col>
      <xdr:colOff>756266</xdr:colOff>
      <xdr:row>30</xdr:row>
      <xdr:rowOff>20338</xdr:rowOff>
    </xdr:to>
    <xdr:sp macro="" textlink="AG32">
      <xdr:nvSpPr>
        <xdr:cNvPr id="23" name="テキスト ボックス 22">
          <a:extLst>
            <a:ext uri="{FF2B5EF4-FFF2-40B4-BE49-F238E27FC236}">
              <a16:creationId xmlns:a16="http://schemas.microsoft.com/office/drawing/2014/main" id="{00000000-0008-0000-0300-000017000000}"/>
            </a:ext>
          </a:extLst>
        </xdr:cNvPr>
        <xdr:cNvSpPr txBox="1"/>
      </xdr:nvSpPr>
      <xdr:spPr>
        <a:xfrm>
          <a:off x="8866219" y="5029788"/>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30</xdr:row>
      <xdr:rowOff>1102</xdr:rowOff>
    </xdr:from>
    <xdr:to>
      <xdr:col>14</xdr:col>
      <xdr:colOff>756266</xdr:colOff>
      <xdr:row>31</xdr:row>
      <xdr:rowOff>51332</xdr:rowOff>
    </xdr:to>
    <xdr:sp macro="" textlink="AG33">
      <xdr:nvSpPr>
        <xdr:cNvPr id="24" name="テキスト ボックス 23">
          <a:extLst>
            <a:ext uri="{FF2B5EF4-FFF2-40B4-BE49-F238E27FC236}">
              <a16:creationId xmlns:a16="http://schemas.microsoft.com/office/drawing/2014/main" id="{00000000-0008-0000-0300-000018000000}"/>
            </a:ext>
          </a:extLst>
        </xdr:cNvPr>
        <xdr:cNvSpPr txBox="1"/>
      </xdr:nvSpPr>
      <xdr:spPr>
        <a:xfrm>
          <a:off x="8866219" y="522080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402304</xdr:colOff>
      <xdr:row>31</xdr:row>
      <xdr:rowOff>34674</xdr:rowOff>
    </xdr:from>
    <xdr:to>
      <xdr:col>14</xdr:col>
      <xdr:colOff>758171</xdr:colOff>
      <xdr:row>32</xdr:row>
      <xdr:rowOff>84904</xdr:rowOff>
    </xdr:to>
    <xdr:sp macro="" textlink="AG34">
      <xdr:nvSpPr>
        <xdr:cNvPr id="25" name="テキスト ボックス 24">
          <a:extLst>
            <a:ext uri="{FF2B5EF4-FFF2-40B4-BE49-F238E27FC236}">
              <a16:creationId xmlns:a16="http://schemas.microsoft.com/office/drawing/2014/main" id="{00000000-0008-0000-0300-000019000000}"/>
            </a:ext>
          </a:extLst>
        </xdr:cNvPr>
        <xdr:cNvSpPr txBox="1"/>
      </xdr:nvSpPr>
      <xdr:spPr>
        <a:xfrm>
          <a:off x="8868124" y="541439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32</xdr:row>
      <xdr:rowOff>22526</xdr:rowOff>
    </xdr:from>
    <xdr:to>
      <xdr:col>14</xdr:col>
      <xdr:colOff>754361</xdr:colOff>
      <xdr:row>33</xdr:row>
      <xdr:rowOff>72756</xdr:rowOff>
    </xdr:to>
    <xdr:sp macro="" textlink="AG35">
      <xdr:nvSpPr>
        <xdr:cNvPr id="26" name="テキスト ボックス 25">
          <a:extLst>
            <a:ext uri="{FF2B5EF4-FFF2-40B4-BE49-F238E27FC236}">
              <a16:creationId xmlns:a16="http://schemas.microsoft.com/office/drawing/2014/main" id="{00000000-0008-0000-0300-00001A000000}"/>
            </a:ext>
          </a:extLst>
        </xdr:cNvPr>
        <xdr:cNvSpPr txBox="1"/>
      </xdr:nvSpPr>
      <xdr:spPr>
        <a:xfrm>
          <a:off x="8864314" y="556226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33</xdr:row>
      <xdr:rowOff>54192</xdr:rowOff>
    </xdr:from>
    <xdr:to>
      <xdr:col>14</xdr:col>
      <xdr:colOff>754361</xdr:colOff>
      <xdr:row>34</xdr:row>
      <xdr:rowOff>104422</xdr:rowOff>
    </xdr:to>
    <xdr:sp macro="" textlink="AG36">
      <xdr:nvSpPr>
        <xdr:cNvPr id="27" name="テキスト ボックス 26">
          <a:extLst>
            <a:ext uri="{FF2B5EF4-FFF2-40B4-BE49-F238E27FC236}">
              <a16:creationId xmlns:a16="http://schemas.microsoft.com/office/drawing/2014/main" id="{00000000-0008-0000-0300-00001B000000}"/>
            </a:ext>
          </a:extLst>
        </xdr:cNvPr>
        <xdr:cNvSpPr txBox="1"/>
      </xdr:nvSpPr>
      <xdr:spPr>
        <a:xfrm>
          <a:off x="8864314" y="575395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34</xdr:row>
      <xdr:rowOff>55379</xdr:rowOff>
    </xdr:from>
    <xdr:to>
      <xdr:col>14</xdr:col>
      <xdr:colOff>754361</xdr:colOff>
      <xdr:row>35</xdr:row>
      <xdr:rowOff>105609</xdr:rowOff>
    </xdr:to>
    <xdr:sp macro="" textlink="AG37">
      <xdr:nvSpPr>
        <xdr:cNvPr id="28" name="テキスト ボックス 27">
          <a:extLst>
            <a:ext uri="{FF2B5EF4-FFF2-40B4-BE49-F238E27FC236}">
              <a16:creationId xmlns:a16="http://schemas.microsoft.com/office/drawing/2014/main" id="{00000000-0008-0000-0300-00001C000000}"/>
            </a:ext>
          </a:extLst>
        </xdr:cNvPr>
        <xdr:cNvSpPr txBox="1"/>
      </xdr:nvSpPr>
      <xdr:spPr>
        <a:xfrm>
          <a:off x="8864314" y="591515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35</xdr:row>
      <xdr:rowOff>94665</xdr:rowOff>
    </xdr:from>
    <xdr:to>
      <xdr:col>14</xdr:col>
      <xdr:colOff>754361</xdr:colOff>
      <xdr:row>36</xdr:row>
      <xdr:rowOff>144895</xdr:rowOff>
    </xdr:to>
    <xdr:sp macro="" textlink="AG38">
      <xdr:nvSpPr>
        <xdr:cNvPr id="29" name="テキスト ボックス 28">
          <a:extLst>
            <a:ext uri="{FF2B5EF4-FFF2-40B4-BE49-F238E27FC236}">
              <a16:creationId xmlns:a16="http://schemas.microsoft.com/office/drawing/2014/main" id="{00000000-0008-0000-0300-00001D000000}"/>
            </a:ext>
          </a:extLst>
        </xdr:cNvPr>
        <xdr:cNvSpPr txBox="1"/>
      </xdr:nvSpPr>
      <xdr:spPr>
        <a:xfrm>
          <a:off x="8864314" y="6114465"/>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36</xdr:row>
      <xdr:rowOff>95852</xdr:rowOff>
    </xdr:from>
    <xdr:to>
      <xdr:col>14</xdr:col>
      <xdr:colOff>754361</xdr:colOff>
      <xdr:row>37</xdr:row>
      <xdr:rowOff>146082</xdr:rowOff>
    </xdr:to>
    <xdr:sp macro="" textlink="AG39">
      <xdr:nvSpPr>
        <xdr:cNvPr id="30" name="テキスト ボックス 29">
          <a:extLst>
            <a:ext uri="{FF2B5EF4-FFF2-40B4-BE49-F238E27FC236}">
              <a16:creationId xmlns:a16="http://schemas.microsoft.com/office/drawing/2014/main" id="{00000000-0008-0000-0300-00001E000000}"/>
            </a:ext>
          </a:extLst>
        </xdr:cNvPr>
        <xdr:cNvSpPr txBox="1"/>
      </xdr:nvSpPr>
      <xdr:spPr>
        <a:xfrm>
          <a:off x="8864314" y="627567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398494</xdr:colOff>
      <xdr:row>37</xdr:row>
      <xdr:rowOff>98944</xdr:rowOff>
    </xdr:from>
    <xdr:to>
      <xdr:col>14</xdr:col>
      <xdr:colOff>754361</xdr:colOff>
      <xdr:row>38</xdr:row>
      <xdr:rowOff>149174</xdr:rowOff>
    </xdr:to>
    <xdr:sp macro="" textlink="AG40">
      <xdr:nvSpPr>
        <xdr:cNvPr id="31" name="テキスト ボックス 30">
          <a:extLst>
            <a:ext uri="{FF2B5EF4-FFF2-40B4-BE49-F238E27FC236}">
              <a16:creationId xmlns:a16="http://schemas.microsoft.com/office/drawing/2014/main" id="{00000000-0008-0000-0300-00001F000000}"/>
            </a:ext>
          </a:extLst>
        </xdr:cNvPr>
        <xdr:cNvSpPr txBox="1"/>
      </xdr:nvSpPr>
      <xdr:spPr>
        <a:xfrm>
          <a:off x="8864314" y="643878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400399</xdr:colOff>
      <xdr:row>38</xdr:row>
      <xdr:rowOff>134417</xdr:rowOff>
    </xdr:from>
    <xdr:to>
      <xdr:col>14</xdr:col>
      <xdr:colOff>756266</xdr:colOff>
      <xdr:row>40</xdr:row>
      <xdr:rowOff>24627</xdr:rowOff>
    </xdr:to>
    <xdr:sp macro="" textlink="AG41">
      <xdr:nvSpPr>
        <xdr:cNvPr id="32" name="テキスト ボックス 31">
          <a:extLst>
            <a:ext uri="{FF2B5EF4-FFF2-40B4-BE49-F238E27FC236}">
              <a16:creationId xmlns:a16="http://schemas.microsoft.com/office/drawing/2014/main" id="{00000000-0008-0000-0300-000020000000}"/>
            </a:ext>
          </a:extLst>
        </xdr:cNvPr>
        <xdr:cNvSpPr txBox="1"/>
      </xdr:nvSpPr>
      <xdr:spPr>
        <a:xfrm>
          <a:off x="8866219" y="663427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3.0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174421</xdr:colOff>
      <xdr:row>26</xdr:row>
      <xdr:rowOff>92058</xdr:rowOff>
    </xdr:from>
    <xdr:to>
      <xdr:col>12</xdr:col>
      <xdr:colOff>58617</xdr:colOff>
      <xdr:row>28</xdr:row>
      <xdr:rowOff>15668</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422821" y="4664058"/>
          <a:ext cx="699536" cy="2512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174421</xdr:colOff>
      <xdr:row>27</xdr:row>
      <xdr:rowOff>133832</xdr:rowOff>
    </xdr:from>
    <xdr:to>
      <xdr:col>12</xdr:col>
      <xdr:colOff>58617</xdr:colOff>
      <xdr:row>28</xdr:row>
      <xdr:rowOff>136220</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422821" y="4873472"/>
          <a:ext cx="699536" cy="16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174421</xdr:colOff>
      <xdr:row>28</xdr:row>
      <xdr:rowOff>129887</xdr:rowOff>
    </xdr:from>
    <xdr:to>
      <xdr:col>12</xdr:col>
      <xdr:colOff>134775</xdr:colOff>
      <xdr:row>30</xdr:row>
      <xdr:rowOff>55402</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6422821" y="5029547"/>
          <a:ext cx="775694" cy="245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174421</xdr:colOff>
      <xdr:row>30</xdr:row>
      <xdr:rowOff>1444</xdr:rowOff>
    </xdr:from>
    <xdr:to>
      <xdr:col>12</xdr:col>
      <xdr:colOff>134775</xdr:colOff>
      <xdr:row>31</xdr:row>
      <xdr:rowOff>34312</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6422821" y="5221144"/>
          <a:ext cx="775694" cy="19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174421</xdr:colOff>
      <xdr:row>31</xdr:row>
      <xdr:rowOff>22264</xdr:rowOff>
    </xdr:from>
    <xdr:to>
      <xdr:col>12</xdr:col>
      <xdr:colOff>134775</xdr:colOff>
      <xdr:row>32</xdr:row>
      <xdr:rowOff>57037</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422821" y="5401984"/>
          <a:ext cx="775694" cy="19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174421</xdr:colOff>
      <xdr:row>32</xdr:row>
      <xdr:rowOff>16414</xdr:rowOff>
    </xdr:from>
    <xdr:to>
      <xdr:col>12</xdr:col>
      <xdr:colOff>134775</xdr:colOff>
      <xdr:row>33</xdr:row>
      <xdr:rowOff>56901</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422821" y="5556154"/>
          <a:ext cx="775694" cy="200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174421</xdr:colOff>
      <xdr:row>33</xdr:row>
      <xdr:rowOff>56283</xdr:rowOff>
    </xdr:from>
    <xdr:to>
      <xdr:col>12</xdr:col>
      <xdr:colOff>134775</xdr:colOff>
      <xdr:row>34</xdr:row>
      <xdr:rowOff>112011</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6422821" y="5756043"/>
          <a:ext cx="775694" cy="2157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174421</xdr:colOff>
      <xdr:row>34</xdr:row>
      <xdr:rowOff>59958</xdr:rowOff>
    </xdr:from>
    <xdr:to>
      <xdr:col>12</xdr:col>
      <xdr:colOff>58617</xdr:colOff>
      <xdr:row>35</xdr:row>
      <xdr:rowOff>98540</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6422821" y="5919738"/>
          <a:ext cx="699536" cy="1986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174420</xdr:colOff>
      <xdr:row>35</xdr:row>
      <xdr:rowOff>73157</xdr:rowOff>
    </xdr:from>
    <xdr:to>
      <xdr:col>12</xdr:col>
      <xdr:colOff>79075</xdr:colOff>
      <xdr:row>37</xdr:row>
      <xdr:rowOff>17723</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6422820" y="6092957"/>
          <a:ext cx="719995" cy="264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174420</xdr:colOff>
      <xdr:row>36</xdr:row>
      <xdr:rowOff>130172</xdr:rowOff>
    </xdr:from>
    <xdr:to>
      <xdr:col>12</xdr:col>
      <xdr:colOff>116561</xdr:colOff>
      <xdr:row>37</xdr:row>
      <xdr:rowOff>136370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6422820" y="6309992"/>
          <a:ext cx="757481" cy="166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174420</xdr:colOff>
      <xdr:row>39</xdr:row>
      <xdr:rowOff>1598</xdr:rowOff>
    </xdr:from>
    <xdr:to>
      <xdr:col>12</xdr:col>
      <xdr:colOff>116561</xdr:colOff>
      <xdr:row>40</xdr:row>
      <xdr:rowOff>21131</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6422820" y="6661478"/>
          <a:ext cx="757481" cy="179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174420</xdr:colOff>
      <xdr:row>37</xdr:row>
      <xdr:rowOff>131942</xdr:rowOff>
    </xdr:from>
    <xdr:to>
      <xdr:col>12</xdr:col>
      <xdr:colOff>116561</xdr:colOff>
      <xdr:row>39</xdr:row>
      <xdr:rowOff>38407</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6422820" y="6471782"/>
          <a:ext cx="757481" cy="226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97148</xdr:colOff>
      <xdr:row>26</xdr:row>
      <xdr:rowOff>134771</xdr:rowOff>
    </xdr:from>
    <xdr:to>
      <xdr:col>11</xdr:col>
      <xdr:colOff>244874</xdr:colOff>
      <xdr:row>28</xdr:row>
      <xdr:rowOff>21384</xdr:rowOff>
    </xdr:to>
    <xdr:pic>
      <xdr:nvPicPr>
        <xdr:cNvPr id="45" name="図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45548" y="4706771"/>
          <a:ext cx="147726" cy="214273"/>
        </a:xfrm>
        <a:prstGeom prst="rect">
          <a:avLst/>
        </a:prstGeom>
      </xdr:spPr>
    </xdr:pic>
    <xdr:clientData/>
  </xdr:twoCellAnchor>
  <xdr:twoCellAnchor editAs="absolute">
    <xdr:from>
      <xdr:col>11</xdr:col>
      <xdr:colOff>93338</xdr:colOff>
      <xdr:row>28</xdr:row>
      <xdr:rowOff>15590</xdr:rowOff>
    </xdr:from>
    <xdr:to>
      <xdr:col>11</xdr:col>
      <xdr:colOff>250589</xdr:colOff>
      <xdr:row>28</xdr:row>
      <xdr:rowOff>129965</xdr:rowOff>
    </xdr:to>
    <xdr:pic>
      <xdr:nvPicPr>
        <xdr:cNvPr id="46" name="図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41738" y="4915250"/>
          <a:ext cx="157251" cy="114375"/>
        </a:xfrm>
        <a:prstGeom prst="rect">
          <a:avLst/>
        </a:prstGeom>
      </xdr:spPr>
    </xdr:pic>
    <xdr:clientData/>
  </xdr:twoCellAnchor>
  <xdr:twoCellAnchor editAs="absolute">
    <xdr:from>
      <xdr:col>11</xdr:col>
      <xdr:colOff>93338</xdr:colOff>
      <xdr:row>28</xdr:row>
      <xdr:rowOff>136142</xdr:rowOff>
    </xdr:from>
    <xdr:to>
      <xdr:col>11</xdr:col>
      <xdr:colOff>250589</xdr:colOff>
      <xdr:row>30</xdr:row>
      <xdr:rowOff>47</xdr:rowOff>
    </xdr:to>
    <xdr:pic>
      <xdr:nvPicPr>
        <xdr:cNvPr id="47" name="図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41738" y="5035802"/>
          <a:ext cx="157251" cy="183945"/>
        </a:xfrm>
        <a:prstGeom prst="rect">
          <a:avLst/>
        </a:prstGeom>
      </xdr:spPr>
    </xdr:pic>
    <xdr:clientData/>
  </xdr:twoCellAnchor>
  <xdr:twoCellAnchor editAs="absolute">
    <xdr:from>
      <xdr:col>11</xdr:col>
      <xdr:colOff>93338</xdr:colOff>
      <xdr:row>30</xdr:row>
      <xdr:rowOff>79</xdr:rowOff>
    </xdr:from>
    <xdr:to>
      <xdr:col>11</xdr:col>
      <xdr:colOff>250589</xdr:colOff>
      <xdr:row>31</xdr:row>
      <xdr:rowOff>22342</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41738" y="5219779"/>
          <a:ext cx="157251" cy="182283"/>
        </a:xfrm>
        <a:prstGeom prst="rect">
          <a:avLst/>
        </a:prstGeom>
      </xdr:spPr>
    </xdr:pic>
    <xdr:clientData/>
  </xdr:twoCellAnchor>
  <xdr:twoCellAnchor editAs="absolute">
    <xdr:from>
      <xdr:col>11</xdr:col>
      <xdr:colOff>93338</xdr:colOff>
      <xdr:row>31</xdr:row>
      <xdr:rowOff>22804</xdr:rowOff>
    </xdr:from>
    <xdr:to>
      <xdr:col>11</xdr:col>
      <xdr:colOff>250589</xdr:colOff>
      <xdr:row>32</xdr:row>
      <xdr:rowOff>16492</xdr:rowOff>
    </xdr:to>
    <xdr:pic>
      <xdr:nvPicPr>
        <xdr:cNvPr id="49" name="図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41738" y="5402524"/>
          <a:ext cx="157251" cy="153708"/>
        </a:xfrm>
        <a:prstGeom prst="rect">
          <a:avLst/>
        </a:prstGeom>
      </xdr:spPr>
    </xdr:pic>
    <xdr:clientData/>
  </xdr:twoCellAnchor>
  <xdr:twoCellAnchor editAs="absolute">
    <xdr:from>
      <xdr:col>11</xdr:col>
      <xdr:colOff>93338</xdr:colOff>
      <xdr:row>32</xdr:row>
      <xdr:rowOff>18859</xdr:rowOff>
    </xdr:from>
    <xdr:to>
      <xdr:col>11</xdr:col>
      <xdr:colOff>250589</xdr:colOff>
      <xdr:row>33</xdr:row>
      <xdr:rowOff>56361</xdr:rowOff>
    </xdr:to>
    <xdr:pic>
      <xdr:nvPicPr>
        <xdr:cNvPr id="50" name="図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41738" y="5558599"/>
          <a:ext cx="157251" cy="197522"/>
        </a:xfrm>
        <a:prstGeom prst="rect">
          <a:avLst/>
        </a:prstGeom>
      </xdr:spPr>
    </xdr:pic>
    <xdr:clientData/>
  </xdr:twoCellAnchor>
  <xdr:twoCellAnchor editAs="absolute">
    <xdr:from>
      <xdr:col>11</xdr:col>
      <xdr:colOff>93338</xdr:colOff>
      <xdr:row>33</xdr:row>
      <xdr:rowOff>56823</xdr:rowOff>
    </xdr:from>
    <xdr:to>
      <xdr:col>11</xdr:col>
      <xdr:colOff>250679</xdr:colOff>
      <xdr:row>34</xdr:row>
      <xdr:rowOff>60036</xdr:rowOff>
    </xdr:to>
    <xdr:pic>
      <xdr:nvPicPr>
        <xdr:cNvPr id="51" name="図 5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41738" y="5756583"/>
          <a:ext cx="157341" cy="163233"/>
        </a:xfrm>
        <a:prstGeom prst="rect">
          <a:avLst/>
        </a:prstGeom>
      </xdr:spPr>
    </xdr:pic>
    <xdr:clientData/>
  </xdr:twoCellAnchor>
  <xdr:twoCellAnchor editAs="absolute">
    <xdr:from>
      <xdr:col>11</xdr:col>
      <xdr:colOff>93338</xdr:colOff>
      <xdr:row>34</xdr:row>
      <xdr:rowOff>60498</xdr:rowOff>
    </xdr:from>
    <xdr:to>
      <xdr:col>11</xdr:col>
      <xdr:colOff>250602</xdr:colOff>
      <xdr:row>35</xdr:row>
      <xdr:rowOff>98000</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1738" y="5920278"/>
          <a:ext cx="157264" cy="197522"/>
        </a:xfrm>
        <a:prstGeom prst="rect">
          <a:avLst/>
        </a:prstGeom>
      </xdr:spPr>
    </xdr:pic>
    <xdr:clientData/>
  </xdr:twoCellAnchor>
  <xdr:twoCellAnchor editAs="absolute">
    <xdr:from>
      <xdr:col>11</xdr:col>
      <xdr:colOff>93338</xdr:colOff>
      <xdr:row>35</xdr:row>
      <xdr:rowOff>98462</xdr:rowOff>
    </xdr:from>
    <xdr:to>
      <xdr:col>11</xdr:col>
      <xdr:colOff>250602</xdr:colOff>
      <xdr:row>36</xdr:row>
      <xdr:rowOff>130250</xdr:rowOff>
    </xdr:to>
    <xdr:pic>
      <xdr:nvPicPr>
        <xdr:cNvPr id="53" name="図 52">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41738" y="6118262"/>
          <a:ext cx="157264" cy="191808"/>
        </a:xfrm>
        <a:prstGeom prst="rect">
          <a:avLst/>
        </a:prstGeom>
      </xdr:spPr>
    </xdr:pic>
    <xdr:clientData/>
  </xdr:twoCellAnchor>
  <xdr:twoCellAnchor editAs="absolute">
    <xdr:from>
      <xdr:col>11</xdr:col>
      <xdr:colOff>93338</xdr:colOff>
      <xdr:row>36</xdr:row>
      <xdr:rowOff>134522</xdr:rowOff>
    </xdr:from>
    <xdr:to>
      <xdr:col>11</xdr:col>
      <xdr:colOff>250602</xdr:colOff>
      <xdr:row>37</xdr:row>
      <xdr:rowOff>135830</xdr:rowOff>
    </xdr:to>
    <xdr:pic>
      <xdr:nvPicPr>
        <xdr:cNvPr id="54" name="図 53">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1738" y="6314342"/>
          <a:ext cx="157264" cy="161328"/>
        </a:xfrm>
        <a:prstGeom prst="rect">
          <a:avLst/>
        </a:prstGeom>
      </xdr:spPr>
    </xdr:pic>
    <xdr:clientData/>
  </xdr:twoCellAnchor>
  <xdr:twoCellAnchor editAs="absolute">
    <xdr:from>
      <xdr:col>11</xdr:col>
      <xdr:colOff>93338</xdr:colOff>
      <xdr:row>37</xdr:row>
      <xdr:rowOff>136292</xdr:rowOff>
    </xdr:from>
    <xdr:to>
      <xdr:col>11</xdr:col>
      <xdr:colOff>250602</xdr:colOff>
      <xdr:row>39</xdr:row>
      <xdr:rowOff>1672</xdr:rowOff>
    </xdr:to>
    <xdr:pic>
      <xdr:nvPicPr>
        <xdr:cNvPr id="55" name="図 54">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41738" y="6476132"/>
          <a:ext cx="157264" cy="185420"/>
        </a:xfrm>
        <a:prstGeom prst="rect">
          <a:avLst/>
        </a:prstGeom>
      </xdr:spPr>
    </xdr:pic>
    <xdr:clientData/>
  </xdr:twoCellAnchor>
  <xdr:twoCellAnchor editAs="absolute">
    <xdr:from>
      <xdr:col>11</xdr:col>
      <xdr:colOff>93338</xdr:colOff>
      <xdr:row>39</xdr:row>
      <xdr:rowOff>233</xdr:rowOff>
    </xdr:from>
    <xdr:to>
      <xdr:col>11</xdr:col>
      <xdr:colOff>250580</xdr:colOff>
      <xdr:row>40</xdr:row>
      <xdr:rowOff>20591</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1738" y="6660113"/>
          <a:ext cx="157242" cy="180378"/>
        </a:xfrm>
        <a:prstGeom prst="rect">
          <a:avLst/>
        </a:prstGeom>
      </xdr:spPr>
    </xdr:pic>
    <xdr:clientData/>
  </xdr:twoCellAnchor>
  <xdr:twoCellAnchor>
    <xdr:from>
      <xdr:col>12</xdr:col>
      <xdr:colOff>325755</xdr:colOff>
      <xdr:row>25</xdr:row>
      <xdr:rowOff>26670</xdr:rowOff>
    </xdr:from>
    <xdr:to>
      <xdr:col>14</xdr:col>
      <xdr:colOff>614680</xdr:colOff>
      <xdr:row>26</xdr:row>
      <xdr:rowOff>109220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7389495" y="4469130"/>
          <a:ext cx="1691005" cy="212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1400" b="1">
              <a:latin typeface="Arial" panose="020B0604020202020204" pitchFamily="34" charset="0"/>
              <a:cs typeface="Arial" panose="020B0604020202020204" pitchFamily="34" charset="0"/>
            </a:rPr>
            <a:t>2021</a:t>
          </a:r>
          <a:r>
            <a:rPr kumimoji="1" lang="ja-JP" altLang="en-US" sz="1400" b="1">
              <a:latin typeface="Arial" panose="020B0604020202020204" pitchFamily="34" charset="0"/>
              <a:cs typeface="Arial" panose="020B0604020202020204" pitchFamily="34" charset="0"/>
            </a:rPr>
            <a:t>年</a:t>
          </a:r>
          <a:r>
            <a:rPr kumimoji="1" lang="en-US" altLang="ja-JP" sz="1400" b="1">
              <a:latin typeface="Arial" panose="020B0604020202020204" pitchFamily="34" charset="0"/>
              <a:cs typeface="Arial" panose="020B0604020202020204" pitchFamily="34" charset="0"/>
            </a:rPr>
            <a:t>SDGs</a:t>
          </a:r>
          <a:r>
            <a:rPr kumimoji="1" lang="ja-JP" altLang="en-US" sz="1400" b="1">
              <a:latin typeface="Arial" panose="020B0604020202020204" pitchFamily="34" charset="0"/>
              <a:cs typeface="Arial" panose="020B0604020202020204" pitchFamily="34" charset="0"/>
            </a:rPr>
            <a:t>対応版</a:t>
          </a:r>
        </a:p>
      </xdr:txBody>
    </xdr:sp>
    <xdr:clientData/>
  </xdr:twoCellAnchor>
  <xdr:twoCellAnchor editAs="oneCell">
    <xdr:from>
      <xdr:col>11</xdr:col>
      <xdr:colOff>716280</xdr:colOff>
      <xdr:row>4</xdr:row>
      <xdr:rowOff>9525</xdr:rowOff>
    </xdr:from>
    <xdr:to>
      <xdr:col>12</xdr:col>
      <xdr:colOff>788668</xdr:colOff>
      <xdr:row>5</xdr:row>
      <xdr:rowOff>24844</xdr:rowOff>
    </xdr:to>
    <xdr:sp macro="" textlink="">
      <xdr:nvSpPr>
        <xdr:cNvPr id="58" name="Text Box 178">
          <a:extLst>
            <a:ext uri="{FF2B5EF4-FFF2-40B4-BE49-F238E27FC236}">
              <a16:creationId xmlns:a16="http://schemas.microsoft.com/office/drawing/2014/main" id="{00000000-0008-0000-0300-00003A000000}"/>
            </a:ext>
          </a:extLst>
        </xdr:cNvPr>
        <xdr:cNvSpPr txBox="1">
          <a:spLocks noChangeArrowheads="1"/>
        </xdr:cNvSpPr>
      </xdr:nvSpPr>
      <xdr:spPr bwMode="auto">
        <a:xfrm>
          <a:off x="6964680" y="710565"/>
          <a:ext cx="887728" cy="190579"/>
        </a:xfrm>
        <a:prstGeom prst="rect">
          <a:avLst/>
        </a:prstGeom>
        <a:noFill/>
        <a:ln>
          <a:noFill/>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36195</xdr:colOff>
      <xdr:row>0</xdr:row>
      <xdr:rowOff>93345</xdr:rowOff>
    </xdr:from>
    <xdr:to>
      <xdr:col>8</xdr:col>
      <xdr:colOff>570441</xdr:colOff>
      <xdr:row>4</xdr:row>
      <xdr:rowOff>74690</xdr:rowOff>
    </xdr:to>
    <xdr:pic>
      <xdr:nvPicPr>
        <xdr:cNvPr id="59" name="図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9535" y="93345"/>
          <a:ext cx="4466166" cy="68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742952</xdr:colOff>
      <xdr:row>3</xdr:row>
      <xdr:rowOff>15240</xdr:rowOff>
    </xdr:to>
    <xdr:pic>
      <xdr:nvPicPr>
        <xdr:cNvPr id="60" name="Picture 181" descr="評価結果">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73240" y="154305"/>
          <a:ext cx="2335532"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17594</xdr:colOff>
      <xdr:row>23</xdr:row>
      <xdr:rowOff>48474</xdr:rowOff>
    </xdr:from>
    <xdr:to>
      <xdr:col>14</xdr:col>
      <xdr:colOff>777361</xdr:colOff>
      <xdr:row>40</xdr:row>
      <xdr:rowOff>149147</xdr:rowOff>
    </xdr:to>
    <xdr:sp macro="" textlink="">
      <xdr:nvSpPr>
        <xdr:cNvPr id="61" name="正方形/長方形 60">
          <a:extLst>
            <a:ext uri="{FF2B5EF4-FFF2-40B4-BE49-F238E27FC236}">
              <a16:creationId xmlns:a16="http://schemas.microsoft.com/office/drawing/2014/main" id="{00000000-0008-0000-0300-00003D000000}"/>
            </a:ext>
          </a:extLst>
        </xdr:cNvPr>
        <xdr:cNvSpPr/>
      </xdr:nvSpPr>
      <xdr:spPr>
        <a:xfrm>
          <a:off x="6265994" y="4109934"/>
          <a:ext cx="2977187" cy="285911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596395</xdr:colOff>
      <xdr:row>23</xdr:row>
      <xdr:rowOff>60959</xdr:rowOff>
    </xdr:from>
    <xdr:to>
      <xdr:col>16</xdr:col>
      <xdr:colOff>110490</xdr:colOff>
      <xdr:row>41</xdr:row>
      <xdr:rowOff>167640</xdr:rowOff>
    </xdr:to>
    <xdr:graphicFrame macro="">
      <xdr:nvGraphicFramePr>
        <xdr:cNvPr id="62" name="Chart 8">
          <a:extLst>
            <a:ext uri="{FF2B5EF4-FFF2-40B4-BE49-F238E27FC236}">
              <a16:creationId xmlns:a16="http://schemas.microsoft.com/office/drawing/2014/main" id="{00000000-0008-0000-03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55244</xdr:colOff>
      <xdr:row>43</xdr:row>
      <xdr:rowOff>182880</xdr:rowOff>
    </xdr:from>
    <xdr:to>
      <xdr:col>14</xdr:col>
      <xdr:colOff>742950</xdr:colOff>
      <xdr:row>52</xdr:row>
      <xdr:rowOff>160020</xdr:rowOff>
    </xdr:to>
    <xdr:graphicFrame macro="">
      <xdr:nvGraphicFramePr>
        <xdr:cNvPr id="63" name="グラフ 62">
          <a:extLst>
            <a:ext uri="{FF2B5EF4-FFF2-40B4-BE49-F238E27FC236}">
              <a16:creationId xmlns:a16="http://schemas.microsoft.com/office/drawing/2014/main" id="{00000000-0008-0000-03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64770</xdr:colOff>
      <xdr:row>55</xdr:row>
      <xdr:rowOff>188595</xdr:rowOff>
    </xdr:from>
    <xdr:to>
      <xdr:col>14</xdr:col>
      <xdr:colOff>742951</xdr:colOff>
      <xdr:row>63</xdr:row>
      <xdr:rowOff>45720</xdr:rowOff>
    </xdr:to>
    <xdr:graphicFrame macro="">
      <xdr:nvGraphicFramePr>
        <xdr:cNvPr id="64" name="グラフ 63">
          <a:extLst>
            <a:ext uri="{FF2B5EF4-FFF2-40B4-BE49-F238E27FC236}">
              <a16:creationId xmlns:a16="http://schemas.microsoft.com/office/drawing/2014/main" id="{00000000-0008-0000-03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oneCellAnchor>
    <xdr:from>
      <xdr:col>7</xdr:col>
      <xdr:colOff>176112</xdr:colOff>
      <xdr:row>38</xdr:row>
      <xdr:rowOff>537</xdr:rowOff>
    </xdr:from>
    <xdr:ext cx="201530" cy="151836"/>
    <xdr:sp macro="" textlink="">
      <xdr:nvSpPr>
        <xdr:cNvPr id="65" name="Text Box 135">
          <a:extLst>
            <a:ext uri="{FF2B5EF4-FFF2-40B4-BE49-F238E27FC236}">
              <a16:creationId xmlns:a16="http://schemas.microsoft.com/office/drawing/2014/main" id="{00000000-0008-0000-0300-000041000000}"/>
            </a:ext>
          </a:extLst>
        </xdr:cNvPr>
        <xdr:cNvSpPr txBox="1">
          <a:spLocks noChangeArrowheads="1"/>
        </xdr:cNvSpPr>
      </xdr:nvSpPr>
      <xdr:spPr bwMode="auto">
        <a:xfrm>
          <a:off x="3406992" y="6500397"/>
          <a:ext cx="201530"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CO</a:t>
          </a:r>
          <a:r>
            <a:rPr lang="en-US" altLang="ja-JP" sz="400" b="0" i="0" strike="noStrike">
              <a:solidFill>
                <a:srgbClr val="000000"/>
              </a:solidFill>
              <a:latin typeface="ＭＳ Ｐゴシック"/>
              <a:ea typeface="ＭＳ Ｐゴシック"/>
            </a:rPr>
            <a:t>2</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165732</xdr:colOff>
      <xdr:row>38</xdr:row>
      <xdr:rowOff>537</xdr:rowOff>
    </xdr:from>
    <xdr:ext cx="194669" cy="151836"/>
    <xdr:sp macro="" textlink="">
      <xdr:nvSpPr>
        <xdr:cNvPr id="66" name="Text Box 135">
          <a:extLst>
            <a:ext uri="{FF2B5EF4-FFF2-40B4-BE49-F238E27FC236}">
              <a16:creationId xmlns:a16="http://schemas.microsoft.com/office/drawing/2014/main" id="{00000000-0008-0000-0300-000042000000}"/>
            </a:ext>
          </a:extLst>
        </xdr:cNvPr>
        <xdr:cNvSpPr txBox="1">
          <a:spLocks noChangeArrowheads="1"/>
        </xdr:cNvSpPr>
      </xdr:nvSpPr>
      <xdr:spPr bwMode="auto">
        <a:xfrm>
          <a:off x="4150992" y="6500397"/>
          <a:ext cx="19466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CH</a:t>
          </a:r>
          <a:r>
            <a:rPr lang="en-US" altLang="ja-JP" sz="400" b="0" i="0" strike="noStrike">
              <a:solidFill>
                <a:srgbClr val="000000"/>
              </a:solidFill>
              <a:latin typeface="ＭＳ Ｐゴシック"/>
              <a:ea typeface="ＭＳ Ｐゴシック"/>
            </a:rPr>
            <a:t>4</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157910</xdr:colOff>
      <xdr:row>38</xdr:row>
      <xdr:rowOff>537</xdr:rowOff>
    </xdr:from>
    <xdr:ext cx="192617" cy="151836"/>
    <xdr:sp macro="" textlink="">
      <xdr:nvSpPr>
        <xdr:cNvPr id="67" name="Text Box 135">
          <a:extLst>
            <a:ext uri="{FF2B5EF4-FFF2-40B4-BE49-F238E27FC236}">
              <a16:creationId xmlns:a16="http://schemas.microsoft.com/office/drawing/2014/main" id="{00000000-0008-0000-0300-000043000000}"/>
            </a:ext>
          </a:extLst>
        </xdr:cNvPr>
        <xdr:cNvSpPr txBox="1">
          <a:spLocks noChangeArrowheads="1"/>
        </xdr:cNvSpPr>
      </xdr:nvSpPr>
      <xdr:spPr bwMode="auto">
        <a:xfrm>
          <a:off x="4897550" y="6500397"/>
          <a:ext cx="192617"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N</a:t>
          </a:r>
          <a:r>
            <a:rPr lang="en-US" altLang="ja-JP" sz="400" b="0" i="0" strike="noStrike">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O</a:t>
          </a:r>
        </a:p>
      </xdr:txBody>
    </xdr:sp>
    <xdr:clientData/>
  </xdr:oneCellAnchor>
  <xdr:oneCellAnchor>
    <xdr:from>
      <xdr:col>10</xdr:col>
      <xdr:colOff>150864</xdr:colOff>
      <xdr:row>38</xdr:row>
      <xdr:rowOff>537</xdr:rowOff>
    </xdr:from>
    <xdr:ext cx="631263" cy="151836"/>
    <xdr:sp macro="" textlink="">
      <xdr:nvSpPr>
        <xdr:cNvPr id="68" name="Text Box 135">
          <a:extLst>
            <a:ext uri="{FF2B5EF4-FFF2-40B4-BE49-F238E27FC236}">
              <a16:creationId xmlns:a16="http://schemas.microsoft.com/office/drawing/2014/main" id="{00000000-0008-0000-0300-000044000000}"/>
            </a:ext>
          </a:extLst>
        </xdr:cNvPr>
        <xdr:cNvSpPr txBox="1">
          <a:spLocks noChangeArrowheads="1"/>
        </xdr:cNvSpPr>
      </xdr:nvSpPr>
      <xdr:spPr bwMode="auto">
        <a:xfrm>
          <a:off x="5644884" y="6500397"/>
          <a:ext cx="631263"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その他のガス</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154280</xdr:colOff>
      <xdr:row>40</xdr:row>
      <xdr:rowOff>2050</xdr:rowOff>
    </xdr:from>
    <xdr:ext cx="645561" cy="151836"/>
    <xdr:sp macro="" textlink="">
      <xdr:nvSpPr>
        <xdr:cNvPr id="69" name="Text Box 135">
          <a:extLst>
            <a:ext uri="{FF2B5EF4-FFF2-40B4-BE49-F238E27FC236}">
              <a16:creationId xmlns:a16="http://schemas.microsoft.com/office/drawing/2014/main" id="{00000000-0008-0000-0300-000045000000}"/>
            </a:ext>
          </a:extLst>
        </xdr:cNvPr>
        <xdr:cNvSpPr txBox="1">
          <a:spLocks noChangeArrowheads="1"/>
        </xdr:cNvSpPr>
      </xdr:nvSpPr>
      <xdr:spPr bwMode="auto">
        <a:xfrm>
          <a:off x="3385160"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40</xdr:row>
      <xdr:rowOff>2050</xdr:rowOff>
    </xdr:from>
    <xdr:ext cx="645561" cy="151836"/>
    <xdr:sp macro="" textlink="">
      <xdr:nvSpPr>
        <xdr:cNvPr id="70" name="Text Box 135">
          <a:extLst>
            <a:ext uri="{FF2B5EF4-FFF2-40B4-BE49-F238E27FC236}">
              <a16:creationId xmlns:a16="http://schemas.microsoft.com/office/drawing/2014/main" id="{00000000-0008-0000-0300-000046000000}"/>
            </a:ext>
          </a:extLst>
        </xdr:cNvPr>
        <xdr:cNvSpPr txBox="1">
          <a:spLocks noChangeArrowheads="1"/>
        </xdr:cNvSpPr>
      </xdr:nvSpPr>
      <xdr:spPr bwMode="auto">
        <a:xfrm>
          <a:off x="4140854"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10</xdr:col>
      <xdr:colOff>142653</xdr:colOff>
      <xdr:row>40</xdr:row>
      <xdr:rowOff>2050</xdr:rowOff>
    </xdr:from>
    <xdr:ext cx="645561" cy="151836"/>
    <xdr:sp macro="" textlink="">
      <xdr:nvSpPr>
        <xdr:cNvPr id="71" name="Text Box 135">
          <a:extLst>
            <a:ext uri="{FF2B5EF4-FFF2-40B4-BE49-F238E27FC236}">
              <a16:creationId xmlns:a16="http://schemas.microsoft.com/office/drawing/2014/main" id="{00000000-0008-0000-0300-000047000000}"/>
            </a:ext>
          </a:extLst>
        </xdr:cNvPr>
        <xdr:cNvSpPr txBox="1">
          <a:spLocks noChangeArrowheads="1"/>
        </xdr:cNvSpPr>
      </xdr:nvSpPr>
      <xdr:spPr bwMode="auto">
        <a:xfrm>
          <a:off x="5636673"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149025</xdr:colOff>
      <xdr:row>40</xdr:row>
      <xdr:rowOff>2050</xdr:rowOff>
    </xdr:from>
    <xdr:ext cx="645561" cy="151836"/>
    <xdr:sp macro="" textlink="">
      <xdr:nvSpPr>
        <xdr:cNvPr id="72" name="Text Box 135">
          <a:extLst>
            <a:ext uri="{FF2B5EF4-FFF2-40B4-BE49-F238E27FC236}">
              <a16:creationId xmlns:a16="http://schemas.microsoft.com/office/drawing/2014/main" id="{00000000-0008-0000-0300-000048000000}"/>
            </a:ext>
          </a:extLst>
        </xdr:cNvPr>
        <xdr:cNvSpPr txBox="1">
          <a:spLocks noChangeArrowheads="1"/>
        </xdr:cNvSpPr>
      </xdr:nvSpPr>
      <xdr:spPr bwMode="auto">
        <a:xfrm>
          <a:off x="4888665" y="6821950"/>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151587</xdr:colOff>
      <xdr:row>39</xdr:row>
      <xdr:rowOff>3561</xdr:rowOff>
    </xdr:from>
    <xdr:ext cx="439608" cy="151836"/>
    <xdr:sp macro="" textlink="">
      <xdr:nvSpPr>
        <xdr:cNvPr id="73" name="Text Box 135">
          <a:extLst>
            <a:ext uri="{FF2B5EF4-FFF2-40B4-BE49-F238E27FC236}">
              <a16:creationId xmlns:a16="http://schemas.microsoft.com/office/drawing/2014/main" id="{00000000-0008-0000-0300-000049000000}"/>
            </a:ext>
          </a:extLst>
        </xdr:cNvPr>
        <xdr:cNvSpPr txBox="1">
          <a:spLocks noChangeArrowheads="1"/>
        </xdr:cNvSpPr>
      </xdr:nvSpPr>
      <xdr:spPr bwMode="auto">
        <a:xfrm>
          <a:off x="3382467" y="6663441"/>
          <a:ext cx="439608"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39</xdr:row>
      <xdr:rowOff>3561</xdr:rowOff>
    </xdr:from>
    <xdr:ext cx="538609" cy="151836"/>
    <xdr:sp macro="" textlink="">
      <xdr:nvSpPr>
        <xdr:cNvPr id="74" name="Text Box 135">
          <a:extLst>
            <a:ext uri="{FF2B5EF4-FFF2-40B4-BE49-F238E27FC236}">
              <a16:creationId xmlns:a16="http://schemas.microsoft.com/office/drawing/2014/main" id="{00000000-0008-0000-0300-00004A000000}"/>
            </a:ext>
          </a:extLst>
        </xdr:cNvPr>
        <xdr:cNvSpPr txBox="1">
          <a:spLocks noChangeArrowheads="1"/>
        </xdr:cNvSpPr>
      </xdr:nvSpPr>
      <xdr:spPr bwMode="auto">
        <a:xfrm>
          <a:off x="4140854" y="6663441"/>
          <a:ext cx="53860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非建築敷地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13</xdr:col>
      <xdr:colOff>83820</xdr:colOff>
      <xdr:row>43</xdr:row>
      <xdr:rowOff>0</xdr:rowOff>
    </xdr:from>
    <xdr:ext cx="713785" cy="228600"/>
    <xdr:sp macro="" textlink="">
      <xdr:nvSpPr>
        <xdr:cNvPr id="75" name="Text Box 135">
          <a:extLst>
            <a:ext uri="{FF2B5EF4-FFF2-40B4-BE49-F238E27FC236}">
              <a16:creationId xmlns:a16="http://schemas.microsoft.com/office/drawing/2014/main" id="{00000000-0008-0000-0300-00004B000000}"/>
            </a:ext>
          </a:extLst>
        </xdr:cNvPr>
        <xdr:cNvSpPr txBox="1">
          <a:spLocks noChangeArrowheads="1"/>
        </xdr:cNvSpPr>
      </xdr:nvSpPr>
      <xdr:spPr bwMode="auto">
        <a:xfrm>
          <a:off x="7955280" y="736092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127635</xdr:colOff>
      <xdr:row>53</xdr:row>
      <xdr:rowOff>180975</xdr:rowOff>
    </xdr:from>
    <xdr:ext cx="693973" cy="201850"/>
    <xdr:sp macro="" textlink="">
      <xdr:nvSpPr>
        <xdr:cNvPr id="76" name="Text Box 135">
          <a:extLst>
            <a:ext uri="{FF2B5EF4-FFF2-40B4-BE49-F238E27FC236}">
              <a16:creationId xmlns:a16="http://schemas.microsoft.com/office/drawing/2014/main" id="{00000000-0008-0000-0300-00004C000000}"/>
            </a:ext>
          </a:extLst>
        </xdr:cNvPr>
        <xdr:cNvSpPr txBox="1">
          <a:spLocks noChangeArrowheads="1"/>
        </xdr:cNvSpPr>
      </xdr:nvSpPr>
      <xdr:spPr bwMode="auto">
        <a:xfrm>
          <a:off x="7999095" y="9446895"/>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xdr:from>
      <xdr:col>9</xdr:col>
      <xdr:colOff>0</xdr:colOff>
      <xdr:row>2</xdr:row>
      <xdr:rowOff>0</xdr:rowOff>
    </xdr:from>
    <xdr:to>
      <xdr:col>12</xdr:col>
      <xdr:colOff>243840</xdr:colOff>
      <xdr:row>3</xdr:row>
      <xdr:rowOff>171269</xdr:rowOff>
    </xdr:to>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4739640" y="350520"/>
          <a:ext cx="2567940" cy="346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2000" b="1">
              <a:latin typeface="Arial" panose="020B0604020202020204" pitchFamily="34" charset="0"/>
              <a:cs typeface="Arial" panose="020B0604020202020204" pitchFamily="34" charset="0"/>
            </a:rPr>
            <a:t>SDGs</a:t>
          </a:r>
          <a:r>
            <a:rPr kumimoji="1" lang="ja-JP" altLang="en-US" sz="2000" b="1">
              <a:latin typeface="Arial" panose="020B0604020202020204" pitchFamily="34" charset="0"/>
              <a:cs typeface="Arial" panose="020B0604020202020204" pitchFamily="34" charset="0"/>
            </a:rPr>
            <a:t>対応試行版</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3.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2-3ﾚｰﾀﾞｰ)'!$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2-3ﾚｰﾀﾞｰ)'!$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2-3ﾚｰﾀﾞｰ)'!$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2-3ﾚｰﾀﾞｰ)'!$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2-3ﾚｰﾀﾞｰ)'!$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2-3ﾚｰﾀﾞｰ)'!$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2-3ﾚｰﾀﾞｰ)'!$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2-3ﾚｰﾀﾞｰ)'!$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2-3ﾚｰﾀﾞｰ)'!$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2-3ﾚｰﾀﾞｰ)'!$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userShapes>
</file>

<file path=xl/drawings/drawing15.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2-3ﾚｰﾀﾞｰ)'!$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2-3ﾚｰﾀﾞｰ)'!$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2-3ﾚｰﾀﾞｰ)'!$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2-3ﾚｰﾀﾞｰ)'!$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2-3ﾚｰﾀﾞｰ)'!$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2-3ﾚｰﾀﾞｰ)'!$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2-3ﾚｰﾀﾞｰ)'!$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2-3ﾚｰﾀﾞｰ)'!$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2-3ﾚｰﾀﾞｰ)'!$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2-3ﾚｰﾀﾞｰ)'!$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2-3ﾚｰﾀﾞｰ)'!$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2-3ﾚｰﾀﾞｰ)'!$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2-3ﾚｰﾀﾞｰ)'!$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2-3ﾚｰﾀﾞｰ)'!$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7</xdr:col>
      <xdr:colOff>85725</xdr:colOff>
      <xdr:row>25</xdr:row>
      <xdr:rowOff>190500</xdr:rowOff>
    </xdr:from>
    <xdr:to>
      <xdr:col>11</xdr:col>
      <xdr:colOff>0</xdr:colOff>
      <xdr:row>31</xdr:row>
      <xdr:rowOff>209550</xdr:rowOff>
    </xdr:to>
    <xdr:graphicFrame macro="">
      <xdr:nvGraphicFramePr>
        <xdr:cNvPr id="7138024" name="グラフ 131">
          <a:extLst>
            <a:ext uri="{FF2B5EF4-FFF2-40B4-BE49-F238E27FC236}">
              <a16:creationId xmlns:a16="http://schemas.microsoft.com/office/drawing/2014/main" id="{00000000-0008-0000-0400-0000E8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180975</xdr:colOff>
      <xdr:row>36</xdr:row>
      <xdr:rowOff>123825</xdr:rowOff>
    </xdr:from>
    <xdr:to>
      <xdr:col>15</xdr:col>
      <xdr:colOff>0</xdr:colOff>
      <xdr:row>44</xdr:row>
      <xdr:rowOff>171450</xdr:rowOff>
    </xdr:to>
    <xdr:graphicFrame macro="">
      <xdr:nvGraphicFramePr>
        <xdr:cNvPr id="7138025" name="グラフ 55">
          <a:extLst>
            <a:ext uri="{FF2B5EF4-FFF2-40B4-BE49-F238E27FC236}">
              <a16:creationId xmlns:a16="http://schemas.microsoft.com/office/drawing/2014/main" id="{00000000-0008-0000-0400-0000E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152400</xdr:colOff>
      <xdr:row>25</xdr:row>
      <xdr:rowOff>133350</xdr:rowOff>
    </xdr:from>
    <xdr:to>
      <xdr:col>6</xdr:col>
      <xdr:colOff>167640</xdr:colOff>
      <xdr:row>33</xdr:row>
      <xdr:rowOff>0</xdr:rowOff>
    </xdr:to>
    <xdr:graphicFrame macro="">
      <xdr:nvGraphicFramePr>
        <xdr:cNvPr id="7138026" name="グラフ 10">
          <a:extLst>
            <a:ext uri="{FF2B5EF4-FFF2-40B4-BE49-F238E27FC236}">
              <a16:creationId xmlns:a16="http://schemas.microsoft.com/office/drawing/2014/main" id="{00000000-0008-0000-0400-0000EA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219075</xdr:colOff>
      <xdr:row>22</xdr:row>
      <xdr:rowOff>142875</xdr:rowOff>
    </xdr:from>
    <xdr:to>
      <xdr:col>6</xdr:col>
      <xdr:colOff>19050</xdr:colOff>
      <xdr:row>25</xdr:row>
      <xdr:rowOff>152400</xdr:rowOff>
    </xdr:to>
    <xdr:graphicFrame macro="">
      <xdr:nvGraphicFramePr>
        <xdr:cNvPr id="7138027" name="グラフ 20">
          <a:extLst>
            <a:ext uri="{FF2B5EF4-FFF2-40B4-BE49-F238E27FC236}">
              <a16:creationId xmlns:a16="http://schemas.microsoft.com/office/drawing/2014/main" id="{00000000-0008-0000-0400-0000EB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152400</xdr:colOff>
      <xdr:row>36</xdr:row>
      <xdr:rowOff>123825</xdr:rowOff>
    </xdr:from>
    <xdr:to>
      <xdr:col>7</xdr:col>
      <xdr:colOff>0</xdr:colOff>
      <xdr:row>44</xdr:row>
      <xdr:rowOff>169545</xdr:rowOff>
    </xdr:to>
    <xdr:graphicFrame macro="">
      <xdr:nvGraphicFramePr>
        <xdr:cNvPr id="7138028" name="グラフ 54">
          <a:extLst>
            <a:ext uri="{FF2B5EF4-FFF2-40B4-BE49-F238E27FC236}">
              <a16:creationId xmlns:a16="http://schemas.microsoft.com/office/drawing/2014/main" id="{00000000-0008-0000-0400-0000EC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238125</xdr:colOff>
      <xdr:row>36</xdr:row>
      <xdr:rowOff>114300</xdr:rowOff>
    </xdr:from>
    <xdr:to>
      <xdr:col>11</xdr:col>
      <xdr:colOff>15240</xdr:colOff>
      <xdr:row>44</xdr:row>
      <xdr:rowOff>152400</xdr:rowOff>
    </xdr:to>
    <xdr:graphicFrame macro="">
      <xdr:nvGraphicFramePr>
        <xdr:cNvPr id="7138029" name="グラフ 56">
          <a:extLst>
            <a:ext uri="{FF2B5EF4-FFF2-40B4-BE49-F238E27FC236}">
              <a16:creationId xmlns:a16="http://schemas.microsoft.com/office/drawing/2014/main" id="{00000000-0008-0000-0400-0000E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175260</xdr:colOff>
      <xdr:row>43</xdr:row>
      <xdr:rowOff>104775</xdr:rowOff>
    </xdr:from>
    <xdr:to>
      <xdr:col>7</xdr:col>
      <xdr:colOff>98426</xdr:colOff>
      <xdr:row>44</xdr:row>
      <xdr:rowOff>152400</xdr:rowOff>
    </xdr:to>
    <xdr:sp macro="" textlink="">
      <xdr:nvSpPr>
        <xdr:cNvPr id="172089" name="Text Box 57">
          <a:extLst>
            <a:ext uri="{FF2B5EF4-FFF2-40B4-BE49-F238E27FC236}">
              <a16:creationId xmlns:a16="http://schemas.microsoft.com/office/drawing/2014/main" id="{00000000-0008-0000-0400-000039A00200}"/>
            </a:ext>
          </a:extLst>
        </xdr:cNvPr>
        <xdr:cNvSpPr txBox="1">
          <a:spLocks noChangeArrowheads="1"/>
        </xdr:cNvSpPr>
      </xdr:nvSpPr>
      <xdr:spPr bwMode="auto">
        <a:xfrm>
          <a:off x="394335" y="9572625"/>
          <a:ext cx="3144521"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資源　　　　  　自然（緑・生物多様性）　　 人工物（建築）</a:t>
          </a:r>
        </a:p>
      </xdr:txBody>
    </xdr:sp>
    <xdr:clientData/>
  </xdr:twoCellAnchor>
  <xdr:twoCellAnchor>
    <xdr:from>
      <xdr:col>0</xdr:col>
      <xdr:colOff>38100</xdr:colOff>
      <xdr:row>76</xdr:row>
      <xdr:rowOff>76200</xdr:rowOff>
    </xdr:from>
    <xdr:to>
      <xdr:col>14</xdr:col>
      <xdr:colOff>822921</xdr:colOff>
      <xdr:row>78</xdr:row>
      <xdr:rowOff>76200</xdr:rowOff>
    </xdr:to>
    <xdr:sp macro="" textlink="">
      <xdr:nvSpPr>
        <xdr:cNvPr id="172189" name="Text Box 157">
          <a:extLst>
            <a:ext uri="{FF2B5EF4-FFF2-40B4-BE49-F238E27FC236}">
              <a16:creationId xmlns:a16="http://schemas.microsoft.com/office/drawing/2014/main" id="{00000000-0008-0000-0400-00009DA00200}"/>
            </a:ext>
          </a:extLst>
        </xdr:cNvPr>
        <xdr:cNvSpPr txBox="1">
          <a:spLocks noChangeArrowheads="1"/>
        </xdr:cNvSpPr>
      </xdr:nvSpPr>
      <xdr:spPr bwMode="auto">
        <a:xfrm>
          <a:off x="38100" y="16306800"/>
          <a:ext cx="10300296" cy="342900"/>
        </a:xfrm>
        <a:prstGeom prst="rect">
          <a:avLst/>
        </a:prstGeom>
        <a:solidFill>
          <a:srgbClr val="FFFFFF"/>
        </a:solidFill>
        <a:ln>
          <a:noFill/>
        </a:ln>
      </xdr:spPr>
      <xdr:txBody>
        <a:bodyPr vertOverflow="clip" wrap="square" lIns="27432" tIns="18288" rIns="0" bIns="0" anchor="t"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■CASBEE: Comprehensive Assessment System for Buil</a:t>
          </a:r>
          <a:r>
            <a:rPr lang="en-US" altLang="ja-JP" sz="900" b="1" i="0" u="none" strike="noStrike" baseline="0">
              <a:solidFill>
                <a:srgbClr val="000000"/>
              </a:solidFill>
              <a:latin typeface="ＭＳ Ｐゴシック"/>
              <a:ea typeface="ＭＳ Ｐゴシック"/>
            </a:rPr>
            <a:t>t </a:t>
          </a:r>
          <a:r>
            <a:rPr lang="ja-JP" altLang="en-US" sz="900" b="1" i="0" u="none" strike="noStrike" baseline="0">
              <a:solidFill>
                <a:srgbClr val="000000"/>
              </a:solidFill>
              <a:latin typeface="ＭＳ Ｐゴシック"/>
              <a:ea typeface="ＭＳ Ｐゴシック"/>
            </a:rPr>
            <a:t>Environment Efficiency</a:t>
          </a:r>
          <a:r>
            <a:rPr lang="ja-JP" altLang="en-US" sz="900" b="0" i="0" u="none" strike="noStrike" baseline="0">
              <a:solidFill>
                <a:srgbClr val="000000"/>
              </a:solidFill>
              <a:latin typeface="ＭＳ Ｐゴシック"/>
              <a:ea typeface="ＭＳ Ｐゴシック"/>
            </a:rPr>
            <a:t> （建築環境</a:t>
          </a:r>
          <a:r>
            <a:rPr lang="ja-JP" altLang="ja-JP" sz="1000" b="0" i="0" baseline="0">
              <a:effectLst/>
              <a:latin typeface="+mn-lt"/>
              <a:ea typeface="+mn-ea"/>
              <a:cs typeface="+mn-cs"/>
            </a:rPr>
            <a:t>総合</a:t>
          </a:r>
          <a:r>
            <a:rPr lang="ja-JP" altLang="en-US" sz="900" b="0" i="0" u="none" strike="noStrike" baseline="0">
              <a:solidFill>
                <a:srgbClr val="000000"/>
              </a:solidFill>
              <a:latin typeface="ＭＳ Ｐゴシック"/>
              <a:ea typeface="ＭＳ Ｐゴシック"/>
            </a:rPr>
            <a:t>性能評価システム）</a:t>
          </a: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（街区の環境品質）、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（街区の環境負荷）、 </a:t>
          </a:r>
          <a:r>
            <a:rPr lang="ja-JP" altLang="en-US" sz="900" b="1" i="0" u="none" strike="noStrike" baseline="0">
              <a:solidFill>
                <a:srgbClr val="000000"/>
              </a:solidFill>
              <a:latin typeface="ＭＳ Ｐゴシック"/>
              <a:ea typeface="ＭＳ Ｐゴシック"/>
            </a:rPr>
            <a:t>BEE: Buil</a:t>
          </a:r>
          <a:r>
            <a:rPr lang="en-US" altLang="ja-JP" sz="900" b="1" i="0" u="none" strike="noStrike" baseline="0">
              <a:solidFill>
                <a:srgbClr val="000000"/>
              </a:solidFill>
              <a:latin typeface="ＭＳ Ｐゴシック"/>
              <a:ea typeface="ＭＳ Ｐゴシック"/>
            </a:rPr>
            <a:t>t</a:t>
          </a:r>
          <a:r>
            <a:rPr lang="ja-JP" altLang="en-US" sz="900" b="1" i="0" u="none" strike="noStrike" baseline="0">
              <a:solidFill>
                <a:srgbClr val="000000"/>
              </a:solidFill>
              <a:latin typeface="ＭＳ Ｐゴシック"/>
              <a:ea typeface="ＭＳ Ｐゴシック"/>
            </a:rPr>
            <a:t> Environment Efficiency  </a:t>
          </a:r>
          <a:r>
            <a:rPr lang="ja-JP" altLang="en-US" sz="900" b="0" i="0" u="none" strike="noStrike" baseline="0">
              <a:solidFill>
                <a:srgbClr val="000000"/>
              </a:solidFill>
              <a:latin typeface="ＭＳ Ｐゴシック"/>
              <a:ea typeface="ＭＳ Ｐゴシック"/>
            </a:rPr>
            <a:t>（街区の環境効率）、</a:t>
          </a:r>
          <a:r>
            <a:rPr lang="ja-JP" altLang="ja-JP" sz="1000" b="1" i="0" baseline="0">
              <a:effectLst/>
              <a:latin typeface="+mn-lt"/>
              <a:ea typeface="+mn-ea"/>
              <a:cs typeface="+mn-cs"/>
            </a:rPr>
            <a:t>B</a:t>
          </a:r>
          <a:r>
            <a:rPr lang="en-US" altLang="ja-JP" sz="1000" b="1" i="0" baseline="0">
              <a:effectLst/>
              <a:latin typeface="+mn-lt"/>
              <a:ea typeface="+mn-ea"/>
              <a:cs typeface="+mn-cs"/>
            </a:rPr>
            <a:t>AU</a:t>
          </a:r>
          <a:r>
            <a:rPr lang="ja-JP" altLang="ja-JP" sz="1000" b="1" i="0" baseline="0">
              <a:effectLst/>
              <a:latin typeface="+mn-lt"/>
              <a:ea typeface="+mn-ea"/>
              <a:cs typeface="+mn-cs"/>
            </a:rPr>
            <a:t>: Bu</a:t>
          </a:r>
          <a:r>
            <a:rPr lang="en-US" altLang="ja-JP" sz="1000" b="1" i="0" baseline="0">
              <a:effectLst/>
              <a:latin typeface="+mn-lt"/>
              <a:ea typeface="+mn-ea"/>
              <a:cs typeface="+mn-cs"/>
            </a:rPr>
            <a:t>siness As Usual</a:t>
          </a:r>
          <a:r>
            <a:rPr lang="ja-JP" altLang="ja-JP" sz="1000" b="1" i="0" baseline="0">
              <a:effectLst/>
              <a:latin typeface="+mn-lt"/>
              <a:ea typeface="+mn-ea"/>
              <a:cs typeface="+mn-cs"/>
            </a:rPr>
            <a:t>  </a:t>
          </a:r>
          <a:r>
            <a:rPr lang="ja-JP" altLang="ja-JP" sz="1000" b="0" i="0" baseline="0">
              <a:effectLst/>
              <a:latin typeface="+mn-lt"/>
              <a:ea typeface="+mn-ea"/>
              <a:cs typeface="+mn-cs"/>
            </a:rPr>
            <a:t>（</a:t>
          </a:r>
          <a:r>
            <a:rPr lang="ja-JP" altLang="en-US" sz="1000" b="0" i="0" baseline="0">
              <a:effectLst/>
              <a:latin typeface="+mn-lt"/>
              <a:ea typeface="+mn-ea"/>
              <a:cs typeface="+mn-cs"/>
            </a:rPr>
            <a:t>現状趨勢</a:t>
          </a:r>
          <a:r>
            <a:rPr lang="ja-JP" altLang="ja-JP" sz="1000" b="0" i="0" baseline="0">
              <a:effectLst/>
              <a:latin typeface="+mn-lt"/>
              <a:ea typeface="+mn-ea"/>
              <a:cs typeface="+mn-cs"/>
            </a:rPr>
            <a:t>）</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oneCellAnchor>
    <xdr:from>
      <xdr:col>13</xdr:col>
      <xdr:colOff>81915</xdr:colOff>
      <xdr:row>35</xdr:row>
      <xdr:rowOff>177613</xdr:rowOff>
    </xdr:from>
    <xdr:ext cx="779957" cy="201850"/>
    <xdr:sp macro="" textlink="">
      <xdr:nvSpPr>
        <xdr:cNvPr id="172191" name="Text Box 159">
          <a:extLst>
            <a:ext uri="{FF2B5EF4-FFF2-40B4-BE49-F238E27FC236}">
              <a16:creationId xmlns:a16="http://schemas.microsoft.com/office/drawing/2014/main" id="{00000000-0008-0000-0400-00009FA00200}"/>
            </a:ext>
          </a:extLst>
        </xdr:cNvPr>
        <xdr:cNvSpPr txBox="1">
          <a:spLocks noChangeArrowheads="1"/>
        </xdr:cNvSpPr>
      </xdr:nvSpPr>
      <xdr:spPr bwMode="auto">
        <a:xfrm>
          <a:off x="873061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Q3のスコア=</a:t>
          </a:r>
        </a:p>
      </xdr:txBody>
    </xdr:sp>
    <xdr:clientData/>
  </xdr:oneCellAnchor>
  <xdr:oneCellAnchor>
    <xdr:from>
      <xdr:col>9</xdr:col>
      <xdr:colOff>169545</xdr:colOff>
      <xdr:row>35</xdr:row>
      <xdr:rowOff>177613</xdr:rowOff>
    </xdr:from>
    <xdr:ext cx="779957" cy="201850"/>
    <xdr:sp macro="" textlink="">
      <xdr:nvSpPr>
        <xdr:cNvPr id="172192" name="Text Box 160">
          <a:extLst>
            <a:ext uri="{FF2B5EF4-FFF2-40B4-BE49-F238E27FC236}">
              <a16:creationId xmlns:a16="http://schemas.microsoft.com/office/drawing/2014/main" id="{00000000-0008-0000-0400-0000A0A00200}"/>
            </a:ext>
          </a:extLst>
        </xdr:cNvPr>
        <xdr:cNvSpPr txBox="1">
          <a:spLocks noChangeArrowheads="1"/>
        </xdr:cNvSpPr>
      </xdr:nvSpPr>
      <xdr:spPr bwMode="auto">
        <a:xfrm>
          <a:off x="535114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Q2のスコア=</a:t>
          </a:r>
        </a:p>
      </xdr:txBody>
    </xdr:sp>
    <xdr:clientData/>
  </xdr:oneCellAnchor>
  <xdr:oneCellAnchor>
    <xdr:from>
      <xdr:col>4</xdr:col>
      <xdr:colOff>110490</xdr:colOff>
      <xdr:row>35</xdr:row>
      <xdr:rowOff>177613</xdr:rowOff>
    </xdr:from>
    <xdr:ext cx="779957" cy="201850"/>
    <xdr:sp macro="" textlink="">
      <xdr:nvSpPr>
        <xdr:cNvPr id="172194" name="Text Box 162">
          <a:extLst>
            <a:ext uri="{FF2B5EF4-FFF2-40B4-BE49-F238E27FC236}">
              <a16:creationId xmlns:a16="http://schemas.microsoft.com/office/drawing/2014/main" id="{00000000-0008-0000-0400-0000A2A00200}"/>
            </a:ext>
          </a:extLst>
        </xdr:cNvPr>
        <xdr:cNvSpPr txBox="1">
          <a:spLocks noChangeArrowheads="1"/>
        </xdr:cNvSpPr>
      </xdr:nvSpPr>
      <xdr:spPr bwMode="auto">
        <a:xfrm>
          <a:off x="2044065" y="8121463"/>
          <a:ext cx="779957" cy="201850"/>
        </a:xfrm>
        <a:prstGeom prst="rect">
          <a:avLst/>
        </a:prstGeom>
        <a:noFill/>
        <a:ln>
          <a:noFill/>
        </a:ln>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Q1のスコア=</a:t>
          </a:r>
        </a:p>
      </xdr:txBody>
    </xdr:sp>
    <xdr:clientData/>
  </xdr:oneCellAnchor>
  <xdr:twoCellAnchor editAs="oneCell">
    <xdr:from>
      <xdr:col>1</xdr:col>
      <xdr:colOff>49529</xdr:colOff>
      <xdr:row>24</xdr:row>
      <xdr:rowOff>247650</xdr:rowOff>
    </xdr:from>
    <xdr:to>
      <xdr:col>7</xdr:col>
      <xdr:colOff>53396</xdr:colOff>
      <xdr:row>25</xdr:row>
      <xdr:rowOff>171450</xdr:rowOff>
    </xdr:to>
    <xdr:sp macro="" textlink="">
      <xdr:nvSpPr>
        <xdr:cNvPr id="172196" name="Text Box 164">
          <a:extLst>
            <a:ext uri="{FF2B5EF4-FFF2-40B4-BE49-F238E27FC236}">
              <a16:creationId xmlns:a16="http://schemas.microsoft.com/office/drawing/2014/main" id="{00000000-0008-0000-0400-0000A4A00200}"/>
            </a:ext>
          </a:extLst>
        </xdr:cNvPr>
        <xdr:cNvSpPr txBox="1">
          <a:spLocks noChangeArrowheads="1"/>
        </xdr:cNvSpPr>
      </xdr:nvSpPr>
      <xdr:spPr bwMode="auto">
        <a:xfrm>
          <a:off x="106679" y="4591050"/>
          <a:ext cx="338400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S: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A: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B</a:t>
          </a:r>
          <a:r>
            <a:rPr lang="ja-JP" altLang="en-US" sz="1000" b="0" i="0" u="none" strike="noStrike" baseline="3000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0" i="0" u="none" strike="noStrike" baseline="0">
              <a:solidFill>
                <a:srgbClr val="333333"/>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C: </a:t>
          </a:r>
          <a:r>
            <a:rPr lang="ja-JP" altLang="en-US" sz="1000" b="0" i="0" u="none" strike="noStrike" baseline="0">
              <a:solidFill>
                <a:srgbClr val="333333"/>
              </a:solidFill>
              <a:latin typeface="ＭＳ Ｐゴシック"/>
              <a:ea typeface="ＭＳ Ｐゴシック"/>
            </a:rPr>
            <a:t>★</a:t>
          </a:r>
        </a:p>
      </xdr:txBody>
    </xdr:sp>
    <xdr:clientData/>
  </xdr:twoCellAnchor>
  <xdr:twoCellAnchor editAs="oneCell">
    <xdr:from>
      <xdr:col>1</xdr:col>
      <xdr:colOff>99060</xdr:colOff>
      <xdr:row>26</xdr:row>
      <xdr:rowOff>76200</xdr:rowOff>
    </xdr:from>
    <xdr:to>
      <xdr:col>2</xdr:col>
      <xdr:colOff>262898</xdr:colOff>
      <xdr:row>32</xdr:row>
      <xdr:rowOff>228600</xdr:rowOff>
    </xdr:to>
    <xdr:sp macro="" textlink="">
      <xdr:nvSpPr>
        <xdr:cNvPr id="172205" name="Text Box 173">
          <a:extLst>
            <a:ext uri="{FF2B5EF4-FFF2-40B4-BE49-F238E27FC236}">
              <a16:creationId xmlns:a16="http://schemas.microsoft.com/office/drawing/2014/main" id="{00000000-0008-0000-0400-0000ADA00200}"/>
            </a:ext>
          </a:extLst>
        </xdr:cNvPr>
        <xdr:cNvSpPr txBox="1">
          <a:spLocks noChangeArrowheads="1"/>
        </xdr:cNvSpPr>
      </xdr:nvSpPr>
      <xdr:spPr bwMode="auto">
        <a:xfrm>
          <a:off x="161925" y="5324475"/>
          <a:ext cx="323850" cy="2266950"/>
        </a:xfrm>
        <a:prstGeom prst="rect">
          <a:avLst/>
        </a:prstGeom>
        <a:noFill/>
        <a:ln>
          <a:noFill/>
        </a:ln>
        <a:effectLst/>
      </xdr:spPr>
      <xdr:txBody>
        <a:bodyPr vertOverflow="clip" vert="vert270"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街区の環境品質 Ｑ</a:t>
          </a:r>
        </a:p>
      </xdr:txBody>
    </xdr:sp>
    <xdr:clientData/>
  </xdr:twoCellAnchor>
  <xdr:twoCellAnchor>
    <xdr:from>
      <xdr:col>1</xdr:col>
      <xdr:colOff>9525</xdr:colOff>
      <xdr:row>25</xdr:row>
      <xdr:rowOff>161925</xdr:rowOff>
    </xdr:from>
    <xdr:to>
      <xdr:col>7</xdr:col>
      <xdr:colOff>0</xdr:colOff>
      <xdr:row>25</xdr:row>
      <xdr:rowOff>161925</xdr:rowOff>
    </xdr:to>
    <xdr:sp macro="" textlink="">
      <xdr:nvSpPr>
        <xdr:cNvPr id="7138037" name="Line 174">
          <a:extLst>
            <a:ext uri="{FF2B5EF4-FFF2-40B4-BE49-F238E27FC236}">
              <a16:creationId xmlns:a16="http://schemas.microsoft.com/office/drawing/2014/main" id="{00000000-0008-0000-0400-0000F5EA6C00}"/>
            </a:ext>
          </a:extLst>
        </xdr:cNvPr>
        <xdr:cNvSpPr>
          <a:spLocks noChangeShapeType="1"/>
        </xdr:cNvSpPr>
      </xdr:nvSpPr>
      <xdr:spPr bwMode="auto">
        <a:xfrm>
          <a:off x="66675" y="4791075"/>
          <a:ext cx="3381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626745</xdr:colOff>
      <xdr:row>32</xdr:row>
      <xdr:rowOff>76200</xdr:rowOff>
    </xdr:from>
    <xdr:to>
      <xdr:col>5</xdr:col>
      <xdr:colOff>263031</xdr:colOff>
      <xdr:row>33</xdr:row>
      <xdr:rowOff>19050</xdr:rowOff>
    </xdr:to>
    <xdr:sp macro="" textlink="">
      <xdr:nvSpPr>
        <xdr:cNvPr id="172207" name="Text Box 175">
          <a:extLst>
            <a:ext uri="{FF2B5EF4-FFF2-40B4-BE49-F238E27FC236}">
              <a16:creationId xmlns:a16="http://schemas.microsoft.com/office/drawing/2014/main" id="{00000000-0008-0000-0400-0000AFA00200}"/>
            </a:ext>
          </a:extLst>
        </xdr:cNvPr>
        <xdr:cNvSpPr txBox="1">
          <a:spLocks noChangeArrowheads="1"/>
        </xdr:cNvSpPr>
      </xdr:nvSpPr>
      <xdr:spPr bwMode="auto">
        <a:xfrm>
          <a:off x="845820" y="7172325"/>
          <a:ext cx="1855611" cy="295275"/>
        </a:xfrm>
        <a:prstGeom prst="rect">
          <a:avLst/>
        </a:prstGeom>
        <a:noFill/>
        <a:ln>
          <a:noFill/>
        </a:ln>
        <a:effectLst/>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街区の環境負荷 L</a:t>
          </a:r>
        </a:p>
      </xdr:txBody>
    </xdr:sp>
    <xdr:clientData/>
  </xdr:twoCellAnchor>
  <xdr:twoCellAnchor editAs="oneCell">
    <xdr:from>
      <xdr:col>12</xdr:col>
      <xdr:colOff>312420</xdr:colOff>
      <xdr:row>2</xdr:row>
      <xdr:rowOff>11430</xdr:rowOff>
    </xdr:from>
    <xdr:to>
      <xdr:col>13</xdr:col>
      <xdr:colOff>436244</xdr:colOff>
      <xdr:row>3</xdr:row>
      <xdr:rowOff>17224</xdr:rowOff>
    </xdr:to>
    <xdr:sp macro="" textlink="">
      <xdr:nvSpPr>
        <xdr:cNvPr id="172210" name="Text Box 178">
          <a:extLst>
            <a:ext uri="{FF2B5EF4-FFF2-40B4-BE49-F238E27FC236}">
              <a16:creationId xmlns:a16="http://schemas.microsoft.com/office/drawing/2014/main" id="{00000000-0008-0000-0400-0000B2A00200}"/>
            </a:ext>
          </a:extLst>
        </xdr:cNvPr>
        <xdr:cNvSpPr txBox="1">
          <a:spLocks noChangeArrowheads="1"/>
        </xdr:cNvSpPr>
      </xdr:nvSpPr>
      <xdr:spPr bwMode="auto">
        <a:xfrm>
          <a:off x="8124825" y="542925"/>
          <a:ext cx="981075" cy="190500"/>
        </a:xfrm>
        <a:prstGeom prst="rect">
          <a:avLst/>
        </a:prstGeom>
        <a:noFill/>
        <a:ln>
          <a:noFill/>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■評価ソフト：</a:t>
          </a:r>
        </a:p>
      </xdr:txBody>
    </xdr:sp>
    <xdr:clientData/>
  </xdr:twoCellAnchor>
  <xdr:twoCellAnchor editAs="oneCell">
    <xdr:from>
      <xdr:col>11</xdr:col>
      <xdr:colOff>552450</xdr:colOff>
      <xdr:row>1</xdr:row>
      <xdr:rowOff>38100</xdr:rowOff>
    </xdr:from>
    <xdr:to>
      <xdr:col>14</xdr:col>
      <xdr:colOff>552450</xdr:colOff>
      <xdr:row>2</xdr:row>
      <xdr:rowOff>15240</xdr:rowOff>
    </xdr:to>
    <xdr:pic>
      <xdr:nvPicPr>
        <xdr:cNvPr id="7138040" name="Picture 181" descr="評価結果">
          <a:extLst>
            <a:ext uri="{FF2B5EF4-FFF2-40B4-BE49-F238E27FC236}">
              <a16:creationId xmlns:a16="http://schemas.microsoft.com/office/drawing/2014/main" id="{00000000-0008-0000-0400-0000F8EA6C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67600" y="114300"/>
          <a:ext cx="26003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895350</xdr:colOff>
      <xdr:row>23</xdr:row>
      <xdr:rowOff>257175</xdr:rowOff>
    </xdr:from>
    <xdr:to>
      <xdr:col>16</xdr:col>
      <xdr:colOff>9525</xdr:colOff>
      <xdr:row>32</xdr:row>
      <xdr:rowOff>66675</xdr:rowOff>
    </xdr:to>
    <xdr:graphicFrame macro="">
      <xdr:nvGraphicFramePr>
        <xdr:cNvPr id="7138041" name="Chart 17">
          <a:extLst>
            <a:ext uri="{FF2B5EF4-FFF2-40B4-BE49-F238E27FC236}">
              <a16:creationId xmlns:a16="http://schemas.microsoft.com/office/drawing/2014/main" id="{00000000-0008-0000-0400-0000F9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327660</xdr:colOff>
      <xdr:row>43</xdr:row>
      <xdr:rowOff>104775</xdr:rowOff>
    </xdr:from>
    <xdr:to>
      <xdr:col>11</xdr:col>
      <xdr:colOff>11460</xdr:colOff>
      <xdr:row>44</xdr:row>
      <xdr:rowOff>152400</xdr:rowOff>
    </xdr:to>
    <xdr:sp macro="" textlink="">
      <xdr:nvSpPr>
        <xdr:cNvPr id="54" name="Text Box 57">
          <a:extLst>
            <a:ext uri="{FF2B5EF4-FFF2-40B4-BE49-F238E27FC236}">
              <a16:creationId xmlns:a16="http://schemas.microsoft.com/office/drawing/2014/main" id="{00000000-0008-0000-0400-000036000000}"/>
            </a:ext>
          </a:extLst>
        </xdr:cNvPr>
        <xdr:cNvSpPr txBox="1">
          <a:spLocks noChangeArrowheads="1"/>
        </xdr:cNvSpPr>
      </xdr:nvSpPr>
      <xdr:spPr bwMode="auto">
        <a:xfrm>
          <a:off x="3775710" y="9572625"/>
          <a:ext cx="3143280"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公平・公正　　　　　　　　  安全安心　　　　　　　　　アメニティ</a:t>
          </a:r>
        </a:p>
      </xdr:txBody>
    </xdr:sp>
    <xdr:clientData/>
  </xdr:twoCellAnchor>
  <xdr:twoCellAnchor editAs="oneCell">
    <xdr:from>
      <xdr:col>11</xdr:col>
      <xdr:colOff>241935</xdr:colOff>
      <xdr:row>43</xdr:row>
      <xdr:rowOff>104775</xdr:rowOff>
    </xdr:from>
    <xdr:to>
      <xdr:col>15</xdr:col>
      <xdr:colOff>29</xdr:colOff>
      <xdr:row>44</xdr:row>
      <xdr:rowOff>152400</xdr:rowOff>
    </xdr:to>
    <xdr:sp macro="" textlink="">
      <xdr:nvSpPr>
        <xdr:cNvPr id="55" name="Text Box 57">
          <a:extLst>
            <a:ext uri="{FF2B5EF4-FFF2-40B4-BE49-F238E27FC236}">
              <a16:creationId xmlns:a16="http://schemas.microsoft.com/office/drawing/2014/main" id="{00000000-0008-0000-0400-000037000000}"/>
            </a:ext>
          </a:extLst>
        </xdr:cNvPr>
        <xdr:cNvSpPr txBox="1">
          <a:spLocks noChangeArrowheads="1"/>
        </xdr:cNvSpPr>
      </xdr:nvSpPr>
      <xdr:spPr bwMode="auto">
        <a:xfrm>
          <a:off x="7157085" y="9572625"/>
          <a:ext cx="3143279" cy="238125"/>
        </a:xfrm>
        <a:prstGeom prst="rect">
          <a:avLst/>
        </a:prstGeom>
        <a:noFill/>
        <a:ln>
          <a:noFill/>
        </a:ln>
      </xdr:spPr>
      <xdr:txBody>
        <a:bodyPr vertOverflow="clip" wrap="square" lIns="0" tIns="0" rIns="0" bIns="0" anchor="ctr" upright="1"/>
        <a:lstStyle/>
        <a:p>
          <a:pPr algn="l" rtl="0">
            <a:defRPr sz="1000"/>
          </a:pPr>
          <a:r>
            <a:rPr lang="ja-JP" altLang="en-US" sz="800" b="0" i="0" u="none" strike="noStrike" baseline="0">
              <a:solidFill>
                <a:srgbClr val="000000"/>
              </a:solidFill>
              <a:latin typeface="ＭＳ Ｐゴシック"/>
              <a:ea typeface="ＭＳ Ｐゴシック"/>
            </a:rPr>
            <a:t>　　　　　交通・都市構造　　　　　　　成長性　　　　　　　 効率性・合理性</a:t>
          </a:r>
        </a:p>
      </xdr:txBody>
    </xdr:sp>
    <xdr:clientData/>
  </xdr:twoCellAnchor>
  <xdr:twoCellAnchor editAs="oneCell">
    <xdr:from>
      <xdr:col>6</xdr:col>
      <xdr:colOff>503144</xdr:colOff>
      <xdr:row>26</xdr:row>
      <xdr:rowOff>317126</xdr:rowOff>
    </xdr:from>
    <xdr:to>
      <xdr:col>7</xdr:col>
      <xdr:colOff>545939</xdr:colOff>
      <xdr:row>27</xdr:row>
      <xdr:rowOff>210446</xdr:rowOff>
    </xdr:to>
    <xdr:sp macro="" textlink="">
      <xdr:nvSpPr>
        <xdr:cNvPr id="56" name="Text Box 57">
          <a:extLst>
            <a:ext uri="{FF2B5EF4-FFF2-40B4-BE49-F238E27FC236}">
              <a16:creationId xmlns:a16="http://schemas.microsoft.com/office/drawing/2014/main" id="{00000000-0008-0000-0400-000038000000}"/>
            </a:ext>
          </a:extLst>
        </xdr:cNvPr>
        <xdr:cNvSpPr txBox="1">
          <a:spLocks noChangeArrowheads="1"/>
        </xdr:cNvSpPr>
      </xdr:nvSpPr>
      <xdr:spPr bwMode="auto">
        <a:xfrm>
          <a:off x="3446369" y="5298701"/>
          <a:ext cx="540000" cy="238125"/>
        </a:xfrm>
        <a:prstGeom prst="rect">
          <a:avLst/>
        </a:prstGeom>
        <a:noFill/>
        <a:ln>
          <a:noFill/>
        </a:ln>
      </xdr:spPr>
      <xdr:txBody>
        <a:bodyPr vertOverflow="clip" wrap="square" lIns="0" tIns="0" rIns="0" bIns="0" anchor="ctr" upright="1"/>
        <a:lstStyle/>
        <a:p>
          <a:pPr algn="r" rtl="0">
            <a:defRPr sz="1000"/>
          </a:pPr>
          <a:r>
            <a:rPr lang="en-US" altLang="ja-JP" sz="1050" b="0" i="0" u="none" strike="noStrike" baseline="0">
              <a:solidFill>
                <a:srgbClr val="000000"/>
              </a:solidFill>
              <a:latin typeface="ＭＳ Ｐゴシック"/>
              <a:ea typeface="ＭＳ Ｐゴシック"/>
            </a:rPr>
            <a:t>BAU</a:t>
          </a:r>
          <a:endParaRPr lang="ja-JP" altLang="en-US" sz="1050" b="0" i="0" u="none" strike="noStrike" baseline="0">
            <a:solidFill>
              <a:srgbClr val="000000"/>
            </a:solidFill>
            <a:latin typeface="ＭＳ Ｐゴシック"/>
            <a:ea typeface="ＭＳ Ｐゴシック"/>
          </a:endParaRPr>
        </a:p>
      </xdr:txBody>
    </xdr:sp>
    <xdr:clientData/>
  </xdr:twoCellAnchor>
  <xdr:twoCellAnchor editAs="oneCell">
    <xdr:from>
      <xdr:col>1</xdr:col>
      <xdr:colOff>152400</xdr:colOff>
      <xdr:row>47</xdr:row>
      <xdr:rowOff>38100</xdr:rowOff>
    </xdr:from>
    <xdr:to>
      <xdr:col>7</xdr:col>
      <xdr:colOff>0</xdr:colOff>
      <xdr:row>56</xdr:row>
      <xdr:rowOff>17145</xdr:rowOff>
    </xdr:to>
    <xdr:graphicFrame macro="">
      <xdr:nvGraphicFramePr>
        <xdr:cNvPr id="7138045" name="グラフ 131">
          <a:extLst>
            <a:ext uri="{FF2B5EF4-FFF2-40B4-BE49-F238E27FC236}">
              <a16:creationId xmlns:a16="http://schemas.microsoft.com/office/drawing/2014/main" id="{00000000-0008-0000-0400-0000FD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180975</xdr:colOff>
      <xdr:row>47</xdr:row>
      <xdr:rowOff>38100</xdr:rowOff>
    </xdr:from>
    <xdr:to>
      <xdr:col>15</xdr:col>
      <xdr:colOff>0</xdr:colOff>
      <xdr:row>56</xdr:row>
      <xdr:rowOff>17145</xdr:rowOff>
    </xdr:to>
    <xdr:graphicFrame macro="">
      <xdr:nvGraphicFramePr>
        <xdr:cNvPr id="7138046" name="グラフ 131">
          <a:extLst>
            <a:ext uri="{FF2B5EF4-FFF2-40B4-BE49-F238E27FC236}">
              <a16:creationId xmlns:a16="http://schemas.microsoft.com/office/drawing/2014/main" id="{00000000-0008-0000-0400-0000FEEA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8284</xdr:colOff>
      <xdr:row>38</xdr:row>
      <xdr:rowOff>76201</xdr:rowOff>
    </xdr:from>
    <xdr:to>
      <xdr:col>2</xdr:col>
      <xdr:colOff>121414</xdr:colOff>
      <xdr:row>42</xdr:row>
      <xdr:rowOff>71438</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rot="16200000">
          <a:off x="-175657" y="8832642"/>
          <a:ext cx="757237" cy="27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7</xdr:col>
      <xdr:colOff>247651</xdr:colOff>
      <xdr:row>31</xdr:row>
      <xdr:rowOff>85952</xdr:rowOff>
    </xdr:from>
    <xdr:to>
      <xdr:col>10</xdr:col>
      <xdr:colOff>723900</xdr:colOff>
      <xdr:row>32</xdr:row>
      <xdr:rowOff>9681</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95701" y="6829652"/>
          <a:ext cx="3248024" cy="27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温室効果ガス排出量</a:t>
          </a:r>
          <a:r>
            <a:rPr kumimoji="1" lang="en-US" altLang="ja-JP" sz="1000"/>
            <a:t>[t-CO</a:t>
          </a:r>
          <a:r>
            <a:rPr kumimoji="1" lang="en-US" altLang="ja-JP" sz="1000" baseline="-25000"/>
            <a:t>2</a:t>
          </a:r>
          <a:r>
            <a:rPr kumimoji="1" lang="en-US" altLang="ja-JP" sz="1000"/>
            <a:t>/</a:t>
          </a:r>
          <a:r>
            <a:rPr kumimoji="1" lang="ja-JP" altLang="en-US" sz="1000"/>
            <a:t>（人・年）</a:t>
          </a:r>
          <a:r>
            <a:rPr kumimoji="1" lang="en-US" altLang="ja-JP" sz="1000"/>
            <a:t>]</a:t>
          </a:r>
          <a:endParaRPr kumimoji="1" lang="ja-JP" altLang="en-US" sz="1000"/>
        </a:p>
      </xdr:txBody>
    </xdr:sp>
    <xdr:clientData/>
  </xdr:twoCellAnchor>
  <xdr:twoCellAnchor>
    <xdr:from>
      <xdr:col>6</xdr:col>
      <xdr:colOff>497791</xdr:colOff>
      <xdr:row>38</xdr:row>
      <xdr:rowOff>76201</xdr:rowOff>
    </xdr:from>
    <xdr:to>
      <xdr:col>7</xdr:col>
      <xdr:colOff>342394</xdr:colOff>
      <xdr:row>42</xdr:row>
      <xdr:rowOff>71438</xdr:rowOff>
    </xdr:to>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rot="16200000">
          <a:off x="3237111" y="8795456"/>
          <a:ext cx="757237" cy="34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10</xdr:col>
      <xdr:colOff>815986</xdr:colOff>
      <xdr:row>38</xdr:row>
      <xdr:rowOff>76201</xdr:rowOff>
    </xdr:from>
    <xdr:to>
      <xdr:col>11</xdr:col>
      <xdr:colOff>215496</xdr:colOff>
      <xdr:row>42</xdr:row>
      <xdr:rowOff>71438</xdr:rowOff>
    </xdr:to>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rot="16200000">
          <a:off x="6618885" y="8837027"/>
          <a:ext cx="757237" cy="266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スコア</a:t>
          </a:r>
          <a:r>
            <a:rPr kumimoji="1" lang="en-US" altLang="ja-JP" sz="800"/>
            <a:t>[</a:t>
          </a:r>
          <a:r>
            <a:rPr kumimoji="1" lang="ja-JP" altLang="en-US" sz="800"/>
            <a:t>－</a:t>
          </a:r>
          <a:r>
            <a:rPr kumimoji="1" lang="en-US" altLang="ja-JP" sz="800"/>
            <a:t>]</a:t>
          </a:r>
          <a:endParaRPr kumimoji="1" lang="ja-JP" altLang="en-US" sz="800"/>
        </a:p>
      </xdr:txBody>
    </xdr:sp>
    <xdr:clientData/>
  </xdr:twoCellAnchor>
  <xdr:twoCellAnchor>
    <xdr:from>
      <xdr:col>2</xdr:col>
      <xdr:colOff>425823</xdr:colOff>
      <xdr:row>42</xdr:row>
      <xdr:rowOff>11205</xdr:rowOff>
    </xdr:from>
    <xdr:to>
      <xdr:col>2</xdr:col>
      <xdr:colOff>1019735</xdr:colOff>
      <xdr:row>43</xdr:row>
      <xdr:rowOff>33617</xdr:rowOff>
    </xdr:to>
    <xdr:sp macro="" textlink="$T$40">
      <xdr:nvSpPr>
        <xdr:cNvPr id="82" name="テキスト ボックス 81">
          <a:extLst>
            <a:ext uri="{FF2B5EF4-FFF2-40B4-BE49-F238E27FC236}">
              <a16:creationId xmlns:a16="http://schemas.microsoft.com/office/drawing/2014/main" id="{00000000-0008-0000-0400-000052000000}"/>
            </a:ext>
          </a:extLst>
        </xdr:cNvPr>
        <xdr:cNvSpPr txBox="1"/>
      </xdr:nvSpPr>
      <xdr:spPr>
        <a:xfrm>
          <a:off x="638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981EA087-3EB4-493A-B8E5-0A179BE22BE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3</xdr:col>
      <xdr:colOff>190500</xdr:colOff>
      <xdr:row>42</xdr:row>
      <xdr:rowOff>11205</xdr:rowOff>
    </xdr:from>
    <xdr:to>
      <xdr:col>4</xdr:col>
      <xdr:colOff>369794</xdr:colOff>
      <xdr:row>43</xdr:row>
      <xdr:rowOff>33617</xdr:rowOff>
    </xdr:to>
    <xdr:sp macro="" textlink="$T$41">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613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AD8301D-8305-4366-99BA-BDCADD67BC2E}"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5</xdr:col>
      <xdr:colOff>11205</xdr:colOff>
      <xdr:row>42</xdr:row>
      <xdr:rowOff>11205</xdr:rowOff>
    </xdr:from>
    <xdr:to>
      <xdr:col>6</xdr:col>
      <xdr:colOff>179294</xdr:colOff>
      <xdr:row>43</xdr:row>
      <xdr:rowOff>33617</xdr:rowOff>
    </xdr:to>
    <xdr:sp macro="" textlink="$T$42">
      <xdr:nvSpPr>
        <xdr:cNvPr id="86" name="テキスト ボックス 85">
          <a:extLst>
            <a:ext uri="{FF2B5EF4-FFF2-40B4-BE49-F238E27FC236}">
              <a16:creationId xmlns:a16="http://schemas.microsoft.com/office/drawing/2014/main" id="{00000000-0008-0000-0400-000056000000}"/>
            </a:ext>
          </a:extLst>
        </xdr:cNvPr>
        <xdr:cNvSpPr txBox="1"/>
      </xdr:nvSpPr>
      <xdr:spPr>
        <a:xfrm>
          <a:off x="2588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7E18B0-1333-4FCE-A4A4-1F32E1B7E710}"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7</xdr:col>
      <xdr:colOff>616323</xdr:colOff>
      <xdr:row>42</xdr:row>
      <xdr:rowOff>11205</xdr:rowOff>
    </xdr:from>
    <xdr:to>
      <xdr:col>8</xdr:col>
      <xdr:colOff>291353</xdr:colOff>
      <xdr:row>43</xdr:row>
      <xdr:rowOff>33617</xdr:rowOff>
    </xdr:to>
    <xdr:sp macro="" textlink="$W$40">
      <xdr:nvSpPr>
        <xdr:cNvPr id="87" name="テキスト ボックス 86">
          <a:extLst>
            <a:ext uri="{FF2B5EF4-FFF2-40B4-BE49-F238E27FC236}">
              <a16:creationId xmlns:a16="http://schemas.microsoft.com/office/drawing/2014/main" id="{00000000-0008-0000-0400-000057000000}"/>
            </a:ext>
          </a:extLst>
        </xdr:cNvPr>
        <xdr:cNvSpPr txBox="1"/>
      </xdr:nvSpPr>
      <xdr:spPr>
        <a:xfrm>
          <a:off x="4045323"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DCC3A7CC-21C6-497C-8080-9BC4E13B202F}"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8</xdr:col>
      <xdr:colOff>683558</xdr:colOff>
      <xdr:row>42</xdr:row>
      <xdr:rowOff>11205</xdr:rowOff>
    </xdr:from>
    <xdr:to>
      <xdr:col>9</xdr:col>
      <xdr:colOff>358587</xdr:colOff>
      <xdr:row>43</xdr:row>
      <xdr:rowOff>33617</xdr:rowOff>
    </xdr:to>
    <xdr:sp macro="" textlink="$W$41">
      <xdr:nvSpPr>
        <xdr:cNvPr id="88" name="テキスト ボックス 87">
          <a:extLst>
            <a:ext uri="{FF2B5EF4-FFF2-40B4-BE49-F238E27FC236}">
              <a16:creationId xmlns:a16="http://schemas.microsoft.com/office/drawing/2014/main" id="{00000000-0008-0000-0400-000058000000}"/>
            </a:ext>
          </a:extLst>
        </xdr:cNvPr>
        <xdr:cNvSpPr txBox="1"/>
      </xdr:nvSpPr>
      <xdr:spPr>
        <a:xfrm>
          <a:off x="5031440"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49AC06-90AA-4D90-9B6D-19C55D2869BB}"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750793</xdr:colOff>
      <xdr:row>42</xdr:row>
      <xdr:rowOff>11205</xdr:rowOff>
    </xdr:from>
    <xdr:to>
      <xdr:col>10</xdr:col>
      <xdr:colOff>425823</xdr:colOff>
      <xdr:row>43</xdr:row>
      <xdr:rowOff>33617</xdr:rowOff>
    </xdr:to>
    <xdr:sp macro="" textlink="$W$42">
      <xdr:nvSpPr>
        <xdr:cNvPr id="89" name="テキスト ボックス 88">
          <a:extLst>
            <a:ext uri="{FF2B5EF4-FFF2-40B4-BE49-F238E27FC236}">
              <a16:creationId xmlns:a16="http://schemas.microsoft.com/office/drawing/2014/main" id="{00000000-0008-0000-0400-000059000000}"/>
            </a:ext>
          </a:extLst>
        </xdr:cNvPr>
        <xdr:cNvSpPr txBox="1"/>
      </xdr:nvSpPr>
      <xdr:spPr>
        <a:xfrm>
          <a:off x="6017558"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6B1040E-1267-40A1-BF0E-BF2FDE1E97B6}"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11</xdr:col>
      <xdr:colOff>392206</xdr:colOff>
      <xdr:row>42</xdr:row>
      <xdr:rowOff>11205</xdr:rowOff>
    </xdr:from>
    <xdr:to>
      <xdr:col>12</xdr:col>
      <xdr:colOff>313765</xdr:colOff>
      <xdr:row>43</xdr:row>
      <xdr:rowOff>33617</xdr:rowOff>
    </xdr:to>
    <xdr:sp macro="" textlink="$Z$40">
      <xdr:nvSpPr>
        <xdr:cNvPr id="90" name="テキスト ボックス 89">
          <a:extLst>
            <a:ext uri="{FF2B5EF4-FFF2-40B4-BE49-F238E27FC236}">
              <a16:creationId xmlns:a16="http://schemas.microsoft.com/office/drawing/2014/main" id="{00000000-0008-0000-0400-00005A000000}"/>
            </a:ext>
          </a:extLst>
        </xdr:cNvPr>
        <xdr:cNvSpPr txBox="1"/>
      </xdr:nvSpPr>
      <xdr:spPr>
        <a:xfrm>
          <a:off x="749673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141C3CF-FAEE-439E-BF8E-1208333BE7D4}"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694765</xdr:colOff>
      <xdr:row>42</xdr:row>
      <xdr:rowOff>11205</xdr:rowOff>
    </xdr:from>
    <xdr:to>
      <xdr:col>13</xdr:col>
      <xdr:colOff>235324</xdr:colOff>
      <xdr:row>43</xdr:row>
      <xdr:rowOff>33617</xdr:rowOff>
    </xdr:to>
    <xdr:sp macro="" textlink="$Z$41">
      <xdr:nvSpPr>
        <xdr:cNvPr id="91" name="テキスト ボックス 90">
          <a:extLst>
            <a:ext uri="{FF2B5EF4-FFF2-40B4-BE49-F238E27FC236}">
              <a16:creationId xmlns:a16="http://schemas.microsoft.com/office/drawing/2014/main" id="{00000000-0008-0000-0400-00005B000000}"/>
            </a:ext>
          </a:extLst>
        </xdr:cNvPr>
        <xdr:cNvSpPr txBox="1"/>
      </xdr:nvSpPr>
      <xdr:spPr>
        <a:xfrm>
          <a:off x="8471647"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1F742FF6-37BE-48B7-911B-DE8E1E4F6F3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627530</xdr:colOff>
      <xdr:row>42</xdr:row>
      <xdr:rowOff>11205</xdr:rowOff>
    </xdr:from>
    <xdr:to>
      <xdr:col>14</xdr:col>
      <xdr:colOff>560295</xdr:colOff>
      <xdr:row>43</xdr:row>
      <xdr:rowOff>33617</xdr:rowOff>
    </xdr:to>
    <xdr:sp macro="" textlink="$Z$42">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457765" y="9267264"/>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C697FE4-537E-4210-8F8D-927D229C6B2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6</xdr:col>
      <xdr:colOff>257736</xdr:colOff>
      <xdr:row>53</xdr:row>
      <xdr:rowOff>67234</xdr:rowOff>
    </xdr:from>
    <xdr:to>
      <xdr:col>7</xdr:col>
      <xdr:colOff>425824</xdr:colOff>
      <xdr:row>54</xdr:row>
      <xdr:rowOff>78440</xdr:rowOff>
    </xdr:to>
    <xdr:sp macro="" textlink="$T$46">
      <xdr:nvSpPr>
        <xdr:cNvPr id="95" name="テキスト ボックス 94">
          <a:extLst>
            <a:ext uri="{FF2B5EF4-FFF2-40B4-BE49-F238E27FC236}">
              <a16:creationId xmlns:a16="http://schemas.microsoft.com/office/drawing/2014/main" id="{00000000-0008-0000-0400-00005F000000}"/>
            </a:ext>
          </a:extLst>
        </xdr:cNvPr>
        <xdr:cNvSpPr txBox="1"/>
      </xdr:nvSpPr>
      <xdr:spPr>
        <a:xfrm>
          <a:off x="326091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506C7F0B-D177-4602-8AA9-A30059232D8B}" type="TxLink">
            <a:rPr kumimoji="1" lang="en-US" altLang="en-US" sz="1100" b="0" i="0" u="none" strike="noStrike">
              <a:solidFill>
                <a:srgbClr val="FF0000"/>
              </a:solidFill>
              <a:latin typeface="Arial"/>
              <a:cs typeface="Arial"/>
            </a:rPr>
            <a:pPr algn="ctr"/>
            <a:t>N.A.</a:t>
          </a:fld>
          <a:endParaRPr kumimoji="1" lang="ja-JP" altLang="en-US" sz="1100">
            <a:solidFill>
              <a:srgbClr val="FF0000"/>
            </a:solidFill>
          </a:endParaRPr>
        </a:p>
      </xdr:txBody>
    </xdr:sp>
    <xdr:clientData/>
  </xdr:twoCellAnchor>
  <xdr:twoCellAnchor>
    <xdr:from>
      <xdr:col>7</xdr:col>
      <xdr:colOff>851647</xdr:colOff>
      <xdr:row>53</xdr:row>
      <xdr:rowOff>67234</xdr:rowOff>
    </xdr:from>
    <xdr:to>
      <xdr:col>8</xdr:col>
      <xdr:colOff>526677</xdr:colOff>
      <xdr:row>54</xdr:row>
      <xdr:rowOff>78440</xdr:rowOff>
    </xdr:to>
    <xdr:sp macro="" textlink="$T$47">
      <xdr:nvSpPr>
        <xdr:cNvPr id="96" name="テキスト ボックス 95">
          <a:extLst>
            <a:ext uri="{FF2B5EF4-FFF2-40B4-BE49-F238E27FC236}">
              <a16:creationId xmlns:a16="http://schemas.microsoft.com/office/drawing/2014/main" id="{00000000-0008-0000-0400-000060000000}"/>
            </a:ext>
          </a:extLst>
        </xdr:cNvPr>
        <xdr:cNvSpPr txBox="1"/>
      </xdr:nvSpPr>
      <xdr:spPr>
        <a:xfrm>
          <a:off x="428064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AD5E957-9210-4CAA-8302-16ABC8B6792C}"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9</xdr:col>
      <xdr:colOff>571500</xdr:colOff>
      <xdr:row>53</xdr:row>
      <xdr:rowOff>67234</xdr:rowOff>
    </xdr:from>
    <xdr:to>
      <xdr:col>10</xdr:col>
      <xdr:colOff>246530</xdr:colOff>
      <xdr:row>54</xdr:row>
      <xdr:rowOff>78440</xdr:rowOff>
    </xdr:to>
    <xdr:sp macro="" textlink="$W$46">
      <xdr:nvSpPr>
        <xdr:cNvPr id="97" name="テキスト ボックス 96">
          <a:extLst>
            <a:ext uri="{FF2B5EF4-FFF2-40B4-BE49-F238E27FC236}">
              <a16:creationId xmlns:a16="http://schemas.microsoft.com/office/drawing/2014/main" id="{00000000-0008-0000-0400-000061000000}"/>
            </a:ext>
          </a:extLst>
        </xdr:cNvPr>
        <xdr:cNvSpPr txBox="1"/>
      </xdr:nvSpPr>
      <xdr:spPr>
        <a:xfrm>
          <a:off x="5838265"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4E96A8CB-1A05-4FA4-98BD-03275296668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10</xdr:col>
      <xdr:colOff>649942</xdr:colOff>
      <xdr:row>53</xdr:row>
      <xdr:rowOff>67234</xdr:rowOff>
    </xdr:from>
    <xdr:to>
      <xdr:col>11</xdr:col>
      <xdr:colOff>324972</xdr:colOff>
      <xdr:row>54</xdr:row>
      <xdr:rowOff>78440</xdr:rowOff>
    </xdr:to>
    <xdr:sp macro="" textlink="$W$47">
      <xdr:nvSpPr>
        <xdr:cNvPr id="98" name="テキスト ボックス 97">
          <a:extLst>
            <a:ext uri="{FF2B5EF4-FFF2-40B4-BE49-F238E27FC236}">
              <a16:creationId xmlns:a16="http://schemas.microsoft.com/office/drawing/2014/main" id="{00000000-0008-0000-0400-000062000000}"/>
            </a:ext>
          </a:extLst>
        </xdr:cNvPr>
        <xdr:cNvSpPr txBox="1"/>
      </xdr:nvSpPr>
      <xdr:spPr>
        <a:xfrm>
          <a:off x="6835589"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F2A81528-46AF-4992-A26A-1AEA99071417}"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12</xdr:col>
      <xdr:colOff>616325</xdr:colOff>
      <xdr:row>53</xdr:row>
      <xdr:rowOff>67234</xdr:rowOff>
    </xdr:from>
    <xdr:to>
      <xdr:col>13</xdr:col>
      <xdr:colOff>156884</xdr:colOff>
      <xdr:row>54</xdr:row>
      <xdr:rowOff>78440</xdr:rowOff>
    </xdr:to>
    <xdr:sp macro="" textlink="$Z$46">
      <xdr:nvSpPr>
        <xdr:cNvPr id="99" name="テキスト ボックス 98">
          <a:extLst>
            <a:ext uri="{FF2B5EF4-FFF2-40B4-BE49-F238E27FC236}">
              <a16:creationId xmlns:a16="http://schemas.microsoft.com/office/drawing/2014/main" id="{00000000-0008-0000-0400-000063000000}"/>
            </a:ext>
          </a:extLst>
        </xdr:cNvPr>
        <xdr:cNvSpPr txBox="1"/>
      </xdr:nvSpPr>
      <xdr:spPr>
        <a:xfrm>
          <a:off x="8393207"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2CD982B7-91B7-4F1A-B1D1-05BAD92DC252}"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xdr:from>
      <xdr:col>13</xdr:col>
      <xdr:colOff>582707</xdr:colOff>
      <xdr:row>53</xdr:row>
      <xdr:rowOff>67234</xdr:rowOff>
    </xdr:from>
    <xdr:to>
      <xdr:col>14</xdr:col>
      <xdr:colOff>515472</xdr:colOff>
      <xdr:row>54</xdr:row>
      <xdr:rowOff>78440</xdr:rowOff>
    </xdr:to>
    <xdr:sp macro="" textlink="$Z$47">
      <xdr:nvSpPr>
        <xdr:cNvPr id="100" name="テキスト ボックス 99">
          <a:extLst>
            <a:ext uri="{FF2B5EF4-FFF2-40B4-BE49-F238E27FC236}">
              <a16:creationId xmlns:a16="http://schemas.microsoft.com/office/drawing/2014/main" id="{00000000-0008-0000-0400-000064000000}"/>
            </a:ext>
          </a:extLst>
        </xdr:cNvPr>
        <xdr:cNvSpPr txBox="1"/>
      </xdr:nvSpPr>
      <xdr:spPr>
        <a:xfrm>
          <a:off x="9412942" y="11530852"/>
          <a:ext cx="593912"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8848CB4F-381D-4809-AD00-2F82CA42C768}" type="TxLink">
            <a:rPr kumimoji="1" lang="en-US" altLang="en-US" sz="1100" b="0" i="0" u="none" strike="noStrike">
              <a:solidFill>
                <a:srgbClr val="FF0000"/>
              </a:solidFill>
              <a:latin typeface="Arial"/>
              <a:cs typeface="Arial"/>
            </a:rPr>
            <a:pPr algn="ctr"/>
            <a:t> </a:t>
          </a:fld>
          <a:endParaRPr kumimoji="1" lang="ja-JP" altLang="en-US" sz="1100">
            <a:solidFill>
              <a:srgbClr val="FF0000"/>
            </a:solidFill>
          </a:endParaRPr>
        </a:p>
      </xdr:txBody>
    </xdr:sp>
    <xdr:clientData/>
  </xdr:twoCellAnchor>
  <xdr:twoCellAnchor editAs="oneCell">
    <xdr:from>
      <xdr:col>2</xdr:col>
      <xdr:colOff>207908</xdr:colOff>
      <xdr:row>54</xdr:row>
      <xdr:rowOff>114300</xdr:rowOff>
    </xdr:from>
    <xdr:to>
      <xdr:col>6</xdr:col>
      <xdr:colOff>402592</xdr:colOff>
      <xdr:row>55</xdr:row>
      <xdr:rowOff>152400</xdr:rowOff>
    </xdr:to>
    <xdr:sp macro="" textlink="">
      <xdr:nvSpPr>
        <xdr:cNvPr id="59" name="Text Box 57">
          <a:extLst>
            <a:ext uri="{FF2B5EF4-FFF2-40B4-BE49-F238E27FC236}">
              <a16:creationId xmlns:a16="http://schemas.microsoft.com/office/drawing/2014/main" id="{00000000-0008-0000-0400-00003B000000}"/>
            </a:ext>
          </a:extLst>
        </xdr:cNvPr>
        <xdr:cNvSpPr txBox="1">
          <a:spLocks noChangeArrowheads="1"/>
        </xdr:cNvSpPr>
      </xdr:nvSpPr>
      <xdr:spPr bwMode="auto">
        <a:xfrm>
          <a:off x="426983" y="11801475"/>
          <a:ext cx="292835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xdr:from>
      <xdr:col>1</xdr:col>
      <xdr:colOff>8284</xdr:colOff>
      <xdr:row>45</xdr:row>
      <xdr:rowOff>108135</xdr:rowOff>
    </xdr:from>
    <xdr:to>
      <xdr:col>2</xdr:col>
      <xdr:colOff>122513</xdr:colOff>
      <xdr:row>63</xdr:row>
      <xdr:rowOff>9432</xdr:rowOff>
    </xdr:to>
    <xdr:sp macro="" textlink="">
      <xdr:nvSpPr>
        <xdr:cNvPr id="62" name="テキスト ボックス 61">
          <a:extLst>
            <a:ext uri="{FF2B5EF4-FFF2-40B4-BE49-F238E27FC236}">
              <a16:creationId xmlns:a16="http://schemas.microsoft.com/office/drawing/2014/main" id="{00000000-0008-0000-0400-00003E000000}"/>
            </a:ext>
          </a:extLst>
        </xdr:cNvPr>
        <xdr:cNvSpPr txBox="1"/>
      </xdr:nvSpPr>
      <xdr:spPr>
        <a:xfrm rot="16200000">
          <a:off x="-854559" y="10888183"/>
          <a:ext cx="2108856"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6</xdr:col>
      <xdr:colOff>497791</xdr:colOff>
      <xdr:row>45</xdr:row>
      <xdr:rowOff>108136</xdr:rowOff>
    </xdr:from>
    <xdr:to>
      <xdr:col>7</xdr:col>
      <xdr:colOff>345734</xdr:colOff>
      <xdr:row>63</xdr:row>
      <xdr:rowOff>9433</xdr:rowOff>
    </xdr:to>
    <xdr:sp macro="" textlink="">
      <xdr:nvSpPr>
        <xdr:cNvPr id="63" name="テキスト ボックス 62">
          <a:extLst>
            <a:ext uri="{FF2B5EF4-FFF2-40B4-BE49-F238E27FC236}">
              <a16:creationId xmlns:a16="http://schemas.microsoft.com/office/drawing/2014/main" id="{00000000-0008-0000-0400-00003F000000}"/>
            </a:ext>
          </a:extLst>
        </xdr:cNvPr>
        <xdr:cNvSpPr txBox="1"/>
      </xdr:nvSpPr>
      <xdr:spPr>
        <a:xfrm rot="16200000">
          <a:off x="2566614" y="10869488"/>
          <a:ext cx="2101572" cy="352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10</xdr:col>
      <xdr:colOff>815987</xdr:colOff>
      <xdr:row>45</xdr:row>
      <xdr:rowOff>108136</xdr:rowOff>
    </xdr:from>
    <xdr:to>
      <xdr:col>11</xdr:col>
      <xdr:colOff>230409</xdr:colOff>
      <xdr:row>63</xdr:row>
      <xdr:rowOff>9433</xdr:rowOff>
    </xdr:to>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rot="16200000">
          <a:off x="5954175" y="10905273"/>
          <a:ext cx="2101572" cy="281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温室効果ガス排出量</a:t>
          </a:r>
          <a:r>
            <a:rPr kumimoji="1" lang="en-US" altLang="ja-JP" sz="800"/>
            <a:t>[t-CO</a:t>
          </a:r>
          <a:r>
            <a:rPr kumimoji="1" lang="en-US" altLang="ja-JP" sz="800" baseline="-25000"/>
            <a:t>2</a:t>
          </a:r>
          <a:r>
            <a:rPr kumimoji="1" lang="en-US" altLang="ja-JP" sz="800"/>
            <a:t>/</a:t>
          </a:r>
          <a:r>
            <a:rPr kumimoji="1" lang="ja-JP" altLang="en-US" sz="800"/>
            <a:t>（人・年）</a:t>
          </a:r>
          <a:r>
            <a:rPr kumimoji="1" lang="en-US" altLang="ja-JP" sz="800"/>
            <a:t>]</a:t>
          </a:r>
          <a:endParaRPr kumimoji="1" lang="ja-JP" altLang="en-US" sz="800"/>
        </a:p>
      </xdr:txBody>
    </xdr:sp>
    <xdr:clientData/>
  </xdr:twoCellAnchor>
  <xdr:twoCellAnchor>
    <xdr:from>
      <xdr:col>7</xdr:col>
      <xdr:colOff>19050</xdr:colOff>
      <xdr:row>25</xdr:row>
      <xdr:rowOff>161925</xdr:rowOff>
    </xdr:from>
    <xdr:to>
      <xdr:col>11</xdr:col>
      <xdr:colOff>0</xdr:colOff>
      <xdr:row>25</xdr:row>
      <xdr:rowOff>161925</xdr:rowOff>
    </xdr:to>
    <xdr:sp macro="" textlink="">
      <xdr:nvSpPr>
        <xdr:cNvPr id="7138070" name="Line 174">
          <a:extLst>
            <a:ext uri="{FF2B5EF4-FFF2-40B4-BE49-F238E27FC236}">
              <a16:creationId xmlns:a16="http://schemas.microsoft.com/office/drawing/2014/main" id="{00000000-0008-0000-0400-000016EB6C00}"/>
            </a:ext>
          </a:extLst>
        </xdr:cNvPr>
        <xdr:cNvSpPr>
          <a:spLocks noChangeShapeType="1"/>
        </xdr:cNvSpPr>
      </xdr:nvSpPr>
      <xdr:spPr bwMode="auto">
        <a:xfrm>
          <a:off x="3467100" y="4791075"/>
          <a:ext cx="3448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171450</xdr:colOff>
      <xdr:row>47</xdr:row>
      <xdr:rowOff>38100</xdr:rowOff>
    </xdr:from>
    <xdr:to>
      <xdr:col>11</xdr:col>
      <xdr:colOff>0</xdr:colOff>
      <xdr:row>56</xdr:row>
      <xdr:rowOff>17145</xdr:rowOff>
    </xdr:to>
    <xdr:graphicFrame macro="">
      <xdr:nvGraphicFramePr>
        <xdr:cNvPr id="7138071" name="グラフ 131">
          <a:extLst>
            <a:ext uri="{FF2B5EF4-FFF2-40B4-BE49-F238E27FC236}">
              <a16:creationId xmlns:a16="http://schemas.microsoft.com/office/drawing/2014/main" id="{00000000-0008-0000-0400-000017EB6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7</xdr:col>
      <xdr:colOff>390564</xdr:colOff>
      <xdr:row>54</xdr:row>
      <xdr:rowOff>114300</xdr:rowOff>
    </xdr:from>
    <xdr:to>
      <xdr:col>10</xdr:col>
      <xdr:colOff>739295</xdr:colOff>
      <xdr:row>55</xdr:row>
      <xdr:rowOff>152400</xdr:rowOff>
    </xdr:to>
    <xdr:sp macro="" textlink="">
      <xdr:nvSpPr>
        <xdr:cNvPr id="104" name="Text Box 57">
          <a:extLst>
            <a:ext uri="{FF2B5EF4-FFF2-40B4-BE49-F238E27FC236}">
              <a16:creationId xmlns:a16="http://schemas.microsoft.com/office/drawing/2014/main" id="{00000000-0008-0000-0400-000068000000}"/>
            </a:ext>
          </a:extLst>
        </xdr:cNvPr>
        <xdr:cNvSpPr txBox="1">
          <a:spLocks noChangeArrowheads="1"/>
        </xdr:cNvSpPr>
      </xdr:nvSpPr>
      <xdr:spPr bwMode="auto">
        <a:xfrm>
          <a:off x="3838614" y="11801475"/>
          <a:ext cx="2943341"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11</xdr:col>
      <xdr:colOff>391639</xdr:colOff>
      <xdr:row>54</xdr:row>
      <xdr:rowOff>114300</xdr:rowOff>
    </xdr:from>
    <xdr:to>
      <xdr:col>14</xdr:col>
      <xdr:colOff>708208</xdr:colOff>
      <xdr:row>55</xdr:row>
      <xdr:rowOff>152400</xdr:rowOff>
    </xdr:to>
    <xdr:sp macro="" textlink="">
      <xdr:nvSpPr>
        <xdr:cNvPr id="106" name="Text Box 57">
          <a:extLst>
            <a:ext uri="{FF2B5EF4-FFF2-40B4-BE49-F238E27FC236}">
              <a16:creationId xmlns:a16="http://schemas.microsoft.com/office/drawing/2014/main" id="{00000000-0008-0000-0400-00006A000000}"/>
            </a:ext>
          </a:extLst>
        </xdr:cNvPr>
        <xdr:cNvSpPr txBox="1">
          <a:spLocks noChangeArrowheads="1"/>
        </xdr:cNvSpPr>
      </xdr:nvSpPr>
      <xdr:spPr bwMode="auto">
        <a:xfrm>
          <a:off x="7306789" y="11801475"/>
          <a:ext cx="2922609" cy="238125"/>
        </a:xfrm>
        <a:prstGeom prst="rect">
          <a:avLst/>
        </a:prstGeom>
        <a:noFill/>
        <a:ln>
          <a:noFill/>
        </a:ln>
      </xdr:spPr>
      <xdr:txBody>
        <a:bodyPr vertOverflow="clip" wrap="square" lIns="0" tIns="0" rIns="0" bIns="0" anchor="ctr" upright="1"/>
        <a:lstStyle/>
        <a:p>
          <a:pPr algn="l" rtl="0">
            <a:defRPr sz="1000"/>
          </a:pPr>
          <a:r>
            <a:rPr lang="en-US" altLang="ja-JP" sz="800" b="0" i="0" u="none" strike="noStrike" baseline="0">
              <a:solidFill>
                <a:srgbClr val="000000"/>
              </a:solidFill>
              <a:latin typeface="ＭＳ Ｐゴシック"/>
              <a:ea typeface="ＭＳ Ｐゴシック"/>
            </a:rPr>
            <a:t>                    BAU                                        </a:t>
          </a:r>
          <a:r>
            <a:rPr lang="ja-JP" altLang="en-US" sz="800" b="0" i="0" u="none" strike="noStrike" baseline="0">
              <a:solidFill>
                <a:srgbClr val="000000"/>
              </a:solidFill>
              <a:latin typeface="ＭＳ Ｐゴシック"/>
              <a:ea typeface="ＭＳ Ｐゴシック"/>
            </a:rPr>
            <a:t>施策後</a:t>
          </a:r>
        </a:p>
      </xdr:txBody>
    </xdr:sp>
    <xdr:clientData/>
  </xdr:twoCellAnchor>
  <xdr:twoCellAnchor editAs="oneCell">
    <xdr:from>
      <xdr:col>6</xdr:col>
      <xdr:colOff>503144</xdr:colOff>
      <xdr:row>29</xdr:row>
      <xdr:rowOff>48745</xdr:rowOff>
    </xdr:from>
    <xdr:to>
      <xdr:col>7</xdr:col>
      <xdr:colOff>545939</xdr:colOff>
      <xdr:row>29</xdr:row>
      <xdr:rowOff>289447</xdr:rowOff>
    </xdr:to>
    <xdr:sp macro="" textlink="">
      <xdr:nvSpPr>
        <xdr:cNvPr id="108" name="Text Box 57">
          <a:extLst>
            <a:ext uri="{FF2B5EF4-FFF2-40B4-BE49-F238E27FC236}">
              <a16:creationId xmlns:a16="http://schemas.microsoft.com/office/drawing/2014/main" id="{00000000-0008-0000-0400-00006C000000}"/>
            </a:ext>
          </a:extLst>
        </xdr:cNvPr>
        <xdr:cNvSpPr txBox="1">
          <a:spLocks noChangeArrowheads="1"/>
        </xdr:cNvSpPr>
      </xdr:nvSpPr>
      <xdr:spPr bwMode="auto">
        <a:xfrm>
          <a:off x="3446369" y="6087595"/>
          <a:ext cx="540000" cy="233082"/>
        </a:xfrm>
        <a:prstGeom prst="rect">
          <a:avLst/>
        </a:prstGeom>
        <a:noFill/>
        <a:ln>
          <a:noFill/>
        </a:ln>
      </xdr:spPr>
      <xdr:txBody>
        <a:bodyPr vertOverflow="clip" wrap="square" lIns="0" tIns="0" rIns="0" bIns="0" anchor="ctr" upright="1"/>
        <a:lstStyle/>
        <a:p>
          <a:pPr algn="r" rtl="0">
            <a:defRPr sz="1000"/>
          </a:pPr>
          <a:r>
            <a:rPr lang="ja-JP" altLang="en-US" sz="1050" b="0" i="0" u="none" strike="noStrike" baseline="0">
              <a:solidFill>
                <a:srgbClr val="000000"/>
              </a:solidFill>
              <a:latin typeface="ＭＳ Ｐゴシック"/>
              <a:ea typeface="ＭＳ Ｐゴシック"/>
            </a:rPr>
            <a:t>施策後</a:t>
          </a:r>
        </a:p>
      </xdr:txBody>
    </xdr:sp>
    <xdr:clientData/>
  </xdr:twoCellAnchor>
  <xdr:twoCellAnchor>
    <xdr:from>
      <xdr:col>7</xdr:col>
      <xdr:colOff>569203</xdr:colOff>
      <xdr:row>32</xdr:row>
      <xdr:rowOff>58497</xdr:rowOff>
    </xdr:from>
    <xdr:to>
      <xdr:col>9</xdr:col>
      <xdr:colOff>843672</xdr:colOff>
      <xdr:row>32</xdr:row>
      <xdr:rowOff>329609</xdr:rowOff>
    </xdr:to>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4017253" y="7154622"/>
          <a:ext cx="2122319" cy="2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t>温室効果ガス排出量削減率＝</a:t>
          </a:r>
        </a:p>
      </xdr:txBody>
    </xdr:sp>
    <xdr:clientData/>
  </xdr:twoCellAnchor>
  <xdr:twoCellAnchor>
    <xdr:from>
      <xdr:col>9</xdr:col>
      <xdr:colOff>485775</xdr:colOff>
      <xdr:row>23</xdr:row>
      <xdr:rowOff>38100</xdr:rowOff>
    </xdr:from>
    <xdr:to>
      <xdr:col>11</xdr:col>
      <xdr:colOff>113775</xdr:colOff>
      <xdr:row>23</xdr:row>
      <xdr:rowOff>228600</xdr:rowOff>
    </xdr:to>
    <xdr:sp macro="" textlink="">
      <xdr:nvSpPr>
        <xdr:cNvPr id="69" name="Text Box 134">
          <a:extLst>
            <a:ext uri="{FF2B5EF4-FFF2-40B4-BE49-F238E27FC236}">
              <a16:creationId xmlns:a16="http://schemas.microsoft.com/office/drawing/2014/main" id="{00000000-0008-0000-0400-000045000000}"/>
            </a:ext>
          </a:extLst>
        </xdr:cNvPr>
        <xdr:cNvSpPr txBox="1">
          <a:spLocks noChangeArrowheads="1"/>
        </xdr:cNvSpPr>
      </xdr:nvSpPr>
      <xdr:spPr bwMode="auto">
        <a:xfrm>
          <a:off x="5667375" y="4095750"/>
          <a:ext cx="1361550" cy="190500"/>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xdr:from>
      <xdr:col>9</xdr:col>
      <xdr:colOff>485775</xdr:colOff>
      <xdr:row>24</xdr:row>
      <xdr:rowOff>47627</xdr:rowOff>
    </xdr:from>
    <xdr:to>
      <xdr:col>11</xdr:col>
      <xdr:colOff>113775</xdr:colOff>
      <xdr:row>24</xdr:row>
      <xdr:rowOff>236884</xdr:rowOff>
    </xdr:to>
    <xdr:sp macro="" textlink="">
      <xdr:nvSpPr>
        <xdr:cNvPr id="76" name="Text Box 134">
          <a:extLst>
            <a:ext uri="{FF2B5EF4-FFF2-40B4-BE49-F238E27FC236}">
              <a16:creationId xmlns:a16="http://schemas.microsoft.com/office/drawing/2014/main" id="{00000000-0008-0000-0400-00004C000000}"/>
            </a:ext>
          </a:extLst>
        </xdr:cNvPr>
        <xdr:cNvSpPr txBox="1">
          <a:spLocks noChangeArrowheads="1"/>
        </xdr:cNvSpPr>
      </xdr:nvSpPr>
      <xdr:spPr bwMode="auto">
        <a:xfrm>
          <a:off x="5667375" y="4391027"/>
          <a:ext cx="1361550" cy="189257"/>
        </a:xfrm>
        <a:prstGeom prst="rect">
          <a:avLst/>
        </a:prstGeom>
        <a:noFill/>
        <a:ln w="9525">
          <a:noFill/>
          <a:miter lim="800000"/>
          <a:headEnd/>
          <a:tailEnd/>
        </a:ln>
      </xdr:spPr>
      <xdr:txBody>
        <a:bodyPr vertOverflow="clip" wrap="square" lIns="0" tIns="18288" rIns="27432" bIns="0" anchor="t" upright="1"/>
        <a:lstStyle/>
        <a:p>
          <a:pPr algn="l" rtl="0">
            <a:defRPr sz="1000"/>
          </a:pPr>
          <a:r>
            <a:rPr lang="en-US" altLang="ja-JP" sz="1050" b="0" i="0" u="none" strike="noStrike" baseline="0">
              <a:solidFill>
                <a:srgbClr val="000000"/>
              </a:solidFill>
              <a:latin typeface="ＭＳ Ｐゴシック"/>
              <a:ea typeface="ＭＳ Ｐゴシック"/>
            </a:rPr>
            <a:t> [t-CO</a:t>
          </a:r>
          <a:r>
            <a:rPr lang="en-US" altLang="ja-JP" sz="1050" b="0" i="0" u="none" strike="noStrike" baseline="-25000">
              <a:solidFill>
                <a:srgbClr val="000000"/>
              </a:solidFill>
              <a:latin typeface="ＭＳ Ｐゴシック"/>
              <a:ea typeface="ＭＳ Ｐゴシック"/>
            </a:rPr>
            <a:t>2</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人・年</a:t>
          </a:r>
          <a:r>
            <a:rPr lang="en-US" altLang="ja-JP" sz="1050" b="0" i="0" u="none" strike="noStrike" baseline="0">
              <a:solidFill>
                <a:srgbClr val="000000"/>
              </a:solidFill>
              <a:latin typeface="ＭＳ Ｐゴシック"/>
              <a:ea typeface="ＭＳ Ｐゴシック"/>
            </a:rPr>
            <a:t>)]</a:t>
          </a:r>
        </a:p>
      </xdr:txBody>
    </xdr:sp>
    <xdr:clientData/>
  </xdr:twoCellAnchor>
  <xdr:twoCellAnchor editAs="oneCell">
    <xdr:from>
      <xdr:col>1</xdr:col>
      <xdr:colOff>38100</xdr:colOff>
      <xdr:row>0</xdr:row>
      <xdr:rowOff>76200</xdr:rowOff>
    </xdr:from>
    <xdr:to>
      <xdr:col>8</xdr:col>
      <xdr:colOff>171450</xdr:colOff>
      <xdr:row>3</xdr:row>
      <xdr:rowOff>19050</xdr:rowOff>
    </xdr:to>
    <xdr:pic>
      <xdr:nvPicPr>
        <xdr:cNvPr id="7138078" name="図 56">
          <a:extLst>
            <a:ext uri="{FF2B5EF4-FFF2-40B4-BE49-F238E27FC236}">
              <a16:creationId xmlns:a16="http://schemas.microsoft.com/office/drawing/2014/main" id="{00000000-0008-0000-0400-00001EEB6C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5250" y="76200"/>
          <a:ext cx="439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c:userShapes xmlns:c="http://schemas.openxmlformats.org/drawingml/2006/chart">
  <cdr:relSizeAnchor xmlns:cdr="http://schemas.openxmlformats.org/drawingml/2006/chartDrawing">
    <cdr:from>
      <cdr:x>0.07378</cdr:x>
      <cdr:y>0.44267</cdr:y>
    </cdr:from>
    <cdr:to>
      <cdr:x>0.97917</cdr:x>
      <cdr:y>0.44267</cdr:y>
    </cdr:to>
    <cdr:sp macro="" textlink="">
      <cdr:nvSpPr>
        <cdr:cNvPr id="186369" name="Line 1"/>
        <cdr:cNvSpPr>
          <a:spLocks xmlns:a="http://schemas.openxmlformats.org/drawingml/2006/main" noChangeShapeType="1"/>
        </cdr:cNvSpPr>
      </cdr:nvSpPr>
      <cdr:spPr bwMode="auto">
        <a:xfrm xmlns:a="http://schemas.openxmlformats.org/drawingml/2006/main">
          <a:off x="215746" y="695711"/>
          <a:ext cx="2647518"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1.xml><?xml version="1.0" encoding="utf-8"?>
<c:userShapes xmlns:c="http://schemas.openxmlformats.org/drawingml/2006/chart">
  <cdr:relSizeAnchor xmlns:cdr="http://schemas.openxmlformats.org/drawingml/2006/chartDrawing">
    <cdr:from>
      <cdr:x>0.20153</cdr:x>
      <cdr:y>0.10208</cdr:y>
    </cdr:from>
    <cdr:to>
      <cdr:x>0.38097</cdr:x>
      <cdr:y>0.20529</cdr:y>
    </cdr:to>
    <cdr:sp macro="" textlink="">
      <cdr:nvSpPr>
        <cdr:cNvPr id="180227" name="Text Box 1027"/>
        <cdr:cNvSpPr txBox="1">
          <a:spLocks xmlns:a="http://schemas.openxmlformats.org/drawingml/2006/main" noChangeArrowheads="1"/>
        </cdr:cNvSpPr>
      </cdr:nvSpPr>
      <cdr:spPr bwMode="auto">
        <a:xfrm xmlns:a="http://schemas.openxmlformats.org/drawingml/2006/main">
          <a:off x="586784" y="278328"/>
          <a:ext cx="524041"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S</a:t>
          </a:r>
        </a:p>
      </cdr:txBody>
    </cdr:sp>
  </cdr:relSizeAnchor>
  <cdr:relSizeAnchor xmlns:cdr="http://schemas.openxmlformats.org/drawingml/2006/chartDrawing">
    <cdr:from>
      <cdr:x>0.45788</cdr:x>
      <cdr:y>0.09846</cdr:y>
    </cdr:from>
    <cdr:to>
      <cdr:x>0.59864</cdr:x>
      <cdr:y>0.21229</cdr:y>
    </cdr:to>
    <cdr:sp macro="" textlink="">
      <cdr:nvSpPr>
        <cdr:cNvPr id="180228" name="Text Box 1028"/>
        <cdr:cNvSpPr txBox="1">
          <a:spLocks xmlns:a="http://schemas.openxmlformats.org/drawingml/2006/main" noChangeArrowheads="1"/>
        </cdr:cNvSpPr>
      </cdr:nvSpPr>
      <cdr:spPr bwMode="auto">
        <a:xfrm xmlns:a="http://schemas.openxmlformats.org/drawingml/2006/main">
          <a:off x="1332805" y="268577"/>
          <a:ext cx="409540" cy="3048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A</a:t>
          </a:r>
        </a:p>
      </cdr:txBody>
    </cdr:sp>
  </cdr:relSizeAnchor>
  <cdr:relSizeAnchor xmlns:cdr="http://schemas.openxmlformats.org/drawingml/2006/chartDrawing">
    <cdr:from>
      <cdr:x>0.69586</cdr:x>
      <cdr:y>0.09195</cdr:y>
    </cdr:from>
    <cdr:to>
      <cdr:x>0.84242</cdr:x>
      <cdr:y>0.19516</cdr:y>
    </cdr:to>
    <cdr:sp macro="" textlink="">
      <cdr:nvSpPr>
        <cdr:cNvPr id="180229" name="Text Box 1029"/>
        <cdr:cNvSpPr txBox="1">
          <a:spLocks xmlns:a="http://schemas.openxmlformats.org/drawingml/2006/main" noChangeArrowheads="1"/>
        </cdr:cNvSpPr>
      </cdr:nvSpPr>
      <cdr:spPr bwMode="auto">
        <a:xfrm xmlns:a="http://schemas.openxmlformats.org/drawingml/2006/main">
          <a:off x="2024737" y="251025"/>
          <a:ext cx="428506" cy="27628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0.77108</cdr:x>
      <cdr:y>0.29911</cdr:y>
    </cdr:from>
    <cdr:to>
      <cdr:x>0.90651</cdr:x>
      <cdr:y>0.4016</cdr:y>
    </cdr:to>
    <cdr:sp macro="" textlink="">
      <cdr:nvSpPr>
        <cdr:cNvPr id="180230" name="Text Box 1030"/>
        <cdr:cNvSpPr txBox="1">
          <a:spLocks xmlns:a="http://schemas.openxmlformats.org/drawingml/2006/main" noChangeArrowheads="1"/>
        </cdr:cNvSpPr>
      </cdr:nvSpPr>
      <cdr:spPr bwMode="auto">
        <a:xfrm xmlns:a="http://schemas.openxmlformats.org/drawingml/2006/main">
          <a:off x="2243907" y="807495"/>
          <a:ext cx="390573" cy="2762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B</a:t>
          </a:r>
          <a:r>
            <a:rPr lang="ja-JP" altLang="en-US" sz="1000" b="1" i="0" u="none" strike="noStrike" baseline="30000">
              <a:solidFill>
                <a:srgbClr val="000000"/>
              </a:solidFill>
              <a:latin typeface="ＭＳ Ｐゴシック"/>
              <a:ea typeface="ＭＳ Ｐゴシック"/>
            </a:rPr>
            <a:t>-</a:t>
          </a:r>
        </a:p>
      </cdr:txBody>
    </cdr:sp>
  </cdr:relSizeAnchor>
  <cdr:relSizeAnchor xmlns:cdr="http://schemas.openxmlformats.org/drawingml/2006/chartDrawing">
    <cdr:from>
      <cdr:x>0.77181</cdr:x>
      <cdr:y>0.66567</cdr:y>
    </cdr:from>
    <cdr:to>
      <cdr:x>0.86322</cdr:x>
      <cdr:y>0.74067</cdr:y>
    </cdr:to>
    <cdr:sp macro="" textlink="">
      <cdr:nvSpPr>
        <cdr:cNvPr id="180231" name="Text Box 1031"/>
        <cdr:cNvSpPr txBox="1">
          <a:spLocks xmlns:a="http://schemas.openxmlformats.org/drawingml/2006/main" noChangeArrowheads="1"/>
        </cdr:cNvSpPr>
      </cdr:nvSpPr>
      <cdr:spPr bwMode="auto">
        <a:xfrm xmlns:a="http://schemas.openxmlformats.org/drawingml/2006/main">
          <a:off x="2246015" y="1791718"/>
          <a:ext cx="266938" cy="2002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1" i="0" u="none" strike="noStrike" baseline="0">
              <a:solidFill>
                <a:srgbClr val="000000"/>
              </a:solidFill>
              <a:latin typeface="ＭＳ Ｐゴシック"/>
              <a:ea typeface="ＭＳ Ｐゴシック"/>
            </a:rPr>
            <a:t>C</a:t>
          </a:r>
        </a:p>
      </cdr:txBody>
    </cdr:sp>
  </cdr:relSizeAnchor>
  <cdr:relSizeAnchor xmlns:cdr="http://schemas.openxmlformats.org/drawingml/2006/chartDrawing">
    <cdr:from>
      <cdr:x>0.38096</cdr:x>
      <cdr:y>0.01486</cdr:y>
    </cdr:from>
    <cdr:to>
      <cdr:x>0.45235</cdr:x>
      <cdr:y>0.09813</cdr:y>
    </cdr:to>
    <cdr:sp macro="" textlink="">
      <cdr:nvSpPr>
        <cdr:cNvPr id="180232" name="Text Box 1032"/>
        <cdr:cNvSpPr txBox="1">
          <a:spLocks xmlns:a="http://schemas.openxmlformats.org/drawingml/2006/main" noChangeArrowheads="1"/>
        </cdr:cNvSpPr>
      </cdr:nvSpPr>
      <cdr:spPr bwMode="auto">
        <a:xfrm xmlns:a="http://schemas.openxmlformats.org/drawingml/2006/main">
          <a:off x="1102903" y="39311"/>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3.0</a:t>
          </a:r>
        </a:p>
      </cdr:txBody>
    </cdr:sp>
  </cdr:relSizeAnchor>
  <cdr:relSizeAnchor xmlns:cdr="http://schemas.openxmlformats.org/drawingml/2006/chartDrawing">
    <cdr:from>
      <cdr:x>0.91968</cdr:x>
      <cdr:y>0.43581</cdr:y>
    </cdr:from>
    <cdr:to>
      <cdr:x>0.99107</cdr:x>
      <cdr:y>0.51908</cdr:y>
    </cdr:to>
    <cdr:sp macro="" textlink="">
      <cdr:nvSpPr>
        <cdr:cNvPr id="180233" name="Text Box 1033"/>
        <cdr:cNvSpPr txBox="1">
          <a:spLocks xmlns:a="http://schemas.openxmlformats.org/drawingml/2006/main" noChangeArrowheads="1"/>
        </cdr:cNvSpPr>
      </cdr:nvSpPr>
      <cdr:spPr bwMode="auto">
        <a:xfrm xmlns:a="http://schemas.openxmlformats.org/drawingml/2006/main">
          <a:off x="2662518" y="1153022"/>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0.5</a:t>
          </a:r>
        </a:p>
      </cdr:txBody>
    </cdr:sp>
  </cdr:relSizeAnchor>
  <cdr:relSizeAnchor xmlns:cdr="http://schemas.openxmlformats.org/drawingml/2006/chartDrawing">
    <cdr:from>
      <cdr:x>0.62522</cdr:x>
      <cdr:y>0.01848</cdr:y>
    </cdr:from>
    <cdr:to>
      <cdr:x>0.69661</cdr:x>
      <cdr:y>0.10175</cdr:y>
    </cdr:to>
    <cdr:sp macro="" textlink="">
      <cdr:nvSpPr>
        <cdr:cNvPr id="180234" name="Text Box 1034"/>
        <cdr:cNvSpPr txBox="1">
          <a:spLocks xmlns:a="http://schemas.openxmlformats.org/drawingml/2006/main" noChangeArrowheads="1"/>
        </cdr:cNvSpPr>
      </cdr:nvSpPr>
      <cdr:spPr bwMode="auto">
        <a:xfrm xmlns:a="http://schemas.openxmlformats.org/drawingml/2006/main">
          <a:off x="1810045" y="48889"/>
          <a:ext cx="206660"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1.5</a:t>
          </a:r>
        </a:p>
      </cdr:txBody>
    </cdr:sp>
  </cdr:relSizeAnchor>
  <cdr:relSizeAnchor xmlns:cdr="http://schemas.openxmlformats.org/drawingml/2006/chartDrawing">
    <cdr:from>
      <cdr:x>0.77874</cdr:x>
      <cdr:y>0.01486</cdr:y>
    </cdr:from>
    <cdr:to>
      <cdr:x>0.96072</cdr:x>
      <cdr:y>0.09813</cdr:y>
    </cdr:to>
    <cdr:sp macro="" textlink="">
      <cdr:nvSpPr>
        <cdr:cNvPr id="180235" name="Text Box 1035"/>
        <cdr:cNvSpPr txBox="1">
          <a:spLocks xmlns:a="http://schemas.openxmlformats.org/drawingml/2006/main" noChangeArrowheads="1"/>
        </cdr:cNvSpPr>
      </cdr:nvSpPr>
      <cdr:spPr bwMode="auto">
        <a:xfrm xmlns:a="http://schemas.openxmlformats.org/drawingml/2006/main">
          <a:off x="2254497" y="39311"/>
          <a:ext cx="526811" cy="2203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BEE=1.0</a:t>
          </a:r>
        </a:p>
      </cdr:txBody>
    </cdr:sp>
  </cdr:relSizeAnchor>
</c:userShapes>
</file>

<file path=xl/drawings/drawing22.xml><?xml version="1.0" encoding="utf-8"?>
<c:userShapes xmlns:c="http://schemas.openxmlformats.org/drawingml/2006/chart">
  <cdr:relSizeAnchor xmlns:cdr="http://schemas.openxmlformats.org/drawingml/2006/chartDrawing">
    <cdr:from>
      <cdr:x>0.08161</cdr:x>
      <cdr:y>0.43914</cdr:y>
    </cdr:from>
    <cdr:to>
      <cdr:x>0.98276</cdr:x>
      <cdr:y>0.43914</cdr:y>
    </cdr:to>
    <cdr:sp macro="" textlink="">
      <cdr:nvSpPr>
        <cdr:cNvPr id="185345" name="Line 1"/>
        <cdr:cNvSpPr>
          <a:spLocks xmlns:a="http://schemas.openxmlformats.org/drawingml/2006/main" noChangeShapeType="1"/>
        </cdr:cNvSpPr>
      </cdr:nvSpPr>
      <cdr:spPr bwMode="auto">
        <a:xfrm xmlns:a="http://schemas.openxmlformats.org/drawingml/2006/main" flipV="1">
          <a:off x="264555" y="694346"/>
          <a:ext cx="3049164"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3.xml><?xml version="1.0" encoding="utf-8"?>
<c:userShapes xmlns:c="http://schemas.openxmlformats.org/drawingml/2006/chart">
  <cdr:relSizeAnchor xmlns:cdr="http://schemas.openxmlformats.org/drawingml/2006/chartDrawing">
    <cdr:from>
      <cdr:x>0.05469</cdr:x>
      <cdr:y>0.44942</cdr:y>
    </cdr:from>
    <cdr:to>
      <cdr:x>0.96748</cdr:x>
      <cdr:y>0.44942</cdr:y>
    </cdr:to>
    <cdr:sp macro="" textlink="">
      <cdr:nvSpPr>
        <cdr:cNvPr id="187393" name="Line 1"/>
        <cdr:cNvSpPr>
          <a:spLocks xmlns:a="http://schemas.openxmlformats.org/drawingml/2006/main" noChangeShapeType="1"/>
        </cdr:cNvSpPr>
      </cdr:nvSpPr>
      <cdr:spPr bwMode="auto">
        <a:xfrm xmlns:a="http://schemas.openxmlformats.org/drawingml/2006/main" flipV="1">
          <a:off x="177337" y="702036"/>
          <a:ext cx="2959796" cy="0"/>
        </a:xfrm>
        <a:prstGeom xmlns:a="http://schemas.openxmlformats.org/drawingml/2006/main" prst="line">
          <a:avLst/>
        </a:prstGeom>
        <a:noFill xmlns:a="http://schemas.openxmlformats.org/drawingml/2006/main"/>
        <a:ln xmlns:a="http://schemas.openxmlformats.org/drawingml/2006/main" w="2540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4.xml><?xml version="1.0" encoding="utf-8"?>
<xdr:wsDr xmlns:xdr="http://schemas.openxmlformats.org/drawingml/2006/spreadsheetDrawing" xmlns:a="http://schemas.openxmlformats.org/drawingml/2006/main">
  <xdr:twoCellAnchor editAs="absolute">
    <xdr:from>
      <xdr:col>11</xdr:col>
      <xdr:colOff>740389</xdr:colOff>
      <xdr:row>25</xdr:row>
      <xdr:rowOff>60774</xdr:rowOff>
    </xdr:from>
    <xdr:to>
      <xdr:col>14</xdr:col>
      <xdr:colOff>765635</xdr:colOff>
      <xdr:row>40</xdr:row>
      <xdr:rowOff>129953</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396589</xdr:colOff>
      <xdr:row>26</xdr:row>
      <xdr:rowOff>17768</xdr:rowOff>
    </xdr:from>
    <xdr:to>
      <xdr:col>14</xdr:col>
      <xdr:colOff>752456</xdr:colOff>
      <xdr:row>27</xdr:row>
      <xdr:rowOff>59929</xdr:rowOff>
    </xdr:to>
    <xdr:sp macro="" textlink="$AG$30">
      <xdr:nvSpPr>
        <xdr:cNvPr id="3" name="テキスト ボックス 2">
          <a:extLst>
            <a:ext uri="{FF2B5EF4-FFF2-40B4-BE49-F238E27FC236}">
              <a16:creationId xmlns:a16="http://schemas.microsoft.com/office/drawing/2014/main" id="{00000000-0008-0000-0500-000003000000}"/>
            </a:ext>
          </a:extLst>
        </xdr:cNvPr>
        <xdr:cNvSpPr txBox="1"/>
      </xdr:nvSpPr>
      <xdr:spPr>
        <a:xfrm>
          <a:off x="8845824" y="455615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fld id="{5A1116A8-218F-4860-8156-E831E9364426}"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xdr:from>
      <xdr:col>2</xdr:col>
      <xdr:colOff>796215</xdr:colOff>
      <xdr:row>22</xdr:row>
      <xdr:rowOff>133350</xdr:rowOff>
    </xdr:from>
    <xdr:to>
      <xdr:col>6</xdr:col>
      <xdr:colOff>367280</xdr:colOff>
      <xdr:row>26</xdr:row>
      <xdr:rowOff>144780</xdr:rowOff>
    </xdr:to>
    <xdr:graphicFrame macro="">
      <xdr:nvGraphicFramePr>
        <xdr:cNvPr id="4" name="Chart 12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47046</xdr:colOff>
      <xdr:row>23</xdr:row>
      <xdr:rowOff>168966</xdr:rowOff>
    </xdr:from>
    <xdr:ext cx="560410" cy="219419"/>
    <xdr:sp macro="" textlink="">
      <xdr:nvSpPr>
        <xdr:cNvPr id="5" name="Text Box 39">
          <a:extLst>
            <a:ext uri="{FF2B5EF4-FFF2-40B4-BE49-F238E27FC236}">
              <a16:creationId xmlns:a16="http://schemas.microsoft.com/office/drawing/2014/main" id="{00000000-0008-0000-0500-000005000000}"/>
            </a:ext>
          </a:extLst>
        </xdr:cNvPr>
        <xdr:cNvSpPr txBox="1">
          <a:spLocks noChangeArrowheads="1"/>
        </xdr:cNvSpPr>
      </xdr:nvSpPr>
      <xdr:spPr bwMode="auto">
        <a:xfrm>
          <a:off x="48951" y="4211376"/>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26670</xdr:colOff>
      <xdr:row>25</xdr:row>
      <xdr:rowOff>129540</xdr:rowOff>
    </xdr:from>
    <xdr:to>
      <xdr:col>7</xdr:col>
      <xdr:colOff>140970</xdr:colOff>
      <xdr:row>27</xdr:row>
      <xdr:rowOff>26670</xdr:rowOff>
    </xdr:to>
    <xdr:sp macro="" textlink="">
      <xdr:nvSpPr>
        <xdr:cNvPr id="6" name="Text Box 129">
          <a:extLst>
            <a:ext uri="{FF2B5EF4-FFF2-40B4-BE49-F238E27FC236}">
              <a16:creationId xmlns:a16="http://schemas.microsoft.com/office/drawing/2014/main" id="{00000000-0008-0000-0500-000006000000}"/>
            </a:ext>
          </a:extLst>
        </xdr:cNvPr>
        <xdr:cNvSpPr txBox="1">
          <a:spLocks noChangeArrowheads="1"/>
        </xdr:cNvSpPr>
      </xdr:nvSpPr>
      <xdr:spPr bwMode="auto">
        <a:xfrm>
          <a:off x="81915" y="4552950"/>
          <a:ext cx="3276600" cy="19621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437163</xdr:colOff>
      <xdr:row>22</xdr:row>
      <xdr:rowOff>136109</xdr:rowOff>
    </xdr:from>
    <xdr:to>
      <xdr:col>10</xdr:col>
      <xdr:colOff>411532</xdr:colOff>
      <xdr:row>26</xdr:row>
      <xdr:rowOff>164684</xdr:rowOff>
    </xdr:to>
    <xdr:graphicFrame macro="">
      <xdr:nvGraphicFramePr>
        <xdr:cNvPr id="7" name="Chart 123">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93344</xdr:colOff>
      <xdr:row>26</xdr:row>
      <xdr:rowOff>134055</xdr:rowOff>
    </xdr:from>
    <xdr:to>
      <xdr:col>6</xdr:col>
      <xdr:colOff>21722</xdr:colOff>
      <xdr:row>41</xdr:row>
      <xdr:rowOff>58558</xdr:rowOff>
    </xdr:to>
    <xdr:graphicFrame macro="">
      <xdr:nvGraphicFramePr>
        <xdr:cNvPr id="8" name="Chart 1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57149</xdr:colOff>
      <xdr:row>44</xdr:row>
      <xdr:rowOff>137160</xdr:rowOff>
    </xdr:from>
    <xdr:to>
      <xdr:col>4</xdr:col>
      <xdr:colOff>434340</xdr:colOff>
      <xdr:row>53</xdr:row>
      <xdr:rowOff>22860</xdr:rowOff>
    </xdr:to>
    <xdr:graphicFrame macro="">
      <xdr:nvGraphicFramePr>
        <xdr:cNvPr id="9" name="Chart 4">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426720</xdr:colOff>
      <xdr:row>44</xdr:row>
      <xdr:rowOff>142876</xdr:rowOff>
    </xdr:from>
    <xdr:to>
      <xdr:col>9</xdr:col>
      <xdr:colOff>373381</xdr:colOff>
      <xdr:row>53</xdr:row>
      <xdr:rowOff>64770</xdr:rowOff>
    </xdr:to>
    <xdr:graphicFrame macro="">
      <xdr:nvGraphicFramePr>
        <xdr:cNvPr id="10" name="Chart 15">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390524</xdr:colOff>
      <xdr:row>44</xdr:row>
      <xdr:rowOff>163830</xdr:rowOff>
    </xdr:from>
    <xdr:to>
      <xdr:col>11</xdr:col>
      <xdr:colOff>784860</xdr:colOff>
      <xdr:row>53</xdr:row>
      <xdr:rowOff>34290</xdr:rowOff>
    </xdr:to>
    <xdr:graphicFrame macro="">
      <xdr:nvGraphicFramePr>
        <xdr:cNvPr id="11" name="Chart 15">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55</xdr:row>
      <xdr:rowOff>125730</xdr:rowOff>
    </xdr:from>
    <xdr:to>
      <xdr:col>5</xdr:col>
      <xdr:colOff>213360</xdr:colOff>
      <xdr:row>63</xdr:row>
      <xdr:rowOff>182879</xdr:rowOff>
    </xdr:to>
    <xdr:graphicFrame macro="">
      <xdr:nvGraphicFramePr>
        <xdr:cNvPr id="12" name="Chart 4">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325757</xdr:colOff>
      <xdr:row>55</xdr:row>
      <xdr:rowOff>131445</xdr:rowOff>
    </xdr:from>
    <xdr:to>
      <xdr:col>9</xdr:col>
      <xdr:colOff>142876</xdr:colOff>
      <xdr:row>63</xdr:row>
      <xdr:rowOff>135255</xdr:rowOff>
    </xdr:to>
    <xdr:graphicFrame macro="">
      <xdr:nvGraphicFramePr>
        <xdr:cNvPr id="13" name="Chart 15">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228600</xdr:colOff>
      <xdr:row>56</xdr:row>
      <xdr:rowOff>1905</xdr:rowOff>
    </xdr:from>
    <xdr:to>
      <xdr:col>11</xdr:col>
      <xdr:colOff>790575</xdr:colOff>
      <xdr:row>64</xdr:row>
      <xdr:rowOff>19050</xdr:rowOff>
    </xdr:to>
    <xdr:graphicFrame macro="">
      <xdr:nvGraphicFramePr>
        <xdr:cNvPr id="14" name="Chart 15">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10</xdr:col>
      <xdr:colOff>130266</xdr:colOff>
      <xdr:row>43</xdr:row>
      <xdr:rowOff>180975</xdr:rowOff>
    </xdr:from>
    <xdr:ext cx="851067" cy="201850"/>
    <xdr:sp macro="" textlink="">
      <xdr:nvSpPr>
        <xdr:cNvPr id="15" name="Text Box 135">
          <a:extLst>
            <a:ext uri="{FF2B5EF4-FFF2-40B4-BE49-F238E27FC236}">
              <a16:creationId xmlns:a16="http://schemas.microsoft.com/office/drawing/2014/main" id="{00000000-0008-0000-0500-00000F000000}"/>
            </a:ext>
          </a:extLst>
        </xdr:cNvPr>
        <xdr:cNvSpPr txBox="1">
          <a:spLocks noChangeArrowheads="1"/>
        </xdr:cNvSpPr>
      </xdr:nvSpPr>
      <xdr:spPr bwMode="auto">
        <a:xfrm>
          <a:off x="5607141"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590550</xdr:colOff>
      <xdr:row>43</xdr:row>
      <xdr:rowOff>180975</xdr:rowOff>
    </xdr:from>
    <xdr:ext cx="851067" cy="201850"/>
    <xdr:sp macro="" textlink="">
      <xdr:nvSpPr>
        <xdr:cNvPr id="16" name="Text Box 138">
          <a:extLst>
            <a:ext uri="{FF2B5EF4-FFF2-40B4-BE49-F238E27FC236}">
              <a16:creationId xmlns:a16="http://schemas.microsoft.com/office/drawing/2014/main" id="{00000000-0008-0000-0500-000010000000}"/>
            </a:ext>
          </a:extLst>
        </xdr:cNvPr>
        <xdr:cNvSpPr txBox="1">
          <a:spLocks noChangeArrowheads="1"/>
        </xdr:cNvSpPr>
      </xdr:nvSpPr>
      <xdr:spPr bwMode="auto">
        <a:xfrm>
          <a:off x="3810000"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2</xdr:col>
      <xdr:colOff>739140</xdr:colOff>
      <xdr:row>43</xdr:row>
      <xdr:rowOff>180975</xdr:rowOff>
    </xdr:from>
    <xdr:ext cx="851067" cy="201850"/>
    <xdr:sp macro="" textlink="">
      <xdr:nvSpPr>
        <xdr:cNvPr id="17" name="Text Box 139">
          <a:extLst>
            <a:ext uri="{FF2B5EF4-FFF2-40B4-BE49-F238E27FC236}">
              <a16:creationId xmlns:a16="http://schemas.microsoft.com/office/drawing/2014/main" id="{00000000-0008-0000-0500-000011000000}"/>
            </a:ext>
          </a:extLst>
        </xdr:cNvPr>
        <xdr:cNvSpPr txBox="1">
          <a:spLocks noChangeArrowheads="1"/>
        </xdr:cNvSpPr>
      </xdr:nvSpPr>
      <xdr:spPr bwMode="auto">
        <a:xfrm>
          <a:off x="939165" y="7553325"/>
          <a:ext cx="85106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10</xdr:col>
      <xdr:colOff>87630</xdr:colOff>
      <xdr:row>54</xdr:row>
      <xdr:rowOff>181927</xdr:rowOff>
    </xdr:from>
    <xdr:ext cx="916148" cy="201850"/>
    <xdr:sp macro="" textlink="">
      <xdr:nvSpPr>
        <xdr:cNvPr id="18" name="Text Box 136">
          <a:extLst>
            <a:ext uri="{FF2B5EF4-FFF2-40B4-BE49-F238E27FC236}">
              <a16:creationId xmlns:a16="http://schemas.microsoft.com/office/drawing/2014/main" id="{00000000-0008-0000-0500-000012000000}"/>
            </a:ext>
          </a:extLst>
        </xdr:cNvPr>
        <xdr:cNvSpPr txBox="1">
          <a:spLocks noChangeArrowheads="1"/>
        </xdr:cNvSpPr>
      </xdr:nvSpPr>
      <xdr:spPr bwMode="auto">
        <a:xfrm>
          <a:off x="556450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7</xdr:col>
      <xdr:colOff>510540</xdr:colOff>
      <xdr:row>54</xdr:row>
      <xdr:rowOff>181927</xdr:rowOff>
    </xdr:from>
    <xdr:ext cx="916148" cy="201850"/>
    <xdr:sp macro="" textlink="">
      <xdr:nvSpPr>
        <xdr:cNvPr id="19" name="Text Box 137">
          <a:extLst>
            <a:ext uri="{FF2B5EF4-FFF2-40B4-BE49-F238E27FC236}">
              <a16:creationId xmlns:a16="http://schemas.microsoft.com/office/drawing/2014/main" id="{00000000-0008-0000-0500-000013000000}"/>
            </a:ext>
          </a:extLst>
        </xdr:cNvPr>
        <xdr:cNvSpPr txBox="1">
          <a:spLocks noChangeArrowheads="1"/>
        </xdr:cNvSpPr>
      </xdr:nvSpPr>
      <xdr:spPr bwMode="auto">
        <a:xfrm>
          <a:off x="3729990"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3</xdr:col>
      <xdr:colOff>72390</xdr:colOff>
      <xdr:row>54</xdr:row>
      <xdr:rowOff>181927</xdr:rowOff>
    </xdr:from>
    <xdr:ext cx="916148" cy="201850"/>
    <xdr:sp macro="" textlink="">
      <xdr:nvSpPr>
        <xdr:cNvPr id="20" name="Text Box 140">
          <a:extLst>
            <a:ext uri="{FF2B5EF4-FFF2-40B4-BE49-F238E27FC236}">
              <a16:creationId xmlns:a16="http://schemas.microsoft.com/office/drawing/2014/main" id="{00000000-0008-0000-0500-000014000000}"/>
            </a:ext>
          </a:extLst>
        </xdr:cNvPr>
        <xdr:cNvSpPr txBox="1">
          <a:spLocks noChangeArrowheads="1"/>
        </xdr:cNvSpPr>
      </xdr:nvSpPr>
      <xdr:spPr bwMode="auto">
        <a:xfrm>
          <a:off x="1358265" y="9649777"/>
          <a:ext cx="916148"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11</xdr:col>
      <xdr:colOff>364504</xdr:colOff>
      <xdr:row>22</xdr:row>
      <xdr:rowOff>79399</xdr:rowOff>
    </xdr:from>
    <xdr:to>
      <xdr:col>14</xdr:col>
      <xdr:colOff>510540</xdr:colOff>
      <xdr:row>27</xdr:row>
      <xdr:rowOff>16202</xdr:rowOff>
    </xdr:to>
    <xdr:graphicFrame macro="">
      <xdr:nvGraphicFramePr>
        <xdr:cNvPr id="21" name="Chart 123">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14</xdr:col>
      <xdr:colOff>396589</xdr:colOff>
      <xdr:row>27</xdr:row>
      <xdr:rowOff>21885</xdr:rowOff>
    </xdr:from>
    <xdr:to>
      <xdr:col>14</xdr:col>
      <xdr:colOff>752456</xdr:colOff>
      <xdr:row>28</xdr:row>
      <xdr:rowOff>75253</xdr:rowOff>
    </xdr:to>
    <xdr:sp macro="" textlink="AG31">
      <xdr:nvSpPr>
        <xdr:cNvPr id="22" name="テキスト ボックス 21">
          <a:extLst>
            <a:ext uri="{FF2B5EF4-FFF2-40B4-BE49-F238E27FC236}">
              <a16:creationId xmlns:a16="http://schemas.microsoft.com/office/drawing/2014/main" id="{00000000-0008-0000-0500-000016000000}"/>
            </a:ext>
          </a:extLst>
        </xdr:cNvPr>
        <xdr:cNvSpPr txBox="1"/>
      </xdr:nvSpPr>
      <xdr:spPr>
        <a:xfrm>
          <a:off x="8845824" y="472835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6E789C0-80CC-4D7E-9458-D007FB86AE83}"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28</xdr:row>
      <xdr:rowOff>22417</xdr:rowOff>
    </xdr:from>
    <xdr:to>
      <xdr:col>14</xdr:col>
      <xdr:colOff>752456</xdr:colOff>
      <xdr:row>29</xdr:row>
      <xdr:rowOff>75785</xdr:rowOff>
    </xdr:to>
    <xdr:sp macro="" textlink="AG32">
      <xdr:nvSpPr>
        <xdr:cNvPr id="23" name="テキスト ボックス 22">
          <a:extLst>
            <a:ext uri="{FF2B5EF4-FFF2-40B4-BE49-F238E27FC236}">
              <a16:creationId xmlns:a16="http://schemas.microsoft.com/office/drawing/2014/main" id="{00000000-0008-0000-0500-000017000000}"/>
            </a:ext>
          </a:extLst>
        </xdr:cNvPr>
        <xdr:cNvSpPr txBox="1"/>
      </xdr:nvSpPr>
      <xdr:spPr>
        <a:xfrm>
          <a:off x="8845824" y="488577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2E0B29F-ABBB-42A0-9067-3121F1E5EF3B}"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29</xdr:row>
      <xdr:rowOff>34379</xdr:rowOff>
    </xdr:from>
    <xdr:to>
      <xdr:col>14</xdr:col>
      <xdr:colOff>754361</xdr:colOff>
      <xdr:row>30</xdr:row>
      <xdr:rowOff>91556</xdr:rowOff>
    </xdr:to>
    <xdr:sp macro="" textlink="AG33">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849634" y="505461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CCEE807-96EB-4398-939A-AB572800A6B3}" type="TxLink">
            <a:rPr kumimoji="1" lang="en-US" altLang="en-US" sz="800" b="0" i="0" u="none" strike="noStrike">
              <a:solidFill>
                <a:srgbClr val="000000"/>
              </a:solidFill>
              <a:latin typeface="Arial"/>
              <a:ea typeface="游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30</xdr:row>
      <xdr:rowOff>38721</xdr:rowOff>
    </xdr:from>
    <xdr:to>
      <xdr:col>14</xdr:col>
      <xdr:colOff>754361</xdr:colOff>
      <xdr:row>31</xdr:row>
      <xdr:rowOff>95899</xdr:rowOff>
    </xdr:to>
    <xdr:sp macro="" textlink="AG34">
      <xdr:nvSpPr>
        <xdr:cNvPr id="25" name="テキスト ボックス 24">
          <a:extLst>
            <a:ext uri="{FF2B5EF4-FFF2-40B4-BE49-F238E27FC236}">
              <a16:creationId xmlns:a16="http://schemas.microsoft.com/office/drawing/2014/main" id="{00000000-0008-0000-0500-000019000000}"/>
            </a:ext>
          </a:extLst>
        </xdr:cNvPr>
        <xdr:cNvSpPr txBox="1"/>
      </xdr:nvSpPr>
      <xdr:spPr>
        <a:xfrm>
          <a:off x="8849634" y="5215839"/>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BD1C74E7-7AA5-438B-B2C9-84A7803ADB24}"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31</xdr:row>
      <xdr:rowOff>54493</xdr:rowOff>
    </xdr:from>
    <xdr:to>
      <xdr:col>14</xdr:col>
      <xdr:colOff>754361</xdr:colOff>
      <xdr:row>32</xdr:row>
      <xdr:rowOff>111671</xdr:rowOff>
    </xdr:to>
    <xdr:sp macro="" textlink="AG35">
      <xdr:nvSpPr>
        <xdr:cNvPr id="26" name="テキスト ボックス 25">
          <a:extLst>
            <a:ext uri="{FF2B5EF4-FFF2-40B4-BE49-F238E27FC236}">
              <a16:creationId xmlns:a16="http://schemas.microsoft.com/office/drawing/2014/main" id="{00000000-0008-0000-0500-00001A000000}"/>
            </a:ext>
          </a:extLst>
        </xdr:cNvPr>
        <xdr:cNvSpPr txBox="1"/>
      </xdr:nvSpPr>
      <xdr:spPr>
        <a:xfrm>
          <a:off x="8849634" y="5392303"/>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B480DA6-AA42-4E57-AA63-FF640E132510}"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32</xdr:row>
      <xdr:rowOff>55025</xdr:rowOff>
    </xdr:from>
    <xdr:to>
      <xdr:col>14</xdr:col>
      <xdr:colOff>754361</xdr:colOff>
      <xdr:row>33</xdr:row>
      <xdr:rowOff>112202</xdr:rowOff>
    </xdr:to>
    <xdr:sp macro="" textlink="AG36">
      <xdr:nvSpPr>
        <xdr:cNvPr id="27" name="テキスト ボックス 26">
          <a:extLst>
            <a:ext uri="{FF2B5EF4-FFF2-40B4-BE49-F238E27FC236}">
              <a16:creationId xmlns:a16="http://schemas.microsoft.com/office/drawing/2014/main" id="{00000000-0008-0000-0500-00001B000000}"/>
            </a:ext>
          </a:extLst>
        </xdr:cNvPr>
        <xdr:cNvSpPr txBox="1"/>
      </xdr:nvSpPr>
      <xdr:spPr>
        <a:xfrm>
          <a:off x="8849634" y="5549717"/>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B9020B-4ED6-4A9E-8B6B-F724481715F4}"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33</xdr:row>
      <xdr:rowOff>55557</xdr:rowOff>
    </xdr:from>
    <xdr:to>
      <xdr:col>14</xdr:col>
      <xdr:colOff>754361</xdr:colOff>
      <xdr:row>34</xdr:row>
      <xdr:rowOff>112735</xdr:rowOff>
    </xdr:to>
    <xdr:sp macro="" textlink="AG37">
      <xdr:nvSpPr>
        <xdr:cNvPr id="28" name="テキスト ボックス 27">
          <a:extLst>
            <a:ext uri="{FF2B5EF4-FFF2-40B4-BE49-F238E27FC236}">
              <a16:creationId xmlns:a16="http://schemas.microsoft.com/office/drawing/2014/main" id="{00000000-0008-0000-0500-00001C000000}"/>
            </a:ext>
          </a:extLst>
        </xdr:cNvPr>
        <xdr:cNvSpPr txBox="1"/>
      </xdr:nvSpPr>
      <xdr:spPr>
        <a:xfrm>
          <a:off x="8849634" y="5707132"/>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6D13635-C17B-4A69-9214-84202FE24028}"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34</xdr:row>
      <xdr:rowOff>59899</xdr:rowOff>
    </xdr:from>
    <xdr:to>
      <xdr:col>14</xdr:col>
      <xdr:colOff>752456</xdr:colOff>
      <xdr:row>35</xdr:row>
      <xdr:rowOff>113267</xdr:rowOff>
    </xdr:to>
    <xdr:sp macro="" textlink="AG38">
      <xdr:nvSpPr>
        <xdr:cNvPr id="29" name="テキスト ボックス 28">
          <a:extLst>
            <a:ext uri="{FF2B5EF4-FFF2-40B4-BE49-F238E27FC236}">
              <a16:creationId xmlns:a16="http://schemas.microsoft.com/office/drawing/2014/main" id="{00000000-0008-0000-0500-00001D000000}"/>
            </a:ext>
          </a:extLst>
        </xdr:cNvPr>
        <xdr:cNvSpPr txBox="1"/>
      </xdr:nvSpPr>
      <xdr:spPr>
        <a:xfrm>
          <a:off x="8845824" y="5864546"/>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2E3F2B3-D6EE-49E5-8E1A-8E3146CFE32D}"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35</xdr:row>
      <xdr:rowOff>56621</xdr:rowOff>
    </xdr:from>
    <xdr:to>
      <xdr:col>14</xdr:col>
      <xdr:colOff>754361</xdr:colOff>
      <xdr:row>36</xdr:row>
      <xdr:rowOff>113798</xdr:rowOff>
    </xdr:to>
    <xdr:sp macro="" textlink="AG39">
      <xdr:nvSpPr>
        <xdr:cNvPr id="30" name="テキスト ボックス 29">
          <a:extLst>
            <a:ext uri="{FF2B5EF4-FFF2-40B4-BE49-F238E27FC236}">
              <a16:creationId xmlns:a16="http://schemas.microsoft.com/office/drawing/2014/main" id="{00000000-0008-0000-0500-00001E000000}"/>
            </a:ext>
          </a:extLst>
        </xdr:cNvPr>
        <xdr:cNvSpPr txBox="1"/>
      </xdr:nvSpPr>
      <xdr:spPr>
        <a:xfrm>
          <a:off x="8849634" y="602196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E864DC6-5D74-4E2F-9C52-B379DB3AD7F0}"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36</xdr:row>
      <xdr:rowOff>55248</xdr:rowOff>
    </xdr:from>
    <xdr:to>
      <xdr:col>14</xdr:col>
      <xdr:colOff>754361</xdr:colOff>
      <xdr:row>37</xdr:row>
      <xdr:rowOff>112426</xdr:rowOff>
    </xdr:to>
    <xdr:sp macro="" textlink="AG40">
      <xdr:nvSpPr>
        <xdr:cNvPr id="31" name="テキスト ボックス 30">
          <a:extLst>
            <a:ext uri="{FF2B5EF4-FFF2-40B4-BE49-F238E27FC236}">
              <a16:creationId xmlns:a16="http://schemas.microsoft.com/office/drawing/2014/main" id="{00000000-0008-0000-0500-00001F000000}"/>
            </a:ext>
          </a:extLst>
        </xdr:cNvPr>
        <xdr:cNvSpPr txBox="1"/>
      </xdr:nvSpPr>
      <xdr:spPr>
        <a:xfrm>
          <a:off x="8849634" y="6177470"/>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0AA74D8-ED61-4D48-B65C-311B1BA2297C}"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14</xdr:col>
      <xdr:colOff>396589</xdr:colOff>
      <xdr:row>38</xdr:row>
      <xdr:rowOff>73457</xdr:rowOff>
    </xdr:from>
    <xdr:to>
      <xdr:col>14</xdr:col>
      <xdr:colOff>754361</xdr:colOff>
      <xdr:row>39</xdr:row>
      <xdr:rowOff>130634</xdr:rowOff>
    </xdr:to>
    <xdr:sp macro="" textlink="AG42">
      <xdr:nvSpPr>
        <xdr:cNvPr id="32" name="テキスト ボックス 31">
          <a:extLst>
            <a:ext uri="{FF2B5EF4-FFF2-40B4-BE49-F238E27FC236}">
              <a16:creationId xmlns:a16="http://schemas.microsoft.com/office/drawing/2014/main" id="{00000000-0008-0000-0500-000020000000}"/>
            </a:ext>
          </a:extLst>
        </xdr:cNvPr>
        <xdr:cNvSpPr txBox="1"/>
      </xdr:nvSpPr>
      <xdr:spPr>
        <a:xfrm>
          <a:off x="8849634" y="6505633"/>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61B7512-E5F3-4A03-8C98-DC16D4445EA2}"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170610</xdr:colOff>
      <xdr:row>26</xdr:row>
      <xdr:rowOff>56364</xdr:rowOff>
    </xdr:from>
    <xdr:to>
      <xdr:col>12</xdr:col>
      <xdr:colOff>54806</xdr:colOff>
      <xdr:row>27</xdr:row>
      <xdr:rowOff>54681</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6405775" y="4612823"/>
          <a:ext cx="701341" cy="1554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3</a:t>
          </a:r>
          <a:r>
            <a:rPr kumimoji="1" lang="ja-JP" altLang="en-US" sz="800" b="0">
              <a:latin typeface="Arial" panose="020B0604020202020204" pitchFamily="34" charset="0"/>
              <a:cs typeface="Arial" panose="020B0604020202020204" pitchFamily="34" charset="0"/>
            </a:rPr>
            <a:t>（保健）</a:t>
          </a:r>
        </a:p>
      </xdr:txBody>
    </xdr:sp>
    <xdr:clientData/>
  </xdr:twoCellAnchor>
  <xdr:twoCellAnchor editAs="absolute">
    <xdr:from>
      <xdr:col>11</xdr:col>
      <xdr:colOff>170610</xdr:colOff>
      <xdr:row>27</xdr:row>
      <xdr:rowOff>73690</xdr:rowOff>
    </xdr:from>
    <xdr:to>
      <xdr:col>12</xdr:col>
      <xdr:colOff>54806</xdr:colOff>
      <xdr:row>28</xdr:row>
      <xdr:rowOff>59174</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6405775" y="4791072"/>
          <a:ext cx="701341" cy="149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4</a:t>
          </a:r>
          <a:r>
            <a:rPr kumimoji="1" lang="ja-JP" altLang="en-US" sz="800" b="0">
              <a:latin typeface="Arial" panose="020B0604020202020204" pitchFamily="34" charset="0"/>
              <a:cs typeface="Arial" panose="020B0604020202020204" pitchFamily="34" charset="0"/>
            </a:rPr>
            <a:t>（教育）</a:t>
          </a:r>
        </a:p>
      </xdr:txBody>
    </xdr:sp>
    <xdr:clientData/>
  </xdr:twoCellAnchor>
  <xdr:twoCellAnchor editAs="absolute">
    <xdr:from>
      <xdr:col>11</xdr:col>
      <xdr:colOff>170610</xdr:colOff>
      <xdr:row>28</xdr:row>
      <xdr:rowOff>95328</xdr:rowOff>
    </xdr:from>
    <xdr:to>
      <xdr:col>12</xdr:col>
      <xdr:colOff>130964</xdr:colOff>
      <xdr:row>29</xdr:row>
      <xdr:rowOff>57952</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405775" y="4959796"/>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5</a:t>
          </a:r>
          <a:r>
            <a:rPr kumimoji="1" lang="ja-JP" altLang="en-US" sz="800" b="0">
              <a:latin typeface="Arial" panose="020B0604020202020204" pitchFamily="34" charset="0"/>
              <a:cs typeface="Arial" panose="020B0604020202020204" pitchFamily="34" charset="0"/>
            </a:rPr>
            <a:t>（ｼﾞｪﾝﾀﾞｰ）</a:t>
          </a:r>
        </a:p>
      </xdr:txBody>
    </xdr:sp>
    <xdr:clientData/>
  </xdr:twoCellAnchor>
  <xdr:twoCellAnchor editAs="absolute">
    <xdr:from>
      <xdr:col>11</xdr:col>
      <xdr:colOff>170610</xdr:colOff>
      <xdr:row>29</xdr:row>
      <xdr:rowOff>92201</xdr:rowOff>
    </xdr:from>
    <xdr:to>
      <xdr:col>12</xdr:col>
      <xdr:colOff>130964</xdr:colOff>
      <xdr:row>30</xdr:row>
      <xdr:rowOff>56730</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6405775" y="5118995"/>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6</a:t>
          </a:r>
          <a:r>
            <a:rPr kumimoji="1" lang="ja-JP" altLang="en-US" sz="800" b="0">
              <a:latin typeface="Arial" panose="020B0604020202020204" pitchFamily="34" charset="0"/>
              <a:cs typeface="Arial" panose="020B0604020202020204" pitchFamily="34" charset="0"/>
            </a:rPr>
            <a:t>（水・衛生）</a:t>
          </a:r>
        </a:p>
      </xdr:txBody>
    </xdr:sp>
    <xdr:clientData/>
  </xdr:twoCellAnchor>
  <xdr:twoCellAnchor editAs="absolute">
    <xdr:from>
      <xdr:col>11</xdr:col>
      <xdr:colOff>170610</xdr:colOff>
      <xdr:row>30</xdr:row>
      <xdr:rowOff>79549</xdr:rowOff>
    </xdr:from>
    <xdr:to>
      <xdr:col>12</xdr:col>
      <xdr:colOff>130964</xdr:colOff>
      <xdr:row>31</xdr:row>
      <xdr:rowOff>55508</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6405775" y="5278194"/>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7</a:t>
          </a:r>
          <a:r>
            <a:rPr kumimoji="1" lang="ja-JP" altLang="en-US" sz="800" b="0">
              <a:latin typeface="Arial" panose="020B0604020202020204" pitchFamily="34" charset="0"/>
              <a:cs typeface="Arial" panose="020B0604020202020204" pitchFamily="34" charset="0"/>
            </a:rPr>
            <a:t>（ｴﾈﾙｷﾞｰ）</a:t>
          </a:r>
        </a:p>
      </xdr:txBody>
    </xdr:sp>
    <xdr:clientData/>
  </xdr:twoCellAnchor>
  <xdr:twoCellAnchor editAs="absolute">
    <xdr:from>
      <xdr:col>11</xdr:col>
      <xdr:colOff>170610</xdr:colOff>
      <xdr:row>31</xdr:row>
      <xdr:rowOff>78327</xdr:rowOff>
    </xdr:from>
    <xdr:to>
      <xdr:col>12</xdr:col>
      <xdr:colOff>130964</xdr:colOff>
      <xdr:row>32</xdr:row>
      <xdr:rowOff>54286</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405775" y="5437393"/>
          <a:ext cx="777499"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8</a:t>
          </a:r>
          <a:r>
            <a:rPr kumimoji="1" lang="ja-JP" altLang="en-US" sz="800" b="0">
              <a:latin typeface="Arial" panose="020B0604020202020204" pitchFamily="34" charset="0"/>
              <a:cs typeface="Arial" panose="020B0604020202020204" pitchFamily="34" charset="0"/>
            </a:rPr>
            <a:t>（経済・雇用）</a:t>
          </a:r>
        </a:p>
      </xdr:txBody>
    </xdr:sp>
    <xdr:clientData/>
  </xdr:twoCellAnchor>
  <xdr:twoCellAnchor editAs="absolute">
    <xdr:from>
      <xdr:col>11</xdr:col>
      <xdr:colOff>170610</xdr:colOff>
      <xdr:row>32</xdr:row>
      <xdr:rowOff>77105</xdr:rowOff>
    </xdr:from>
    <xdr:to>
      <xdr:col>12</xdr:col>
      <xdr:colOff>130964</xdr:colOff>
      <xdr:row>33</xdr:row>
      <xdr:rowOff>54969</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6405775" y="5596592"/>
          <a:ext cx="777499"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9</a:t>
          </a:r>
          <a:r>
            <a:rPr kumimoji="1" lang="ja-JP" altLang="en-US" sz="800" b="0">
              <a:latin typeface="Arial" panose="020B0604020202020204" pitchFamily="34" charset="0"/>
              <a:cs typeface="Arial" panose="020B0604020202020204" pitchFamily="34" charset="0"/>
            </a:rPr>
            <a:t>（ｲﾉﾍﾞｰｼｮﾝ）</a:t>
          </a:r>
        </a:p>
      </xdr:txBody>
    </xdr:sp>
    <xdr:clientData/>
  </xdr:twoCellAnchor>
  <xdr:twoCellAnchor editAs="absolute">
    <xdr:from>
      <xdr:col>11</xdr:col>
      <xdr:colOff>170610</xdr:colOff>
      <xdr:row>33</xdr:row>
      <xdr:rowOff>77788</xdr:rowOff>
    </xdr:from>
    <xdr:to>
      <xdr:col>12</xdr:col>
      <xdr:colOff>54806</xdr:colOff>
      <xdr:row>34</xdr:row>
      <xdr:rowOff>55652</xdr:rowOff>
    </xdr:to>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6405775" y="5757696"/>
          <a:ext cx="701341"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11</a:t>
          </a:r>
          <a:r>
            <a:rPr kumimoji="1" lang="ja-JP" altLang="en-US" sz="800" b="0">
              <a:latin typeface="Arial" panose="020B0604020202020204" pitchFamily="34" charset="0"/>
              <a:cs typeface="Arial" panose="020B0604020202020204" pitchFamily="34" charset="0"/>
            </a:rPr>
            <a:t>（都市）</a:t>
          </a:r>
        </a:p>
      </xdr:txBody>
    </xdr:sp>
    <xdr:clientData/>
  </xdr:twoCellAnchor>
  <xdr:twoCellAnchor editAs="absolute">
    <xdr:from>
      <xdr:col>11</xdr:col>
      <xdr:colOff>170610</xdr:colOff>
      <xdr:row>34</xdr:row>
      <xdr:rowOff>78471</xdr:rowOff>
    </xdr:from>
    <xdr:to>
      <xdr:col>12</xdr:col>
      <xdr:colOff>60025</xdr:colOff>
      <xdr:row>35</xdr:row>
      <xdr:rowOff>60145</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6405775" y="5918800"/>
          <a:ext cx="698940" cy="149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12</a:t>
          </a:r>
          <a:r>
            <a:rPr kumimoji="1" lang="ja-JP" altLang="en-US" sz="800" b="0">
              <a:latin typeface="Arial" panose="020B0604020202020204" pitchFamily="34" charset="0"/>
              <a:cs typeface="Arial" panose="020B0604020202020204" pitchFamily="34" charset="0"/>
            </a:rPr>
            <a:t>（生産・消費）</a:t>
          </a:r>
        </a:p>
      </xdr:txBody>
    </xdr:sp>
    <xdr:clientData/>
  </xdr:twoCellAnchor>
  <xdr:twoCellAnchor editAs="absolute">
    <xdr:from>
      <xdr:col>11</xdr:col>
      <xdr:colOff>170610</xdr:colOff>
      <xdr:row>35</xdr:row>
      <xdr:rowOff>96299</xdr:rowOff>
    </xdr:from>
    <xdr:to>
      <xdr:col>12</xdr:col>
      <xdr:colOff>97511</xdr:colOff>
      <xdr:row>36</xdr:row>
      <xdr:rowOff>57018</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405775" y="6087524"/>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13</a:t>
          </a:r>
          <a:r>
            <a:rPr kumimoji="1" lang="ja-JP" altLang="en-US" sz="800" b="0">
              <a:latin typeface="Arial" panose="020B0604020202020204" pitchFamily="34" charset="0"/>
              <a:cs typeface="Arial" panose="020B0604020202020204" pitchFamily="34" charset="0"/>
            </a:rPr>
            <a:t>（気候変動）</a:t>
          </a:r>
        </a:p>
      </xdr:txBody>
    </xdr:sp>
    <xdr:clientData/>
  </xdr:twoCellAnchor>
  <xdr:twoCellAnchor editAs="absolute">
    <xdr:from>
      <xdr:col>11</xdr:col>
      <xdr:colOff>170610</xdr:colOff>
      <xdr:row>38</xdr:row>
      <xdr:rowOff>96448</xdr:rowOff>
    </xdr:from>
    <xdr:to>
      <xdr:col>12</xdr:col>
      <xdr:colOff>97511</xdr:colOff>
      <xdr:row>39</xdr:row>
      <xdr:rowOff>59072</xdr:rowOff>
    </xdr:to>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6405775" y="6565126"/>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17</a:t>
          </a:r>
          <a:r>
            <a:rPr kumimoji="1" lang="ja-JP" altLang="en-US" sz="800" b="0">
              <a:latin typeface="Arial" panose="020B0604020202020204" pitchFamily="34" charset="0"/>
              <a:cs typeface="Arial" panose="020B0604020202020204" pitchFamily="34" charset="0"/>
            </a:rPr>
            <a:t>（実施手段）</a:t>
          </a:r>
        </a:p>
      </xdr:txBody>
    </xdr:sp>
    <xdr:clientData/>
  </xdr:twoCellAnchor>
  <xdr:twoCellAnchor editAs="absolute">
    <xdr:from>
      <xdr:col>11</xdr:col>
      <xdr:colOff>170610</xdr:colOff>
      <xdr:row>36</xdr:row>
      <xdr:rowOff>93172</xdr:rowOff>
    </xdr:from>
    <xdr:to>
      <xdr:col>12</xdr:col>
      <xdr:colOff>97511</xdr:colOff>
      <xdr:row>37</xdr:row>
      <xdr:rowOff>59606</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6405775" y="6246723"/>
          <a:ext cx="736426" cy="1420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15</a:t>
          </a:r>
          <a:r>
            <a:rPr kumimoji="1" lang="ja-JP" altLang="en-US" sz="800" b="0">
              <a:latin typeface="Arial" panose="020B0604020202020204" pitchFamily="34" charset="0"/>
              <a:cs typeface="Arial" panose="020B0604020202020204" pitchFamily="34" charset="0"/>
            </a:rPr>
            <a:t>（陸上資源）</a:t>
          </a:r>
        </a:p>
      </xdr:txBody>
    </xdr:sp>
    <xdr:clientData/>
  </xdr:twoCellAnchor>
  <xdr:twoCellAnchor editAs="absolute">
    <xdr:from>
      <xdr:col>11</xdr:col>
      <xdr:colOff>97396</xdr:colOff>
      <xdr:row>26</xdr:row>
      <xdr:rowOff>56017</xdr:rowOff>
    </xdr:from>
    <xdr:to>
      <xdr:col>11</xdr:col>
      <xdr:colOff>251376</xdr:colOff>
      <xdr:row>27</xdr:row>
      <xdr:rowOff>59447</xdr:rowOff>
    </xdr:to>
    <xdr:pic>
      <xdr:nvPicPr>
        <xdr:cNvPr id="45" name="図 44">
          <a:extLst>
            <a:ext uri="{FF2B5EF4-FFF2-40B4-BE49-F238E27FC236}">
              <a16:creationId xmlns:a16="http://schemas.microsoft.com/office/drawing/2014/main" id="{00000000-0008-0000-0500-00002D000000}"/>
            </a:ext>
          </a:extLst>
        </xdr:cNvPr>
        <xdr:cNvPicPr preferRelativeResize="0">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331448" y="4612980"/>
          <a:ext cx="165410" cy="164139"/>
        </a:xfrm>
        <a:prstGeom prst="rect">
          <a:avLst/>
        </a:prstGeom>
      </xdr:spPr>
    </xdr:pic>
    <xdr:clientData/>
  </xdr:twoCellAnchor>
  <xdr:twoCellAnchor editAs="absolute">
    <xdr:from>
      <xdr:col>11</xdr:col>
      <xdr:colOff>93586</xdr:colOff>
      <xdr:row>27</xdr:row>
      <xdr:rowOff>56949</xdr:rowOff>
    </xdr:from>
    <xdr:to>
      <xdr:col>11</xdr:col>
      <xdr:colOff>247566</xdr:colOff>
      <xdr:row>28</xdr:row>
      <xdr:rowOff>60861</xdr:rowOff>
    </xdr:to>
    <xdr:pic>
      <xdr:nvPicPr>
        <xdr:cNvPr id="46" name="図 45">
          <a:extLst>
            <a:ext uri="{FF2B5EF4-FFF2-40B4-BE49-F238E27FC236}">
              <a16:creationId xmlns:a16="http://schemas.microsoft.com/office/drawing/2014/main" id="{00000000-0008-0000-0500-00002E000000}"/>
            </a:ext>
          </a:extLst>
        </xdr:cNvPr>
        <xdr:cNvPicPr preferRelativeResize="0">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335258" y="4774621"/>
          <a:ext cx="159695" cy="166039"/>
        </a:xfrm>
        <a:prstGeom prst="rect">
          <a:avLst/>
        </a:prstGeom>
      </xdr:spPr>
    </xdr:pic>
    <xdr:clientData/>
  </xdr:twoCellAnchor>
  <xdr:twoCellAnchor editAs="absolute">
    <xdr:from>
      <xdr:col>11</xdr:col>
      <xdr:colOff>93586</xdr:colOff>
      <xdr:row>28</xdr:row>
      <xdr:rowOff>56458</xdr:rowOff>
    </xdr:from>
    <xdr:to>
      <xdr:col>11</xdr:col>
      <xdr:colOff>247566</xdr:colOff>
      <xdr:row>29</xdr:row>
      <xdr:rowOff>58445</xdr:rowOff>
    </xdr:to>
    <xdr:pic>
      <xdr:nvPicPr>
        <xdr:cNvPr id="47" name="図 46">
          <a:extLst>
            <a:ext uri="{FF2B5EF4-FFF2-40B4-BE49-F238E27FC236}">
              <a16:creationId xmlns:a16="http://schemas.microsoft.com/office/drawing/2014/main" id="{00000000-0008-0000-0500-00002F000000}"/>
            </a:ext>
          </a:extLst>
        </xdr:cNvPr>
        <xdr:cNvPicPr preferRelativeResize="0">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35258" y="4941972"/>
          <a:ext cx="159695" cy="158400"/>
        </a:xfrm>
        <a:prstGeom prst="rect">
          <a:avLst/>
        </a:prstGeom>
      </xdr:spPr>
    </xdr:pic>
    <xdr:clientData/>
  </xdr:twoCellAnchor>
  <xdr:twoCellAnchor editAs="absolute">
    <xdr:from>
      <xdr:col>11</xdr:col>
      <xdr:colOff>93586</xdr:colOff>
      <xdr:row>29</xdr:row>
      <xdr:rowOff>59757</xdr:rowOff>
    </xdr:from>
    <xdr:to>
      <xdr:col>11</xdr:col>
      <xdr:colOff>247566</xdr:colOff>
      <xdr:row>30</xdr:row>
      <xdr:rowOff>56029</xdr:rowOff>
    </xdr:to>
    <xdr:pic>
      <xdr:nvPicPr>
        <xdr:cNvPr id="48" name="図 47">
          <a:extLst>
            <a:ext uri="{FF2B5EF4-FFF2-40B4-BE49-F238E27FC236}">
              <a16:creationId xmlns:a16="http://schemas.microsoft.com/office/drawing/2014/main" id="{00000000-0008-0000-0500-000030000000}"/>
            </a:ext>
          </a:extLst>
        </xdr:cNvPr>
        <xdr:cNvPicPr preferRelativeResize="0">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335258" y="5101684"/>
          <a:ext cx="159695" cy="158400"/>
        </a:xfrm>
        <a:prstGeom prst="rect">
          <a:avLst/>
        </a:prstGeom>
      </xdr:spPr>
    </xdr:pic>
    <xdr:clientData/>
  </xdr:twoCellAnchor>
  <xdr:twoCellAnchor editAs="absolute">
    <xdr:from>
      <xdr:col>11</xdr:col>
      <xdr:colOff>93586</xdr:colOff>
      <xdr:row>30</xdr:row>
      <xdr:rowOff>57341</xdr:rowOff>
    </xdr:from>
    <xdr:to>
      <xdr:col>11</xdr:col>
      <xdr:colOff>247566</xdr:colOff>
      <xdr:row>31</xdr:row>
      <xdr:rowOff>55538</xdr:rowOff>
    </xdr:to>
    <xdr:pic>
      <xdr:nvPicPr>
        <xdr:cNvPr id="49" name="図 48">
          <a:extLst>
            <a:ext uri="{FF2B5EF4-FFF2-40B4-BE49-F238E27FC236}">
              <a16:creationId xmlns:a16="http://schemas.microsoft.com/office/drawing/2014/main" id="{00000000-0008-0000-0500-000031000000}"/>
            </a:ext>
          </a:extLst>
        </xdr:cNvPr>
        <xdr:cNvPicPr preferRelativeResize="0">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35258" y="5261396"/>
          <a:ext cx="159695" cy="166039"/>
        </a:xfrm>
        <a:prstGeom prst="rect">
          <a:avLst/>
        </a:prstGeom>
      </xdr:spPr>
    </xdr:pic>
    <xdr:clientData/>
  </xdr:twoCellAnchor>
  <xdr:twoCellAnchor editAs="absolute">
    <xdr:from>
      <xdr:col>11</xdr:col>
      <xdr:colOff>93586</xdr:colOff>
      <xdr:row>31</xdr:row>
      <xdr:rowOff>56850</xdr:rowOff>
    </xdr:from>
    <xdr:to>
      <xdr:col>11</xdr:col>
      <xdr:colOff>247566</xdr:colOff>
      <xdr:row>32</xdr:row>
      <xdr:rowOff>56951</xdr:rowOff>
    </xdr:to>
    <xdr:pic>
      <xdr:nvPicPr>
        <xdr:cNvPr id="50" name="図 49">
          <a:extLst>
            <a:ext uri="{FF2B5EF4-FFF2-40B4-BE49-F238E27FC236}">
              <a16:creationId xmlns:a16="http://schemas.microsoft.com/office/drawing/2014/main" id="{00000000-0008-0000-0500-000032000000}"/>
            </a:ext>
          </a:extLst>
        </xdr:cNvPr>
        <xdr:cNvPicPr preferRelativeResize="0">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35258" y="5428747"/>
          <a:ext cx="159695" cy="166039"/>
        </a:xfrm>
        <a:prstGeom prst="rect">
          <a:avLst/>
        </a:prstGeom>
      </xdr:spPr>
    </xdr:pic>
    <xdr:clientData/>
  </xdr:twoCellAnchor>
  <xdr:twoCellAnchor editAs="absolute">
    <xdr:from>
      <xdr:col>11</xdr:col>
      <xdr:colOff>93586</xdr:colOff>
      <xdr:row>32</xdr:row>
      <xdr:rowOff>60168</xdr:rowOff>
    </xdr:from>
    <xdr:to>
      <xdr:col>11</xdr:col>
      <xdr:colOff>247566</xdr:colOff>
      <xdr:row>33</xdr:row>
      <xdr:rowOff>58369</xdr:rowOff>
    </xdr:to>
    <xdr:pic>
      <xdr:nvPicPr>
        <xdr:cNvPr id="51" name="図 50">
          <a:extLst>
            <a:ext uri="{FF2B5EF4-FFF2-40B4-BE49-F238E27FC236}">
              <a16:creationId xmlns:a16="http://schemas.microsoft.com/office/drawing/2014/main" id="{00000000-0008-0000-0500-000033000000}"/>
            </a:ext>
          </a:extLst>
        </xdr:cNvPr>
        <xdr:cNvPicPr preferRelativeResize="0">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335258" y="5596098"/>
          <a:ext cx="159695" cy="145089"/>
        </a:xfrm>
        <a:prstGeom prst="rect">
          <a:avLst/>
        </a:prstGeom>
      </xdr:spPr>
    </xdr:pic>
    <xdr:clientData/>
  </xdr:twoCellAnchor>
  <xdr:twoCellAnchor editAs="absolute">
    <xdr:from>
      <xdr:col>11</xdr:col>
      <xdr:colOff>93586</xdr:colOff>
      <xdr:row>33</xdr:row>
      <xdr:rowOff>59681</xdr:rowOff>
    </xdr:from>
    <xdr:to>
      <xdr:col>11</xdr:col>
      <xdr:colOff>247566</xdr:colOff>
      <xdr:row>34</xdr:row>
      <xdr:rowOff>55954</xdr:rowOff>
    </xdr:to>
    <xdr:pic>
      <xdr:nvPicPr>
        <xdr:cNvPr id="52" name="図 51">
          <a:extLst>
            <a:ext uri="{FF2B5EF4-FFF2-40B4-BE49-F238E27FC236}">
              <a16:creationId xmlns:a16="http://schemas.microsoft.com/office/drawing/2014/main" id="{00000000-0008-0000-0500-000034000000}"/>
            </a:ext>
          </a:extLst>
        </xdr:cNvPr>
        <xdr:cNvPicPr preferRelativeResize="0">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35258" y="5742499"/>
          <a:ext cx="159695" cy="158400"/>
        </a:xfrm>
        <a:prstGeom prst="rect">
          <a:avLst/>
        </a:prstGeom>
      </xdr:spPr>
    </xdr:pic>
    <xdr:clientData/>
  </xdr:twoCellAnchor>
  <xdr:twoCellAnchor editAs="absolute">
    <xdr:from>
      <xdr:col>11</xdr:col>
      <xdr:colOff>93586</xdr:colOff>
      <xdr:row>34</xdr:row>
      <xdr:rowOff>57265</xdr:rowOff>
    </xdr:from>
    <xdr:to>
      <xdr:col>11</xdr:col>
      <xdr:colOff>247566</xdr:colOff>
      <xdr:row>35</xdr:row>
      <xdr:rowOff>53556</xdr:rowOff>
    </xdr:to>
    <xdr:pic>
      <xdr:nvPicPr>
        <xdr:cNvPr id="53" name="図 52">
          <a:extLst>
            <a:ext uri="{FF2B5EF4-FFF2-40B4-BE49-F238E27FC236}">
              <a16:creationId xmlns:a16="http://schemas.microsoft.com/office/drawing/2014/main" id="{00000000-0008-0000-0500-000035000000}"/>
            </a:ext>
          </a:extLst>
        </xdr:cNvPr>
        <xdr:cNvPicPr preferRelativeResize="0">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35258" y="5902210"/>
          <a:ext cx="159695" cy="166039"/>
        </a:xfrm>
        <a:prstGeom prst="rect">
          <a:avLst/>
        </a:prstGeom>
      </xdr:spPr>
    </xdr:pic>
    <xdr:clientData/>
  </xdr:twoCellAnchor>
  <xdr:twoCellAnchor editAs="absolute">
    <xdr:from>
      <xdr:col>11</xdr:col>
      <xdr:colOff>93586</xdr:colOff>
      <xdr:row>35</xdr:row>
      <xdr:rowOff>54867</xdr:rowOff>
    </xdr:from>
    <xdr:to>
      <xdr:col>11</xdr:col>
      <xdr:colOff>247566</xdr:colOff>
      <xdr:row>36</xdr:row>
      <xdr:rowOff>58759</xdr:rowOff>
    </xdr:to>
    <xdr:pic>
      <xdr:nvPicPr>
        <xdr:cNvPr id="54" name="図 53">
          <a:extLst>
            <a:ext uri="{FF2B5EF4-FFF2-40B4-BE49-F238E27FC236}">
              <a16:creationId xmlns:a16="http://schemas.microsoft.com/office/drawing/2014/main" id="{00000000-0008-0000-0500-000036000000}"/>
            </a:ext>
          </a:extLst>
        </xdr:cNvPr>
        <xdr:cNvPicPr preferRelativeResize="0">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35258" y="6069560"/>
          <a:ext cx="159695" cy="158400"/>
        </a:xfrm>
        <a:prstGeom prst="rect">
          <a:avLst/>
        </a:prstGeom>
      </xdr:spPr>
    </xdr:pic>
    <xdr:clientData/>
  </xdr:twoCellAnchor>
  <xdr:twoCellAnchor editAs="absolute">
    <xdr:from>
      <xdr:col>11</xdr:col>
      <xdr:colOff>97396</xdr:colOff>
      <xdr:row>36</xdr:row>
      <xdr:rowOff>56261</xdr:rowOff>
    </xdr:from>
    <xdr:to>
      <xdr:col>11</xdr:col>
      <xdr:colOff>251376</xdr:colOff>
      <xdr:row>37</xdr:row>
      <xdr:rowOff>60173</xdr:rowOff>
    </xdr:to>
    <xdr:pic>
      <xdr:nvPicPr>
        <xdr:cNvPr id="55" name="図 54">
          <a:extLst>
            <a:ext uri="{FF2B5EF4-FFF2-40B4-BE49-F238E27FC236}">
              <a16:creationId xmlns:a16="http://schemas.microsoft.com/office/drawing/2014/main" id="{00000000-0008-0000-0500-000037000000}"/>
            </a:ext>
          </a:extLst>
        </xdr:cNvPr>
        <xdr:cNvPicPr preferRelativeResize="0">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331448" y="6233082"/>
          <a:ext cx="161600" cy="158419"/>
        </a:xfrm>
        <a:prstGeom prst="rect">
          <a:avLst/>
        </a:prstGeom>
      </xdr:spPr>
    </xdr:pic>
    <xdr:clientData/>
  </xdr:twoCellAnchor>
  <xdr:twoCellAnchor editAs="absolute">
    <xdr:from>
      <xdr:col>11</xdr:col>
      <xdr:colOff>97396</xdr:colOff>
      <xdr:row>38</xdr:row>
      <xdr:rowOff>59084</xdr:rowOff>
    </xdr:from>
    <xdr:to>
      <xdr:col>11</xdr:col>
      <xdr:colOff>249871</xdr:colOff>
      <xdr:row>39</xdr:row>
      <xdr:rowOff>58154</xdr:rowOff>
    </xdr:to>
    <xdr:pic>
      <xdr:nvPicPr>
        <xdr:cNvPr id="56" name="図 55">
          <a:extLst>
            <a:ext uri="{FF2B5EF4-FFF2-40B4-BE49-F238E27FC236}">
              <a16:creationId xmlns:a16="http://schemas.microsoft.com/office/drawing/2014/main" id="{00000000-0008-0000-0500-000038000000}"/>
            </a:ext>
          </a:extLst>
        </xdr:cNvPr>
        <xdr:cNvPicPr preferRelativeResize="0">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31448" y="6552540"/>
          <a:ext cx="163905" cy="161198"/>
        </a:xfrm>
        <a:prstGeom prst="rect">
          <a:avLst/>
        </a:prstGeom>
      </xdr:spPr>
    </xdr:pic>
    <xdr:clientData/>
  </xdr:twoCellAnchor>
  <xdr:twoCellAnchor editAs="oneCell">
    <xdr:from>
      <xdr:col>11</xdr:col>
      <xdr:colOff>710005</xdr:colOff>
      <xdr:row>4</xdr:row>
      <xdr:rowOff>22524</xdr:rowOff>
    </xdr:from>
    <xdr:to>
      <xdr:col>12</xdr:col>
      <xdr:colOff>786651</xdr:colOff>
      <xdr:row>5</xdr:row>
      <xdr:rowOff>41654</xdr:rowOff>
    </xdr:to>
    <xdr:sp macro="" textlink="">
      <xdr:nvSpPr>
        <xdr:cNvPr id="58" name="Text Box 178">
          <a:extLst>
            <a:ext uri="{FF2B5EF4-FFF2-40B4-BE49-F238E27FC236}">
              <a16:creationId xmlns:a16="http://schemas.microsoft.com/office/drawing/2014/main" id="{00000000-0008-0000-0500-00003A000000}"/>
            </a:ext>
          </a:extLst>
        </xdr:cNvPr>
        <xdr:cNvSpPr txBox="1">
          <a:spLocks noChangeArrowheads="1"/>
        </xdr:cNvSpPr>
      </xdr:nvSpPr>
      <xdr:spPr bwMode="auto">
        <a:xfrm>
          <a:off x="6958405" y="723564"/>
          <a:ext cx="891986" cy="194390"/>
        </a:xfrm>
        <a:prstGeom prst="rect">
          <a:avLst/>
        </a:prstGeom>
        <a:noFill/>
        <a:ln>
          <a:noFill/>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■評価ソフト：</a:t>
          </a:r>
        </a:p>
      </xdr:txBody>
    </xdr:sp>
    <xdr:clientData/>
  </xdr:twoCellAnchor>
  <xdr:twoCellAnchor editAs="oneCell">
    <xdr:from>
      <xdr:col>1</xdr:col>
      <xdr:colOff>36195</xdr:colOff>
      <xdr:row>0</xdr:row>
      <xdr:rowOff>93345</xdr:rowOff>
    </xdr:from>
    <xdr:to>
      <xdr:col>8</xdr:col>
      <xdr:colOff>570441</xdr:colOff>
      <xdr:row>4</xdr:row>
      <xdr:rowOff>74690</xdr:rowOff>
    </xdr:to>
    <xdr:pic>
      <xdr:nvPicPr>
        <xdr:cNvPr id="59" name="図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3345" y="97155"/>
          <a:ext cx="4466166" cy="68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624840</xdr:colOff>
      <xdr:row>0</xdr:row>
      <xdr:rowOff>154305</xdr:rowOff>
    </xdr:from>
    <xdr:to>
      <xdr:col>14</xdr:col>
      <xdr:colOff>739142</xdr:colOff>
      <xdr:row>3</xdr:row>
      <xdr:rowOff>19050</xdr:rowOff>
    </xdr:to>
    <xdr:pic>
      <xdr:nvPicPr>
        <xdr:cNvPr id="60" name="Picture 181" descr="評価結果">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6858000" y="154305"/>
          <a:ext cx="2335532" cy="37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55244</xdr:colOff>
      <xdr:row>43</xdr:row>
      <xdr:rowOff>182880</xdr:rowOff>
    </xdr:from>
    <xdr:to>
      <xdr:col>14</xdr:col>
      <xdr:colOff>742950</xdr:colOff>
      <xdr:row>52</xdr:row>
      <xdr:rowOff>160020</xdr:rowOff>
    </xdr:to>
    <xdr:graphicFrame macro="">
      <xdr:nvGraphicFramePr>
        <xdr:cNvPr id="63" name="グラフ 62">
          <a:extLst>
            <a:ext uri="{FF2B5EF4-FFF2-40B4-BE49-F238E27FC236}">
              <a16:creationId xmlns:a16="http://schemas.microsoft.com/office/drawing/2014/main" id="{00000000-0008-0000-05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64770</xdr:colOff>
      <xdr:row>55</xdr:row>
      <xdr:rowOff>188595</xdr:rowOff>
    </xdr:from>
    <xdr:to>
      <xdr:col>14</xdr:col>
      <xdr:colOff>742951</xdr:colOff>
      <xdr:row>63</xdr:row>
      <xdr:rowOff>45720</xdr:rowOff>
    </xdr:to>
    <xdr:graphicFrame macro="">
      <xdr:nvGraphicFramePr>
        <xdr:cNvPr id="65" name="グラフ 64">
          <a:extLst>
            <a:ext uri="{FF2B5EF4-FFF2-40B4-BE49-F238E27FC236}">
              <a16:creationId xmlns:a16="http://schemas.microsoft.com/office/drawing/2014/main" id="{00000000-0008-0000-05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7</xdr:col>
      <xdr:colOff>176112</xdr:colOff>
      <xdr:row>38</xdr:row>
      <xdr:rowOff>537</xdr:rowOff>
    </xdr:from>
    <xdr:ext cx="201530" cy="151836"/>
    <xdr:sp macro="" textlink="">
      <xdr:nvSpPr>
        <xdr:cNvPr id="67" name="Text Box 135">
          <a:extLst>
            <a:ext uri="{FF2B5EF4-FFF2-40B4-BE49-F238E27FC236}">
              <a16:creationId xmlns:a16="http://schemas.microsoft.com/office/drawing/2014/main" id="{00000000-0008-0000-0500-000043000000}"/>
            </a:ext>
          </a:extLst>
        </xdr:cNvPr>
        <xdr:cNvSpPr txBox="1">
          <a:spLocks noChangeArrowheads="1"/>
        </xdr:cNvSpPr>
      </xdr:nvSpPr>
      <xdr:spPr bwMode="auto">
        <a:xfrm>
          <a:off x="3391752" y="6506112"/>
          <a:ext cx="201530"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CO</a:t>
          </a:r>
          <a:r>
            <a:rPr lang="en-US" altLang="ja-JP" sz="400" b="0" i="0" strike="noStrike">
              <a:solidFill>
                <a:srgbClr val="000000"/>
              </a:solidFill>
              <a:latin typeface="ＭＳ Ｐゴシック"/>
              <a:ea typeface="ＭＳ Ｐゴシック"/>
            </a:rPr>
            <a:t>2</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165732</xdr:colOff>
      <xdr:row>38</xdr:row>
      <xdr:rowOff>537</xdr:rowOff>
    </xdr:from>
    <xdr:ext cx="194669" cy="151836"/>
    <xdr:sp macro="" textlink="">
      <xdr:nvSpPr>
        <xdr:cNvPr id="68" name="Text Box 135">
          <a:extLst>
            <a:ext uri="{FF2B5EF4-FFF2-40B4-BE49-F238E27FC236}">
              <a16:creationId xmlns:a16="http://schemas.microsoft.com/office/drawing/2014/main" id="{00000000-0008-0000-0500-000044000000}"/>
            </a:ext>
          </a:extLst>
        </xdr:cNvPr>
        <xdr:cNvSpPr txBox="1">
          <a:spLocks noChangeArrowheads="1"/>
        </xdr:cNvSpPr>
      </xdr:nvSpPr>
      <xdr:spPr bwMode="auto">
        <a:xfrm>
          <a:off x="4141467" y="6506112"/>
          <a:ext cx="19466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CH</a:t>
          </a:r>
          <a:r>
            <a:rPr lang="en-US" altLang="ja-JP" sz="400" b="0" i="0" strike="noStrike">
              <a:solidFill>
                <a:srgbClr val="000000"/>
              </a:solidFill>
              <a:latin typeface="ＭＳ Ｐゴシック"/>
              <a:ea typeface="ＭＳ Ｐゴシック"/>
            </a:rPr>
            <a:t>4</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157910</xdr:colOff>
      <xdr:row>38</xdr:row>
      <xdr:rowOff>537</xdr:rowOff>
    </xdr:from>
    <xdr:ext cx="192617" cy="151836"/>
    <xdr:sp macro="" textlink="">
      <xdr:nvSpPr>
        <xdr:cNvPr id="69" name="Text Box 135">
          <a:extLst>
            <a:ext uri="{FF2B5EF4-FFF2-40B4-BE49-F238E27FC236}">
              <a16:creationId xmlns:a16="http://schemas.microsoft.com/office/drawing/2014/main" id="{00000000-0008-0000-0500-000045000000}"/>
            </a:ext>
          </a:extLst>
        </xdr:cNvPr>
        <xdr:cNvSpPr txBox="1">
          <a:spLocks noChangeArrowheads="1"/>
        </xdr:cNvSpPr>
      </xdr:nvSpPr>
      <xdr:spPr bwMode="auto">
        <a:xfrm>
          <a:off x="4884215" y="6506112"/>
          <a:ext cx="192617"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800" b="0" i="0" strike="noStrike">
              <a:solidFill>
                <a:srgbClr val="000000"/>
              </a:solidFill>
              <a:latin typeface="ＭＳ Ｐゴシック"/>
              <a:ea typeface="ＭＳ Ｐゴシック"/>
            </a:rPr>
            <a:t>N</a:t>
          </a:r>
          <a:r>
            <a:rPr lang="en-US" altLang="ja-JP" sz="400" b="0" i="0" strike="noStrike">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O</a:t>
          </a:r>
        </a:p>
      </xdr:txBody>
    </xdr:sp>
    <xdr:clientData/>
  </xdr:oneCellAnchor>
  <xdr:oneCellAnchor>
    <xdr:from>
      <xdr:col>10</xdr:col>
      <xdr:colOff>150864</xdr:colOff>
      <xdr:row>38</xdr:row>
      <xdr:rowOff>537</xdr:rowOff>
    </xdr:from>
    <xdr:ext cx="631263" cy="151836"/>
    <xdr:sp macro="" textlink="">
      <xdr:nvSpPr>
        <xdr:cNvPr id="70" name="Text Box 135">
          <a:extLst>
            <a:ext uri="{FF2B5EF4-FFF2-40B4-BE49-F238E27FC236}">
              <a16:creationId xmlns:a16="http://schemas.microsoft.com/office/drawing/2014/main" id="{00000000-0008-0000-0500-000046000000}"/>
            </a:ext>
          </a:extLst>
        </xdr:cNvPr>
        <xdr:cNvSpPr txBox="1">
          <a:spLocks noChangeArrowheads="1"/>
        </xdr:cNvSpPr>
      </xdr:nvSpPr>
      <xdr:spPr bwMode="auto">
        <a:xfrm>
          <a:off x="5627739" y="6506112"/>
          <a:ext cx="631263"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その他のガス</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154280</xdr:colOff>
      <xdr:row>40</xdr:row>
      <xdr:rowOff>2050</xdr:rowOff>
    </xdr:from>
    <xdr:ext cx="645561" cy="151836"/>
    <xdr:sp macro="" textlink="">
      <xdr:nvSpPr>
        <xdr:cNvPr id="71" name="Text Box 135">
          <a:extLst>
            <a:ext uri="{FF2B5EF4-FFF2-40B4-BE49-F238E27FC236}">
              <a16:creationId xmlns:a16="http://schemas.microsoft.com/office/drawing/2014/main" id="{00000000-0008-0000-0500-000047000000}"/>
            </a:ext>
          </a:extLst>
        </xdr:cNvPr>
        <xdr:cNvSpPr txBox="1">
          <a:spLocks noChangeArrowheads="1"/>
        </xdr:cNvSpPr>
      </xdr:nvSpPr>
      <xdr:spPr bwMode="auto">
        <a:xfrm>
          <a:off x="3373730"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40</xdr:row>
      <xdr:rowOff>2050</xdr:rowOff>
    </xdr:from>
    <xdr:ext cx="645561" cy="151836"/>
    <xdr:sp macro="" textlink="">
      <xdr:nvSpPr>
        <xdr:cNvPr id="72" name="Text Box 135">
          <a:extLst>
            <a:ext uri="{FF2B5EF4-FFF2-40B4-BE49-F238E27FC236}">
              <a16:creationId xmlns:a16="http://schemas.microsoft.com/office/drawing/2014/main" id="{00000000-0008-0000-0500-000048000000}"/>
            </a:ext>
          </a:extLst>
        </xdr:cNvPr>
        <xdr:cNvSpPr txBox="1">
          <a:spLocks noChangeArrowheads="1"/>
        </xdr:cNvSpPr>
      </xdr:nvSpPr>
      <xdr:spPr bwMode="auto">
        <a:xfrm>
          <a:off x="4127519"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国内資本形成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10</xdr:col>
      <xdr:colOff>142653</xdr:colOff>
      <xdr:row>40</xdr:row>
      <xdr:rowOff>2050</xdr:rowOff>
    </xdr:from>
    <xdr:ext cx="645561" cy="151836"/>
    <xdr:sp macro="" textlink="">
      <xdr:nvSpPr>
        <xdr:cNvPr id="73" name="Text Box 135">
          <a:extLst>
            <a:ext uri="{FF2B5EF4-FFF2-40B4-BE49-F238E27FC236}">
              <a16:creationId xmlns:a16="http://schemas.microsoft.com/office/drawing/2014/main" id="{00000000-0008-0000-0500-000049000000}"/>
            </a:ext>
          </a:extLst>
        </xdr:cNvPr>
        <xdr:cNvSpPr txBox="1">
          <a:spLocks noChangeArrowheads="1"/>
        </xdr:cNvSpPr>
      </xdr:nvSpPr>
      <xdr:spPr bwMode="auto">
        <a:xfrm>
          <a:off x="5617623"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海外資本形成</a:t>
          </a:r>
          <a:endParaRPr lang="en-US" altLang="ja-JP" sz="800" b="0" i="0" strike="noStrike">
            <a:solidFill>
              <a:srgbClr val="000000"/>
            </a:solidFill>
            <a:latin typeface="ＭＳ Ｐゴシック"/>
            <a:ea typeface="ＭＳ Ｐゴシック"/>
          </a:endParaRPr>
        </a:p>
      </xdr:txBody>
    </xdr:sp>
    <xdr:clientData/>
  </xdr:oneCellAnchor>
  <xdr:oneCellAnchor>
    <xdr:from>
      <xdr:col>9</xdr:col>
      <xdr:colOff>149025</xdr:colOff>
      <xdr:row>40</xdr:row>
      <xdr:rowOff>2050</xdr:rowOff>
    </xdr:from>
    <xdr:ext cx="645561" cy="151836"/>
    <xdr:sp macro="" textlink="">
      <xdr:nvSpPr>
        <xdr:cNvPr id="74" name="Text Box 135">
          <a:extLst>
            <a:ext uri="{FF2B5EF4-FFF2-40B4-BE49-F238E27FC236}">
              <a16:creationId xmlns:a16="http://schemas.microsoft.com/office/drawing/2014/main" id="{00000000-0008-0000-0500-00004A000000}"/>
            </a:ext>
          </a:extLst>
        </xdr:cNvPr>
        <xdr:cNvSpPr txBox="1">
          <a:spLocks noChangeArrowheads="1"/>
        </xdr:cNvSpPr>
      </xdr:nvSpPr>
      <xdr:spPr bwMode="auto">
        <a:xfrm>
          <a:off x="4873425" y="6831475"/>
          <a:ext cx="645561"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海外消費支出</a:t>
          </a:r>
          <a:endParaRPr lang="en-US" altLang="ja-JP" sz="800" b="0" i="0" strike="noStrike">
            <a:solidFill>
              <a:srgbClr val="000000"/>
            </a:solidFill>
            <a:latin typeface="ＭＳ Ｐゴシック"/>
            <a:ea typeface="ＭＳ Ｐゴシック"/>
          </a:endParaRPr>
        </a:p>
      </xdr:txBody>
    </xdr:sp>
    <xdr:clientData/>
  </xdr:oneCellAnchor>
  <xdr:oneCellAnchor>
    <xdr:from>
      <xdr:col>7</xdr:col>
      <xdr:colOff>151587</xdr:colOff>
      <xdr:row>39</xdr:row>
      <xdr:rowOff>3561</xdr:rowOff>
    </xdr:from>
    <xdr:ext cx="439608" cy="151836"/>
    <xdr:sp macro="" textlink="">
      <xdr:nvSpPr>
        <xdr:cNvPr id="75" name="Text Box 135">
          <a:extLst>
            <a:ext uri="{FF2B5EF4-FFF2-40B4-BE49-F238E27FC236}">
              <a16:creationId xmlns:a16="http://schemas.microsoft.com/office/drawing/2014/main" id="{00000000-0008-0000-0500-00004B000000}"/>
            </a:ext>
          </a:extLst>
        </xdr:cNvPr>
        <xdr:cNvSpPr txBox="1">
          <a:spLocks noChangeArrowheads="1"/>
        </xdr:cNvSpPr>
      </xdr:nvSpPr>
      <xdr:spPr bwMode="auto">
        <a:xfrm>
          <a:off x="3371037" y="6671061"/>
          <a:ext cx="439608"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8</xdr:col>
      <xdr:colOff>155594</xdr:colOff>
      <xdr:row>39</xdr:row>
      <xdr:rowOff>3561</xdr:rowOff>
    </xdr:from>
    <xdr:ext cx="538609" cy="151836"/>
    <xdr:sp macro="" textlink="">
      <xdr:nvSpPr>
        <xdr:cNvPr id="76" name="Text Box 135">
          <a:extLst>
            <a:ext uri="{FF2B5EF4-FFF2-40B4-BE49-F238E27FC236}">
              <a16:creationId xmlns:a16="http://schemas.microsoft.com/office/drawing/2014/main" id="{00000000-0008-0000-0500-00004C000000}"/>
            </a:ext>
          </a:extLst>
        </xdr:cNvPr>
        <xdr:cNvSpPr txBox="1">
          <a:spLocks noChangeArrowheads="1"/>
        </xdr:cNvSpPr>
      </xdr:nvSpPr>
      <xdr:spPr bwMode="auto">
        <a:xfrm>
          <a:off x="4127519" y="6671061"/>
          <a:ext cx="538609" cy="151836"/>
        </a:xfrm>
        <a:prstGeom prst="rect">
          <a:avLst/>
        </a:prstGeom>
        <a:noFill/>
        <a:ln w="9525">
          <a:noFill/>
          <a:miter lim="800000"/>
          <a:headEnd/>
          <a:tailEnd/>
        </a:ln>
      </xdr:spPr>
      <xdr:txBody>
        <a:bodyPr wrap="none" lIns="27432"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非建築敷地</a:t>
          </a:r>
          <a:endParaRPr lang="en-US" altLang="ja-JP" sz="800" b="0" i="0" strike="noStrike">
            <a:solidFill>
              <a:srgbClr val="000000"/>
            </a:solidFill>
            <a:latin typeface="ＭＳ Ｐゴシック"/>
            <a:ea typeface="ＭＳ Ｐゴシック"/>
          </a:endParaRPr>
        </a:p>
      </xdr:txBody>
    </xdr:sp>
    <xdr:clientData/>
  </xdr:oneCellAnchor>
  <xdr:oneCellAnchor>
    <xdr:from>
      <xdr:col>13</xdr:col>
      <xdr:colOff>83820</xdr:colOff>
      <xdr:row>43</xdr:row>
      <xdr:rowOff>0</xdr:rowOff>
    </xdr:from>
    <xdr:ext cx="713785" cy="228600"/>
    <xdr:sp macro="" textlink="">
      <xdr:nvSpPr>
        <xdr:cNvPr id="77" name="Text Box 135">
          <a:extLst>
            <a:ext uri="{FF2B5EF4-FFF2-40B4-BE49-F238E27FC236}">
              <a16:creationId xmlns:a16="http://schemas.microsoft.com/office/drawing/2014/main" id="{00000000-0008-0000-0500-00004D000000}"/>
            </a:ext>
          </a:extLst>
        </xdr:cNvPr>
        <xdr:cNvSpPr txBox="1">
          <a:spLocks noChangeArrowheads="1"/>
        </xdr:cNvSpPr>
      </xdr:nvSpPr>
      <xdr:spPr bwMode="auto">
        <a:xfrm>
          <a:off x="7955280" y="7551420"/>
          <a:ext cx="713785" cy="228600"/>
        </a:xfrm>
        <a:prstGeom prst="rect">
          <a:avLst/>
        </a:prstGeom>
        <a:noFill/>
        <a:ln w="9525">
          <a:noFill/>
          <a:miter lim="800000"/>
          <a:headEnd/>
          <a:tailEnd/>
        </a:ln>
      </xdr:spPr>
      <xdr:txBody>
        <a:bodyPr wrap="none" lIns="27432" tIns="18288" rIns="0" bIns="0" anchor="t" upright="1">
          <a:noAutofit/>
        </a:bodyPr>
        <a:lstStyle/>
        <a:p>
          <a:pPr algn="l" rtl="0">
            <a:defRPr sz="1000"/>
          </a:pPr>
          <a:r>
            <a:rPr lang="en-US" altLang="ja-JP" sz="1100" b="1" i="0" strike="noStrike">
              <a:solidFill>
                <a:srgbClr val="000000"/>
              </a:solidFill>
              <a:latin typeface="ＭＳ Ｐゴシック"/>
              <a:ea typeface="ＭＳ Ｐゴシック"/>
            </a:rPr>
            <a:t>M</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13</xdr:col>
      <xdr:colOff>127635</xdr:colOff>
      <xdr:row>53</xdr:row>
      <xdr:rowOff>180975</xdr:rowOff>
    </xdr:from>
    <xdr:ext cx="693973" cy="201850"/>
    <xdr:sp macro="" textlink="">
      <xdr:nvSpPr>
        <xdr:cNvPr id="78" name="Text Box 135">
          <a:extLst>
            <a:ext uri="{FF2B5EF4-FFF2-40B4-BE49-F238E27FC236}">
              <a16:creationId xmlns:a16="http://schemas.microsoft.com/office/drawing/2014/main" id="{00000000-0008-0000-0500-00004E000000}"/>
            </a:ext>
          </a:extLst>
        </xdr:cNvPr>
        <xdr:cNvSpPr txBox="1">
          <a:spLocks noChangeArrowheads="1"/>
        </xdr:cNvSpPr>
      </xdr:nvSpPr>
      <xdr:spPr bwMode="auto">
        <a:xfrm>
          <a:off x="7999095" y="9637395"/>
          <a:ext cx="693973"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S</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absolute">
    <xdr:from>
      <xdr:col>14</xdr:col>
      <xdr:colOff>396589</xdr:colOff>
      <xdr:row>37</xdr:row>
      <xdr:rowOff>55780</xdr:rowOff>
    </xdr:from>
    <xdr:to>
      <xdr:col>14</xdr:col>
      <xdr:colOff>754361</xdr:colOff>
      <xdr:row>38</xdr:row>
      <xdr:rowOff>112958</xdr:rowOff>
    </xdr:to>
    <xdr:sp macro="" textlink="$AG$41">
      <xdr:nvSpPr>
        <xdr:cNvPr id="64" name="テキスト ボックス 63">
          <a:extLst>
            <a:ext uri="{FF2B5EF4-FFF2-40B4-BE49-F238E27FC236}">
              <a16:creationId xmlns:a16="http://schemas.microsoft.com/office/drawing/2014/main" id="{00000000-0008-0000-0500-000040000000}"/>
            </a:ext>
          </a:extLst>
        </xdr:cNvPr>
        <xdr:cNvSpPr txBox="1"/>
      </xdr:nvSpPr>
      <xdr:spPr>
        <a:xfrm>
          <a:off x="8849634" y="6334884"/>
          <a:ext cx="35586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474977C-D971-4582-9AC7-2F3FA24DA8CB}" type="TxLink">
            <a:rPr kumimoji="1" lang="en-US" altLang="en-US" sz="800" b="0" i="0" u="none" strike="noStrike">
              <a:solidFill>
                <a:srgbClr val="000000"/>
              </a:solidFill>
              <a:latin typeface="Arial"/>
              <a:ea typeface="ＭＳ Ｐゴシック"/>
              <a:cs typeface="Arial"/>
            </a:rPr>
            <a:pPr/>
            <a:t>0.0 </a:t>
          </a:fld>
          <a:endParaRPr kumimoji="1" lang="ja-JP" altLang="en-US" sz="100" b="1">
            <a:latin typeface="Arial" panose="020B0604020202020204" pitchFamily="34" charset="0"/>
            <a:cs typeface="Arial" panose="020B0604020202020204" pitchFamily="34" charset="0"/>
          </a:endParaRPr>
        </a:p>
      </xdr:txBody>
    </xdr:sp>
    <xdr:clientData/>
  </xdr:twoCellAnchor>
  <xdr:twoCellAnchor editAs="absolute">
    <xdr:from>
      <xdr:col>11</xdr:col>
      <xdr:colOff>170610</xdr:colOff>
      <xdr:row>37</xdr:row>
      <xdr:rowOff>95760</xdr:rowOff>
    </xdr:from>
    <xdr:to>
      <xdr:col>12</xdr:col>
      <xdr:colOff>97511</xdr:colOff>
      <xdr:row>38</xdr:row>
      <xdr:rowOff>56479</xdr:rowOff>
    </xdr:to>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6405775" y="6407827"/>
          <a:ext cx="736426" cy="1401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800" b="0">
              <a:latin typeface="Arial" panose="020B0604020202020204" pitchFamily="34" charset="0"/>
              <a:cs typeface="Arial" panose="020B0604020202020204" pitchFamily="34" charset="0"/>
            </a:rPr>
            <a:t>16</a:t>
          </a:r>
          <a:r>
            <a:rPr kumimoji="1" lang="ja-JP" altLang="en-US" sz="800" b="0">
              <a:latin typeface="Arial" panose="020B0604020202020204" pitchFamily="34" charset="0"/>
              <a:cs typeface="Arial" panose="020B0604020202020204" pitchFamily="34" charset="0"/>
            </a:rPr>
            <a:t>（平和公正）</a:t>
          </a:r>
        </a:p>
      </xdr:txBody>
    </xdr:sp>
    <xdr:clientData/>
  </xdr:twoCellAnchor>
  <xdr:oneCellAnchor>
    <xdr:from>
      <xdr:col>11</xdr:col>
      <xdr:colOff>97396</xdr:colOff>
      <xdr:row>37</xdr:row>
      <xdr:rowOff>64863</xdr:rowOff>
    </xdr:from>
    <xdr:ext cx="162000" cy="151660"/>
    <xdr:pic>
      <xdr:nvPicPr>
        <xdr:cNvPr id="81" name="ゴール16">
          <a:extLst>
            <a:ext uri="{FF2B5EF4-FFF2-40B4-BE49-F238E27FC236}">
              <a16:creationId xmlns:a16="http://schemas.microsoft.com/office/drawing/2014/main" id="{00000000-0008-0000-0500-000051000000}"/>
            </a:ext>
          </a:extLst>
        </xdr:cNvPr>
        <xdr:cNvPicPr preferRelativeResize="0">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6335258" y="6400001"/>
          <a:ext cx="162000" cy="151660"/>
        </a:xfrm>
        <a:prstGeom prst="rect">
          <a:avLst/>
        </a:prstGeom>
      </xdr:spPr>
    </xdr:pic>
    <xdr:clientData fLocksWithSheet="0"/>
  </xdr:oneCellAnchor>
  <xdr:twoCellAnchor>
    <xdr:from>
      <xdr:col>9</xdr:col>
      <xdr:colOff>0</xdr:colOff>
      <xdr:row>2</xdr:row>
      <xdr:rowOff>0</xdr:rowOff>
    </xdr:from>
    <xdr:to>
      <xdr:col>12</xdr:col>
      <xdr:colOff>246081</xdr:colOff>
      <xdr:row>3</xdr:row>
      <xdr:rowOff>167235</xdr:rowOff>
    </xdr:to>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751294" y="358588"/>
          <a:ext cx="2567940" cy="346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en-US" altLang="ja-JP" sz="2000" b="1">
              <a:latin typeface="Arial" panose="020B0604020202020204" pitchFamily="34" charset="0"/>
              <a:cs typeface="Arial" panose="020B0604020202020204" pitchFamily="34" charset="0"/>
            </a:rPr>
            <a:t>SDGs</a:t>
          </a:r>
          <a:r>
            <a:rPr kumimoji="1" lang="ja-JP" altLang="en-US" sz="2000" b="1">
              <a:latin typeface="Arial" panose="020B0604020202020204" pitchFamily="34" charset="0"/>
              <a:cs typeface="Arial" panose="020B0604020202020204" pitchFamily="34" charset="0"/>
            </a:rPr>
            <a:t>対応試行版</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6.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2-3SDGs)'!$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2-3SDGs)'!$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2-3SDGs)'!$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2-3SDGs)'!$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27.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2-3SDGs)'!$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2-3SDGs)'!$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2-3SDGs)'!$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2-3SDGs)'!$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2-3SDGs)'!$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2-3SDGs)'!$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ea typeface="ＭＳ Ｐゴシック"/>
              <a:cs typeface="Arial"/>
            </a:rPr>
            <a:pPr algn="ctr"/>
            <a:t> </a:t>
          </a:fld>
          <a:endParaRPr lang="ja-JP" altLang="en-US" sz="800"/>
        </a:p>
      </cdr:txBody>
    </cdr:sp>
  </cdr:relSizeAnchor>
</c:userShapes>
</file>

<file path=xl/drawings/drawing28.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2-3SDGs)'!$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2-3SDGs)'!$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2-3SDGs)'!$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2-3SDGs)'!$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ea typeface="ＭＳ Ｐゴシック"/>
              <a:cs typeface="Arial"/>
            </a:rPr>
            <a:pPr algn="ctr"/>
            <a:t> </a:t>
          </a:fld>
          <a:endParaRPr lang="ja-JP" altLang="en-US" sz="900"/>
        </a:p>
      </cdr:txBody>
    </cdr:sp>
  </cdr:relSizeAnchor>
</c:userShapes>
</file>

<file path=xl/drawings/drawing29.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2-3SDGs)'!$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2-3SDGs)'!$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2-3SDGs)'!$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2-3SDGs)'!$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 (2)'!$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ea typeface="ＭＳ Ｐゴシック"/>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 (2)'!$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 (2)'!$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 (2)'!$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ea typeface="ＭＳ Ｐゴシック"/>
              <a:cs typeface="Arial"/>
            </a:rPr>
            <a:pPr algn="r"/>
            <a:t>#REF!</a:t>
          </a:fld>
          <a:endParaRPr lang="ja-JP" altLang="en-US" sz="800" b="1">
            <a:solidFill>
              <a:sysClr val="windowText" lastClr="000000"/>
            </a:solidFill>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2-3SDGs)'!$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2-3SDGs)'!$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2-3SDGs)'!$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2-3SDGs)'!$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2-3SDGs)'!$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2-3SDGs)'!$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32.xml><?xml version="1.0" encoding="utf-8"?>
<xdr:wsDr xmlns:xdr="http://schemas.openxmlformats.org/drawingml/2006/spreadsheetDrawing" xmlns:a="http://schemas.openxmlformats.org/drawingml/2006/main">
  <xdr:twoCellAnchor editAs="oneCell">
    <xdr:from>
      <xdr:col>1</xdr:col>
      <xdr:colOff>59169</xdr:colOff>
      <xdr:row>7</xdr:row>
      <xdr:rowOff>392206</xdr:rowOff>
    </xdr:from>
    <xdr:to>
      <xdr:col>1</xdr:col>
      <xdr:colOff>779169</xdr:colOff>
      <xdr:row>7</xdr:row>
      <xdr:rowOff>1121731</xdr:rowOff>
    </xdr:to>
    <xdr:pic>
      <xdr:nvPicPr>
        <xdr:cNvPr id="2" name="ゴール1">
          <a:extLst>
            <a:ext uri="{FF2B5EF4-FFF2-40B4-BE49-F238E27FC236}">
              <a16:creationId xmlns:a16="http://schemas.microsoft.com/office/drawing/2014/main" id="{00000000-0008-0000-0E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34" y="2232436"/>
          <a:ext cx="735240" cy="731430"/>
        </a:xfrm>
        <a:prstGeom prst="rect">
          <a:avLst/>
        </a:prstGeom>
      </xdr:spPr>
    </xdr:pic>
    <xdr:clientData/>
  </xdr:twoCellAnchor>
  <xdr:oneCellAnchor>
    <xdr:from>
      <xdr:col>1</xdr:col>
      <xdr:colOff>66789</xdr:colOff>
      <xdr:row>8</xdr:row>
      <xdr:rowOff>379981</xdr:rowOff>
    </xdr:from>
    <xdr:ext cx="723900" cy="707561"/>
    <xdr:pic>
      <xdr:nvPicPr>
        <xdr:cNvPr id="3" name="ゴール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659" y="3370831"/>
          <a:ext cx="723900" cy="707561"/>
        </a:xfrm>
        <a:prstGeom prst="rect">
          <a:avLst/>
        </a:prstGeom>
      </xdr:spPr>
    </xdr:pic>
    <xdr:clientData/>
  </xdr:oneCellAnchor>
  <xdr:twoCellAnchor editAs="oneCell">
    <xdr:from>
      <xdr:col>1</xdr:col>
      <xdr:colOff>59169</xdr:colOff>
      <xdr:row>9</xdr:row>
      <xdr:rowOff>608395</xdr:rowOff>
    </xdr:from>
    <xdr:to>
      <xdr:col>1</xdr:col>
      <xdr:colOff>779169</xdr:colOff>
      <xdr:row>10</xdr:row>
      <xdr:rowOff>511710</xdr:rowOff>
    </xdr:to>
    <xdr:pic>
      <xdr:nvPicPr>
        <xdr:cNvPr id="4" name="ゴール3">
          <a:extLst>
            <a:ext uri="{FF2B5EF4-FFF2-40B4-BE49-F238E27FC236}">
              <a16:creationId xmlns:a16="http://schemas.microsoft.com/office/drawing/2014/main" id="{00000000-0008-0000-0E00-000004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134" y="4751770"/>
          <a:ext cx="735240" cy="726275"/>
        </a:xfrm>
        <a:prstGeom prst="rect">
          <a:avLst/>
        </a:prstGeom>
      </xdr:spPr>
    </xdr:pic>
    <xdr:clientData/>
  </xdr:twoCellAnchor>
  <xdr:twoCellAnchor editAs="oneCell">
    <xdr:from>
      <xdr:col>1</xdr:col>
      <xdr:colOff>59169</xdr:colOff>
      <xdr:row>25</xdr:row>
      <xdr:rowOff>583604</xdr:rowOff>
    </xdr:from>
    <xdr:to>
      <xdr:col>1</xdr:col>
      <xdr:colOff>779169</xdr:colOff>
      <xdr:row>26</xdr:row>
      <xdr:rowOff>479299</xdr:rowOff>
    </xdr:to>
    <xdr:pic>
      <xdr:nvPicPr>
        <xdr:cNvPr id="5" name="ゴール4">
          <a:extLst>
            <a:ext uri="{FF2B5EF4-FFF2-40B4-BE49-F238E27FC236}">
              <a16:creationId xmlns:a16="http://schemas.microsoft.com/office/drawing/2014/main" id="{00000000-0008-0000-0E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134" y="14312939"/>
          <a:ext cx="735240" cy="726275"/>
        </a:xfrm>
        <a:prstGeom prst="rect">
          <a:avLst/>
        </a:prstGeom>
      </xdr:spPr>
    </xdr:pic>
    <xdr:clientData/>
  </xdr:twoCellAnchor>
  <xdr:twoCellAnchor editAs="oneCell">
    <xdr:from>
      <xdr:col>1</xdr:col>
      <xdr:colOff>59167</xdr:colOff>
      <xdr:row>32</xdr:row>
      <xdr:rowOff>273872</xdr:rowOff>
    </xdr:from>
    <xdr:to>
      <xdr:col>1</xdr:col>
      <xdr:colOff>779167</xdr:colOff>
      <xdr:row>34</xdr:row>
      <xdr:rowOff>149957</xdr:rowOff>
    </xdr:to>
    <xdr:pic>
      <xdr:nvPicPr>
        <xdr:cNvPr id="6" name="ゴール5">
          <a:extLst>
            <a:ext uri="{FF2B5EF4-FFF2-40B4-BE49-F238E27FC236}">
              <a16:creationId xmlns:a16="http://schemas.microsoft.com/office/drawing/2014/main" id="{00000000-0008-0000-0E00-000006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0132" y="19040027"/>
          <a:ext cx="735240" cy="708570"/>
        </a:xfrm>
        <a:prstGeom prst="rect">
          <a:avLst/>
        </a:prstGeom>
      </xdr:spPr>
    </xdr:pic>
    <xdr:clientData/>
  </xdr:twoCellAnchor>
  <xdr:twoCellAnchor editAs="oneCell">
    <xdr:from>
      <xdr:col>1</xdr:col>
      <xdr:colOff>51547</xdr:colOff>
      <xdr:row>38</xdr:row>
      <xdr:rowOff>60660</xdr:rowOff>
    </xdr:from>
    <xdr:to>
      <xdr:col>1</xdr:col>
      <xdr:colOff>777262</xdr:colOff>
      <xdr:row>41</xdr:row>
      <xdr:rowOff>22430</xdr:rowOff>
    </xdr:to>
    <xdr:pic>
      <xdr:nvPicPr>
        <xdr:cNvPr id="7" name="ゴール6">
          <a:extLst>
            <a:ext uri="{FF2B5EF4-FFF2-40B4-BE49-F238E27FC236}">
              <a16:creationId xmlns:a16="http://schemas.microsoft.com/office/drawing/2014/main" id="{00000000-0008-0000-0E00-000007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307" y="18531540"/>
          <a:ext cx="725715" cy="713610"/>
        </a:xfrm>
        <a:prstGeom prst="rect">
          <a:avLst/>
        </a:prstGeom>
      </xdr:spPr>
    </xdr:pic>
    <xdr:clientData/>
  </xdr:twoCellAnchor>
  <xdr:twoCellAnchor editAs="oneCell">
    <xdr:from>
      <xdr:col>1</xdr:col>
      <xdr:colOff>59167</xdr:colOff>
      <xdr:row>53</xdr:row>
      <xdr:rowOff>449580</xdr:rowOff>
    </xdr:from>
    <xdr:to>
      <xdr:col>1</xdr:col>
      <xdr:colOff>779167</xdr:colOff>
      <xdr:row>55</xdr:row>
      <xdr:rowOff>97065</xdr:rowOff>
    </xdr:to>
    <xdr:pic>
      <xdr:nvPicPr>
        <xdr:cNvPr id="8" name="ゴール7">
          <a:extLst>
            <a:ext uri="{FF2B5EF4-FFF2-40B4-BE49-F238E27FC236}">
              <a16:creationId xmlns:a16="http://schemas.microsoft.com/office/drawing/2014/main" id="{00000000-0008-0000-0E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0132" y="31051500"/>
          <a:ext cx="735240" cy="727620"/>
        </a:xfrm>
        <a:prstGeom prst="rect">
          <a:avLst/>
        </a:prstGeom>
      </xdr:spPr>
    </xdr:pic>
    <xdr:clientData/>
  </xdr:twoCellAnchor>
  <xdr:twoCellAnchor editAs="oneCell">
    <xdr:from>
      <xdr:col>1</xdr:col>
      <xdr:colOff>59167</xdr:colOff>
      <xdr:row>59</xdr:row>
      <xdr:rowOff>525780</xdr:rowOff>
    </xdr:from>
    <xdr:to>
      <xdr:col>1</xdr:col>
      <xdr:colOff>779167</xdr:colOff>
      <xdr:row>61</xdr:row>
      <xdr:rowOff>56985</xdr:rowOff>
    </xdr:to>
    <xdr:pic>
      <xdr:nvPicPr>
        <xdr:cNvPr id="9" name="ゴール8">
          <a:extLst>
            <a:ext uri="{FF2B5EF4-FFF2-40B4-BE49-F238E27FC236}">
              <a16:creationId xmlns:a16="http://schemas.microsoft.com/office/drawing/2014/main" id="{00000000-0008-0000-0E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0132" y="35766375"/>
          <a:ext cx="735240" cy="726275"/>
        </a:xfrm>
        <a:prstGeom prst="rect">
          <a:avLst/>
        </a:prstGeom>
      </xdr:spPr>
    </xdr:pic>
    <xdr:clientData/>
  </xdr:twoCellAnchor>
  <xdr:twoCellAnchor editAs="oneCell">
    <xdr:from>
      <xdr:col>1</xdr:col>
      <xdr:colOff>59167</xdr:colOff>
      <xdr:row>69</xdr:row>
      <xdr:rowOff>73659</xdr:rowOff>
    </xdr:from>
    <xdr:to>
      <xdr:col>1</xdr:col>
      <xdr:colOff>779167</xdr:colOff>
      <xdr:row>71</xdr:row>
      <xdr:rowOff>234971</xdr:rowOff>
    </xdr:to>
    <xdr:pic>
      <xdr:nvPicPr>
        <xdr:cNvPr id="10" name="ゴール9">
          <a:extLst>
            <a:ext uri="{FF2B5EF4-FFF2-40B4-BE49-F238E27FC236}">
              <a16:creationId xmlns:a16="http://schemas.microsoft.com/office/drawing/2014/main" id="{00000000-0008-0000-0E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0927" y="34262059"/>
          <a:ext cx="720000" cy="781072"/>
        </a:xfrm>
        <a:prstGeom prst="rect">
          <a:avLst/>
        </a:prstGeom>
      </xdr:spPr>
    </xdr:pic>
    <xdr:clientData/>
  </xdr:twoCellAnchor>
  <xdr:oneCellAnchor>
    <xdr:from>
      <xdr:col>1</xdr:col>
      <xdr:colOff>74407</xdr:colOff>
      <xdr:row>76</xdr:row>
      <xdr:rowOff>520848</xdr:rowOff>
    </xdr:from>
    <xdr:ext cx="720000" cy="720000"/>
    <xdr:pic>
      <xdr:nvPicPr>
        <xdr:cNvPr id="11" name="ゴール10">
          <a:extLst>
            <a:ext uri="{FF2B5EF4-FFF2-40B4-BE49-F238E27FC236}">
              <a16:creationId xmlns:a16="http://schemas.microsoft.com/office/drawing/2014/main" id="{00000000-0008-0000-0E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9182" y="44894013"/>
          <a:ext cx="720000" cy="720000"/>
        </a:xfrm>
        <a:prstGeom prst="rect">
          <a:avLst/>
        </a:prstGeom>
      </xdr:spPr>
    </xdr:pic>
    <xdr:clientData/>
  </xdr:oneCellAnchor>
  <xdr:twoCellAnchor editAs="oneCell">
    <xdr:from>
      <xdr:col>1</xdr:col>
      <xdr:colOff>51547</xdr:colOff>
      <xdr:row>78</xdr:row>
      <xdr:rowOff>289560</xdr:rowOff>
    </xdr:from>
    <xdr:to>
      <xdr:col>1</xdr:col>
      <xdr:colOff>777262</xdr:colOff>
      <xdr:row>81</xdr:row>
      <xdr:rowOff>245020</xdr:rowOff>
    </xdr:to>
    <xdr:pic>
      <xdr:nvPicPr>
        <xdr:cNvPr id="12" name="ゴール11">
          <a:extLst>
            <a:ext uri="{FF2B5EF4-FFF2-40B4-BE49-F238E27FC236}">
              <a16:creationId xmlns:a16="http://schemas.microsoft.com/office/drawing/2014/main" id="{00000000-0008-0000-0E00-00000C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0132" y="46205775"/>
          <a:ext cx="725715" cy="708570"/>
        </a:xfrm>
        <a:prstGeom prst="rect">
          <a:avLst/>
        </a:prstGeom>
      </xdr:spPr>
    </xdr:pic>
    <xdr:clientData/>
  </xdr:twoCellAnchor>
  <xdr:twoCellAnchor editAs="oneCell">
    <xdr:from>
      <xdr:col>1</xdr:col>
      <xdr:colOff>59167</xdr:colOff>
      <xdr:row>120</xdr:row>
      <xdr:rowOff>584947</xdr:rowOff>
    </xdr:from>
    <xdr:to>
      <xdr:col>1</xdr:col>
      <xdr:colOff>779167</xdr:colOff>
      <xdr:row>122</xdr:row>
      <xdr:rowOff>193062</xdr:rowOff>
    </xdr:to>
    <xdr:pic>
      <xdr:nvPicPr>
        <xdr:cNvPr id="13" name="ゴール12">
          <a:extLst>
            <a:ext uri="{FF2B5EF4-FFF2-40B4-BE49-F238E27FC236}">
              <a16:creationId xmlns:a16="http://schemas.microsoft.com/office/drawing/2014/main" id="{00000000-0008-0000-0E00-00000D00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60132" y="62567932"/>
          <a:ext cx="727620" cy="718095"/>
        </a:xfrm>
        <a:prstGeom prst="rect">
          <a:avLst/>
        </a:prstGeom>
      </xdr:spPr>
    </xdr:pic>
    <xdr:clientData/>
  </xdr:twoCellAnchor>
  <xdr:twoCellAnchor editAs="oneCell">
    <xdr:from>
      <xdr:col>1</xdr:col>
      <xdr:colOff>59167</xdr:colOff>
      <xdr:row>134</xdr:row>
      <xdr:rowOff>19456</xdr:rowOff>
    </xdr:from>
    <xdr:to>
      <xdr:col>1</xdr:col>
      <xdr:colOff>801392</xdr:colOff>
      <xdr:row>136</xdr:row>
      <xdr:rowOff>247162</xdr:rowOff>
    </xdr:to>
    <xdr:pic>
      <xdr:nvPicPr>
        <xdr:cNvPr id="14" name="ゴール13">
          <a:extLst>
            <a:ext uri="{FF2B5EF4-FFF2-40B4-BE49-F238E27FC236}">
              <a16:creationId xmlns:a16="http://schemas.microsoft.com/office/drawing/2014/main" id="{00000000-0008-0000-0E00-00000E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0132" y="72872371"/>
          <a:ext cx="742225" cy="724911"/>
        </a:xfrm>
        <a:prstGeom prst="rect">
          <a:avLst/>
        </a:prstGeom>
      </xdr:spPr>
    </xdr:pic>
    <xdr:clientData/>
  </xdr:twoCellAnchor>
  <xdr:oneCellAnchor>
    <xdr:from>
      <xdr:col>1</xdr:col>
      <xdr:colOff>74407</xdr:colOff>
      <xdr:row>138</xdr:row>
      <xdr:rowOff>410433</xdr:rowOff>
    </xdr:from>
    <xdr:ext cx="720000" cy="720000"/>
    <xdr:pic>
      <xdr:nvPicPr>
        <xdr:cNvPr id="15" name="ゴール14">
          <a:extLst>
            <a:ext uri="{FF2B5EF4-FFF2-40B4-BE49-F238E27FC236}">
              <a16:creationId xmlns:a16="http://schemas.microsoft.com/office/drawing/2014/main" id="{00000000-0008-0000-0E00-00000F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9182" y="74436828"/>
          <a:ext cx="720000" cy="720000"/>
        </a:xfrm>
        <a:prstGeom prst="rect">
          <a:avLst/>
        </a:prstGeom>
      </xdr:spPr>
    </xdr:pic>
    <xdr:clientData/>
  </xdr:oneCellAnchor>
  <xdr:twoCellAnchor editAs="oneCell">
    <xdr:from>
      <xdr:col>1</xdr:col>
      <xdr:colOff>51547</xdr:colOff>
      <xdr:row>140</xdr:row>
      <xdr:rowOff>60212</xdr:rowOff>
    </xdr:from>
    <xdr:to>
      <xdr:col>1</xdr:col>
      <xdr:colOff>777262</xdr:colOff>
      <xdr:row>143</xdr:row>
      <xdr:rowOff>15635</xdr:rowOff>
    </xdr:to>
    <xdr:pic>
      <xdr:nvPicPr>
        <xdr:cNvPr id="16" name="ゴール15">
          <a:extLst>
            <a:ext uri="{FF2B5EF4-FFF2-40B4-BE49-F238E27FC236}">
              <a16:creationId xmlns:a16="http://schemas.microsoft.com/office/drawing/2014/main" id="{00000000-0008-0000-0E00-000010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132" y="75751577"/>
          <a:ext cx="725715" cy="721233"/>
        </a:xfrm>
        <a:prstGeom prst="rect">
          <a:avLst/>
        </a:prstGeom>
      </xdr:spPr>
    </xdr:pic>
    <xdr:clientData/>
  </xdr:twoCellAnchor>
  <xdr:oneCellAnchor>
    <xdr:from>
      <xdr:col>1</xdr:col>
      <xdr:colOff>74407</xdr:colOff>
      <xdr:row>148</xdr:row>
      <xdr:rowOff>554317</xdr:rowOff>
    </xdr:from>
    <xdr:ext cx="720000" cy="720000"/>
    <xdr:pic>
      <xdr:nvPicPr>
        <xdr:cNvPr id="17" name="ゴール16">
          <a:extLst>
            <a:ext uri="{FF2B5EF4-FFF2-40B4-BE49-F238E27FC236}">
              <a16:creationId xmlns:a16="http://schemas.microsoft.com/office/drawing/2014/main" id="{00000000-0008-0000-0E00-000011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79182" y="79893757"/>
          <a:ext cx="720000" cy="720000"/>
        </a:xfrm>
        <a:prstGeom prst="rect">
          <a:avLst/>
        </a:prstGeom>
      </xdr:spPr>
    </xdr:pic>
    <xdr:clientData/>
  </xdr:oneCellAnchor>
  <xdr:twoCellAnchor editAs="oneCell">
    <xdr:from>
      <xdr:col>1</xdr:col>
      <xdr:colOff>59167</xdr:colOff>
      <xdr:row>155</xdr:row>
      <xdr:rowOff>0</xdr:rowOff>
    </xdr:from>
    <xdr:to>
      <xdr:col>1</xdr:col>
      <xdr:colOff>779167</xdr:colOff>
      <xdr:row>155</xdr:row>
      <xdr:rowOff>742860</xdr:rowOff>
    </xdr:to>
    <xdr:pic>
      <xdr:nvPicPr>
        <xdr:cNvPr id="18" name="ゴール17">
          <a:extLst>
            <a:ext uri="{FF2B5EF4-FFF2-40B4-BE49-F238E27FC236}">
              <a16:creationId xmlns:a16="http://schemas.microsoft.com/office/drawing/2014/main" id="{00000000-0008-0000-0E00-00001200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0132" y="84674298"/>
          <a:ext cx="735240" cy="739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31</xdr:col>
          <xdr:colOff>281940</xdr:colOff>
          <xdr:row>9</xdr:row>
          <xdr:rowOff>358140</xdr:rowOff>
        </xdr:from>
        <xdr:to>
          <xdr:col>103</xdr:col>
          <xdr:colOff>91440</xdr:colOff>
          <xdr:row>15</xdr:row>
          <xdr:rowOff>251460</xdr:rowOff>
        </xdr:to>
        <xdr:sp macro="" textlink="">
          <xdr:nvSpPr>
            <xdr:cNvPr id="4126721" name="Option Button 1" hidden="1">
              <a:extLst>
                <a:ext uri="{63B3BB69-23CF-44E3-9099-C40C66FF867C}">
                  <a14:compatExt spid="_x0000_s4126721"/>
                </a:ext>
                <a:ext uri="{FF2B5EF4-FFF2-40B4-BE49-F238E27FC236}">
                  <a16:creationId xmlns:a16="http://schemas.microsoft.com/office/drawing/2014/main" id="{00000000-0008-0000-0E00-00000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266700</xdr:colOff>
          <xdr:row>9</xdr:row>
          <xdr:rowOff>373380</xdr:rowOff>
        </xdr:from>
        <xdr:to>
          <xdr:col>103</xdr:col>
          <xdr:colOff>99060</xdr:colOff>
          <xdr:row>15</xdr:row>
          <xdr:rowOff>251460</xdr:rowOff>
        </xdr:to>
        <xdr:sp macro="" textlink="">
          <xdr:nvSpPr>
            <xdr:cNvPr id="4126722" name="Option Button 2" hidden="1">
              <a:extLst>
                <a:ext uri="{63B3BB69-23CF-44E3-9099-C40C66FF867C}">
                  <a14:compatExt spid="_x0000_s4126722"/>
                </a:ext>
                <a:ext uri="{FF2B5EF4-FFF2-40B4-BE49-F238E27FC236}">
                  <a16:creationId xmlns:a16="http://schemas.microsoft.com/office/drawing/2014/main" id="{00000000-0008-0000-0E00-00000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9</xdr:row>
          <xdr:rowOff>358140</xdr:rowOff>
        </xdr:from>
        <xdr:to>
          <xdr:col>103</xdr:col>
          <xdr:colOff>7620</xdr:colOff>
          <xdr:row>15</xdr:row>
          <xdr:rowOff>251460</xdr:rowOff>
        </xdr:to>
        <xdr:sp macro="" textlink="">
          <xdr:nvSpPr>
            <xdr:cNvPr id="4126723" name="Option Button 3" hidden="1">
              <a:extLst>
                <a:ext uri="{63B3BB69-23CF-44E3-9099-C40C66FF867C}">
                  <a14:compatExt spid="_x0000_s4126723"/>
                </a:ext>
                <a:ext uri="{FF2B5EF4-FFF2-40B4-BE49-F238E27FC236}">
                  <a16:creationId xmlns:a16="http://schemas.microsoft.com/office/drawing/2014/main" id="{00000000-0008-0000-0E00-00000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9</xdr:row>
          <xdr:rowOff>60960</xdr:rowOff>
        </xdr:from>
        <xdr:to>
          <xdr:col>108</xdr:col>
          <xdr:colOff>91440</xdr:colOff>
          <xdr:row>16</xdr:row>
          <xdr:rowOff>541020</xdr:rowOff>
        </xdr:to>
        <xdr:sp macro="" textlink="">
          <xdr:nvSpPr>
            <xdr:cNvPr id="4126724" name="GB323" hidden="1">
              <a:extLst>
                <a:ext uri="{63B3BB69-23CF-44E3-9099-C40C66FF867C}">
                  <a14:compatExt spid="_x0000_s4126724"/>
                </a:ext>
                <a:ext uri="{FF2B5EF4-FFF2-40B4-BE49-F238E27FC236}">
                  <a16:creationId xmlns:a16="http://schemas.microsoft.com/office/drawing/2014/main" id="{00000000-0008-0000-0E00-00000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GB323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10</xdr:row>
          <xdr:rowOff>358140</xdr:rowOff>
        </xdr:from>
        <xdr:to>
          <xdr:col>103</xdr:col>
          <xdr:colOff>99060</xdr:colOff>
          <xdr:row>15</xdr:row>
          <xdr:rowOff>251460</xdr:rowOff>
        </xdr:to>
        <xdr:sp macro="" textlink="">
          <xdr:nvSpPr>
            <xdr:cNvPr id="4126725" name="Option Button 5" hidden="1">
              <a:extLst>
                <a:ext uri="{63B3BB69-23CF-44E3-9099-C40C66FF867C}">
                  <a14:compatExt spid="_x0000_s4126725"/>
                </a:ext>
                <a:ext uri="{FF2B5EF4-FFF2-40B4-BE49-F238E27FC236}">
                  <a16:creationId xmlns:a16="http://schemas.microsoft.com/office/drawing/2014/main" id="{00000000-0008-0000-0E00-00000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10</xdr:row>
          <xdr:rowOff>365760</xdr:rowOff>
        </xdr:from>
        <xdr:to>
          <xdr:col>103</xdr:col>
          <xdr:colOff>99060</xdr:colOff>
          <xdr:row>15</xdr:row>
          <xdr:rowOff>251460</xdr:rowOff>
        </xdr:to>
        <xdr:sp macro="" textlink="">
          <xdr:nvSpPr>
            <xdr:cNvPr id="4126726" name="Option Button 6" hidden="1">
              <a:extLst>
                <a:ext uri="{63B3BB69-23CF-44E3-9099-C40C66FF867C}">
                  <a14:compatExt spid="_x0000_s4126726"/>
                </a:ext>
                <a:ext uri="{FF2B5EF4-FFF2-40B4-BE49-F238E27FC236}">
                  <a16:creationId xmlns:a16="http://schemas.microsoft.com/office/drawing/2014/main" id="{00000000-0008-0000-0E00-00000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10</xdr:row>
          <xdr:rowOff>381000</xdr:rowOff>
        </xdr:from>
        <xdr:to>
          <xdr:col>103</xdr:col>
          <xdr:colOff>7620</xdr:colOff>
          <xdr:row>15</xdr:row>
          <xdr:rowOff>251460</xdr:rowOff>
        </xdr:to>
        <xdr:sp macro="" textlink="">
          <xdr:nvSpPr>
            <xdr:cNvPr id="4126727" name="Option Button 7" hidden="1">
              <a:extLst>
                <a:ext uri="{63B3BB69-23CF-44E3-9099-C40C66FF867C}">
                  <a14:compatExt spid="_x0000_s4126727"/>
                </a:ext>
                <a:ext uri="{FF2B5EF4-FFF2-40B4-BE49-F238E27FC236}">
                  <a16:creationId xmlns:a16="http://schemas.microsoft.com/office/drawing/2014/main" id="{00000000-0008-0000-0E00-00000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472440</xdr:colOff>
          <xdr:row>15</xdr:row>
          <xdr:rowOff>213360</xdr:rowOff>
        </xdr:from>
        <xdr:to>
          <xdr:col>108</xdr:col>
          <xdr:colOff>106680</xdr:colOff>
          <xdr:row>16</xdr:row>
          <xdr:rowOff>731520</xdr:rowOff>
        </xdr:to>
        <xdr:sp macro="" textlink="">
          <xdr:nvSpPr>
            <xdr:cNvPr id="4126728" name="GB332" hidden="1">
              <a:extLst>
                <a:ext uri="{63B3BB69-23CF-44E3-9099-C40C66FF867C}">
                  <a14:compatExt spid="_x0000_s4126728"/>
                </a:ext>
                <a:ext uri="{FF2B5EF4-FFF2-40B4-BE49-F238E27FC236}">
                  <a16:creationId xmlns:a16="http://schemas.microsoft.com/office/drawing/2014/main" id="{00000000-0008-0000-0E00-00000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12</xdr:row>
          <xdr:rowOff>350520</xdr:rowOff>
        </xdr:from>
        <xdr:to>
          <xdr:col>103</xdr:col>
          <xdr:colOff>99060</xdr:colOff>
          <xdr:row>15</xdr:row>
          <xdr:rowOff>220980</xdr:rowOff>
        </xdr:to>
        <xdr:sp macro="" textlink="">
          <xdr:nvSpPr>
            <xdr:cNvPr id="4126729" name="Option Button 9" hidden="1">
              <a:extLst>
                <a:ext uri="{63B3BB69-23CF-44E3-9099-C40C66FF867C}">
                  <a14:compatExt spid="_x0000_s4126729"/>
                </a:ext>
                <a:ext uri="{FF2B5EF4-FFF2-40B4-BE49-F238E27FC236}">
                  <a16:creationId xmlns:a16="http://schemas.microsoft.com/office/drawing/2014/main" id="{00000000-0008-0000-0E00-00000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12</xdr:row>
          <xdr:rowOff>350520</xdr:rowOff>
        </xdr:from>
        <xdr:to>
          <xdr:col>103</xdr:col>
          <xdr:colOff>99060</xdr:colOff>
          <xdr:row>15</xdr:row>
          <xdr:rowOff>220980</xdr:rowOff>
        </xdr:to>
        <xdr:sp macro="" textlink="">
          <xdr:nvSpPr>
            <xdr:cNvPr id="4126730" name="Option Button 10" hidden="1">
              <a:extLst>
                <a:ext uri="{63B3BB69-23CF-44E3-9099-C40C66FF867C}">
                  <a14:compatExt spid="_x0000_s4126730"/>
                </a:ext>
                <a:ext uri="{FF2B5EF4-FFF2-40B4-BE49-F238E27FC236}">
                  <a16:creationId xmlns:a16="http://schemas.microsoft.com/office/drawing/2014/main" id="{00000000-0008-0000-0E00-00000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12</xdr:row>
          <xdr:rowOff>350520</xdr:rowOff>
        </xdr:from>
        <xdr:to>
          <xdr:col>103</xdr:col>
          <xdr:colOff>7620</xdr:colOff>
          <xdr:row>15</xdr:row>
          <xdr:rowOff>220980</xdr:rowOff>
        </xdr:to>
        <xdr:sp macro="" textlink="">
          <xdr:nvSpPr>
            <xdr:cNvPr id="4126731" name="Option Button 11" hidden="1">
              <a:extLst>
                <a:ext uri="{63B3BB69-23CF-44E3-9099-C40C66FF867C}">
                  <a14:compatExt spid="_x0000_s4126731"/>
                </a:ext>
                <a:ext uri="{FF2B5EF4-FFF2-40B4-BE49-F238E27FC236}">
                  <a16:creationId xmlns:a16="http://schemas.microsoft.com/office/drawing/2014/main" id="{00000000-0008-0000-0E00-00000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434340</xdr:colOff>
          <xdr:row>15</xdr:row>
          <xdr:rowOff>53340</xdr:rowOff>
        </xdr:from>
        <xdr:to>
          <xdr:col>108</xdr:col>
          <xdr:colOff>106680</xdr:colOff>
          <xdr:row>16</xdr:row>
          <xdr:rowOff>457200</xdr:rowOff>
        </xdr:to>
        <xdr:sp macro="" textlink="">
          <xdr:nvSpPr>
            <xdr:cNvPr id="4126732" name="GB362" hidden="1">
              <a:extLst>
                <a:ext uri="{63B3BB69-23CF-44E3-9099-C40C66FF867C}">
                  <a14:compatExt spid="_x0000_s4126732"/>
                </a:ext>
                <a:ext uri="{FF2B5EF4-FFF2-40B4-BE49-F238E27FC236}">
                  <a16:creationId xmlns:a16="http://schemas.microsoft.com/office/drawing/2014/main" id="{00000000-0008-0000-0E00-00000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GB362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16</xdr:row>
          <xdr:rowOff>381000</xdr:rowOff>
        </xdr:from>
        <xdr:to>
          <xdr:col>103</xdr:col>
          <xdr:colOff>99060</xdr:colOff>
          <xdr:row>16</xdr:row>
          <xdr:rowOff>617220</xdr:rowOff>
        </xdr:to>
        <xdr:sp macro="" textlink="">
          <xdr:nvSpPr>
            <xdr:cNvPr id="4126733" name="Option Button 13" hidden="1">
              <a:extLst>
                <a:ext uri="{63B3BB69-23CF-44E3-9099-C40C66FF867C}">
                  <a14:compatExt spid="_x0000_s4126733"/>
                </a:ext>
                <a:ext uri="{FF2B5EF4-FFF2-40B4-BE49-F238E27FC236}">
                  <a16:creationId xmlns:a16="http://schemas.microsoft.com/office/drawing/2014/main" id="{00000000-0008-0000-0E00-00000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16</xdr:row>
          <xdr:rowOff>381000</xdr:rowOff>
        </xdr:from>
        <xdr:to>
          <xdr:col>103</xdr:col>
          <xdr:colOff>99060</xdr:colOff>
          <xdr:row>16</xdr:row>
          <xdr:rowOff>617220</xdr:rowOff>
        </xdr:to>
        <xdr:sp macro="" textlink="">
          <xdr:nvSpPr>
            <xdr:cNvPr id="4126734" name="Option Button 14" hidden="1">
              <a:extLst>
                <a:ext uri="{63B3BB69-23CF-44E3-9099-C40C66FF867C}">
                  <a14:compatExt spid="_x0000_s4126734"/>
                </a:ext>
                <a:ext uri="{FF2B5EF4-FFF2-40B4-BE49-F238E27FC236}">
                  <a16:creationId xmlns:a16="http://schemas.microsoft.com/office/drawing/2014/main" id="{00000000-0008-0000-0E00-00000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16</xdr:row>
          <xdr:rowOff>381000</xdr:rowOff>
        </xdr:from>
        <xdr:to>
          <xdr:col>103</xdr:col>
          <xdr:colOff>7620</xdr:colOff>
          <xdr:row>16</xdr:row>
          <xdr:rowOff>617220</xdr:rowOff>
        </xdr:to>
        <xdr:sp macro="" textlink="">
          <xdr:nvSpPr>
            <xdr:cNvPr id="4126735" name="Option Button 15" hidden="1">
              <a:extLst>
                <a:ext uri="{63B3BB69-23CF-44E3-9099-C40C66FF867C}">
                  <a14:compatExt spid="_x0000_s4126735"/>
                </a:ext>
                <a:ext uri="{FF2B5EF4-FFF2-40B4-BE49-F238E27FC236}">
                  <a16:creationId xmlns:a16="http://schemas.microsoft.com/office/drawing/2014/main" id="{00000000-0008-0000-0E00-00000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xdr:colOff>
          <xdr:row>16</xdr:row>
          <xdr:rowOff>167640</xdr:rowOff>
        </xdr:from>
        <xdr:to>
          <xdr:col>108</xdr:col>
          <xdr:colOff>45720</xdr:colOff>
          <xdr:row>17</xdr:row>
          <xdr:rowOff>91440</xdr:rowOff>
        </xdr:to>
        <xdr:sp macro="" textlink="">
          <xdr:nvSpPr>
            <xdr:cNvPr id="4126736" name="GB421" hidden="1">
              <a:extLst>
                <a:ext uri="{63B3BB69-23CF-44E3-9099-C40C66FF867C}">
                  <a14:compatExt spid="_x0000_s4126736"/>
                </a:ext>
                <a:ext uri="{FF2B5EF4-FFF2-40B4-BE49-F238E27FC236}">
                  <a16:creationId xmlns:a16="http://schemas.microsoft.com/office/drawing/2014/main" id="{00000000-0008-0000-0E00-00001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GB421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29</xdr:row>
          <xdr:rowOff>579120</xdr:rowOff>
        </xdr:from>
        <xdr:to>
          <xdr:col>103</xdr:col>
          <xdr:colOff>99060</xdr:colOff>
          <xdr:row>30</xdr:row>
          <xdr:rowOff>411480</xdr:rowOff>
        </xdr:to>
        <xdr:sp macro="" textlink="">
          <xdr:nvSpPr>
            <xdr:cNvPr id="4126737" name="Option Button 17" hidden="1">
              <a:extLst>
                <a:ext uri="{63B3BB69-23CF-44E3-9099-C40C66FF867C}">
                  <a14:compatExt spid="_x0000_s4126737"/>
                </a:ext>
                <a:ext uri="{FF2B5EF4-FFF2-40B4-BE49-F238E27FC236}">
                  <a16:creationId xmlns:a16="http://schemas.microsoft.com/office/drawing/2014/main" id="{00000000-0008-0000-0E00-00001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29</xdr:row>
          <xdr:rowOff>579120</xdr:rowOff>
        </xdr:from>
        <xdr:to>
          <xdr:col>103</xdr:col>
          <xdr:colOff>99060</xdr:colOff>
          <xdr:row>30</xdr:row>
          <xdr:rowOff>411480</xdr:rowOff>
        </xdr:to>
        <xdr:sp macro="" textlink="">
          <xdr:nvSpPr>
            <xdr:cNvPr id="4126738" name="Option Button 18" hidden="1">
              <a:extLst>
                <a:ext uri="{63B3BB69-23CF-44E3-9099-C40C66FF867C}">
                  <a14:compatExt spid="_x0000_s4126738"/>
                </a:ext>
                <a:ext uri="{FF2B5EF4-FFF2-40B4-BE49-F238E27FC236}">
                  <a16:creationId xmlns:a16="http://schemas.microsoft.com/office/drawing/2014/main" id="{00000000-0008-0000-0E00-00001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29</xdr:row>
          <xdr:rowOff>579120</xdr:rowOff>
        </xdr:from>
        <xdr:to>
          <xdr:col>103</xdr:col>
          <xdr:colOff>7620</xdr:colOff>
          <xdr:row>30</xdr:row>
          <xdr:rowOff>411480</xdr:rowOff>
        </xdr:to>
        <xdr:sp macro="" textlink="">
          <xdr:nvSpPr>
            <xdr:cNvPr id="4126739" name="Option Button 19" hidden="1">
              <a:extLst>
                <a:ext uri="{63B3BB69-23CF-44E3-9099-C40C66FF867C}">
                  <a14:compatExt spid="_x0000_s4126739"/>
                </a:ext>
                <a:ext uri="{FF2B5EF4-FFF2-40B4-BE49-F238E27FC236}">
                  <a16:creationId xmlns:a16="http://schemas.microsoft.com/office/drawing/2014/main" id="{00000000-0008-0000-0E00-00001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29</xdr:row>
          <xdr:rowOff>220980</xdr:rowOff>
        </xdr:from>
        <xdr:to>
          <xdr:col>108</xdr:col>
          <xdr:colOff>38100</xdr:colOff>
          <xdr:row>30</xdr:row>
          <xdr:rowOff>411480</xdr:rowOff>
        </xdr:to>
        <xdr:sp macro="" textlink="">
          <xdr:nvSpPr>
            <xdr:cNvPr id="4126740" name="GB422" hidden="1">
              <a:extLst>
                <a:ext uri="{63B3BB69-23CF-44E3-9099-C40C66FF867C}">
                  <a14:compatExt spid="_x0000_s4126740"/>
                </a:ext>
                <a:ext uri="{FF2B5EF4-FFF2-40B4-BE49-F238E27FC236}">
                  <a16:creationId xmlns:a16="http://schemas.microsoft.com/office/drawing/2014/main" id="{00000000-0008-0000-0E00-00001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GB422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32</xdr:row>
          <xdr:rowOff>731520</xdr:rowOff>
        </xdr:from>
        <xdr:to>
          <xdr:col>103</xdr:col>
          <xdr:colOff>99060</xdr:colOff>
          <xdr:row>33</xdr:row>
          <xdr:rowOff>236220</xdr:rowOff>
        </xdr:to>
        <xdr:sp macro="" textlink="">
          <xdr:nvSpPr>
            <xdr:cNvPr id="4126741" name="Option Button 21" hidden="1">
              <a:extLst>
                <a:ext uri="{63B3BB69-23CF-44E3-9099-C40C66FF867C}">
                  <a14:compatExt spid="_x0000_s4126741"/>
                </a:ext>
                <a:ext uri="{FF2B5EF4-FFF2-40B4-BE49-F238E27FC236}">
                  <a16:creationId xmlns:a16="http://schemas.microsoft.com/office/drawing/2014/main" id="{00000000-0008-0000-0E00-00001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32</xdr:row>
          <xdr:rowOff>731520</xdr:rowOff>
        </xdr:from>
        <xdr:to>
          <xdr:col>103</xdr:col>
          <xdr:colOff>99060</xdr:colOff>
          <xdr:row>33</xdr:row>
          <xdr:rowOff>236220</xdr:rowOff>
        </xdr:to>
        <xdr:sp macro="" textlink="">
          <xdr:nvSpPr>
            <xdr:cNvPr id="4126742" name="Option Button 22" hidden="1">
              <a:extLst>
                <a:ext uri="{63B3BB69-23CF-44E3-9099-C40C66FF867C}">
                  <a14:compatExt spid="_x0000_s4126742"/>
                </a:ext>
                <a:ext uri="{FF2B5EF4-FFF2-40B4-BE49-F238E27FC236}">
                  <a16:creationId xmlns:a16="http://schemas.microsoft.com/office/drawing/2014/main" id="{00000000-0008-0000-0E00-00001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32</xdr:row>
          <xdr:rowOff>731520</xdr:rowOff>
        </xdr:from>
        <xdr:to>
          <xdr:col>103</xdr:col>
          <xdr:colOff>7620</xdr:colOff>
          <xdr:row>33</xdr:row>
          <xdr:rowOff>236220</xdr:rowOff>
        </xdr:to>
        <xdr:sp macro="" textlink="">
          <xdr:nvSpPr>
            <xdr:cNvPr id="4126743" name="Option Button 23" hidden="1">
              <a:extLst>
                <a:ext uri="{63B3BB69-23CF-44E3-9099-C40C66FF867C}">
                  <a14:compatExt spid="_x0000_s4126743"/>
                </a:ext>
                <a:ext uri="{FF2B5EF4-FFF2-40B4-BE49-F238E27FC236}">
                  <a16:creationId xmlns:a16="http://schemas.microsoft.com/office/drawing/2014/main" id="{00000000-0008-0000-0E00-00001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32</xdr:row>
          <xdr:rowOff>457200</xdr:rowOff>
        </xdr:from>
        <xdr:to>
          <xdr:col>108</xdr:col>
          <xdr:colOff>106680</xdr:colOff>
          <xdr:row>35</xdr:row>
          <xdr:rowOff>83820</xdr:rowOff>
        </xdr:to>
        <xdr:sp macro="" textlink="">
          <xdr:nvSpPr>
            <xdr:cNvPr id="4126744" name="GB512" hidden="1">
              <a:extLst>
                <a:ext uri="{63B3BB69-23CF-44E3-9099-C40C66FF867C}">
                  <a14:compatExt spid="_x0000_s4126744"/>
                </a:ext>
                <a:ext uri="{FF2B5EF4-FFF2-40B4-BE49-F238E27FC236}">
                  <a16:creationId xmlns:a16="http://schemas.microsoft.com/office/drawing/2014/main" id="{00000000-0008-0000-0E00-00001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GB512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35</xdr:row>
          <xdr:rowOff>449580</xdr:rowOff>
        </xdr:from>
        <xdr:to>
          <xdr:col>103</xdr:col>
          <xdr:colOff>99060</xdr:colOff>
          <xdr:row>36</xdr:row>
          <xdr:rowOff>182880</xdr:rowOff>
        </xdr:to>
        <xdr:sp macro="" textlink="">
          <xdr:nvSpPr>
            <xdr:cNvPr id="4126745" name="Option Button 25" hidden="1">
              <a:extLst>
                <a:ext uri="{63B3BB69-23CF-44E3-9099-C40C66FF867C}">
                  <a14:compatExt spid="_x0000_s4126745"/>
                </a:ext>
                <a:ext uri="{FF2B5EF4-FFF2-40B4-BE49-F238E27FC236}">
                  <a16:creationId xmlns:a16="http://schemas.microsoft.com/office/drawing/2014/main" id="{00000000-0008-0000-0E00-00001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35</xdr:row>
          <xdr:rowOff>1127760</xdr:rowOff>
        </xdr:from>
        <xdr:to>
          <xdr:col>103</xdr:col>
          <xdr:colOff>99060</xdr:colOff>
          <xdr:row>38</xdr:row>
          <xdr:rowOff>99060</xdr:rowOff>
        </xdr:to>
        <xdr:sp macro="" textlink="">
          <xdr:nvSpPr>
            <xdr:cNvPr id="4126746" name="Option Button 26" hidden="1">
              <a:extLst>
                <a:ext uri="{63B3BB69-23CF-44E3-9099-C40C66FF867C}">
                  <a14:compatExt spid="_x0000_s4126746"/>
                </a:ext>
                <a:ext uri="{FF2B5EF4-FFF2-40B4-BE49-F238E27FC236}">
                  <a16:creationId xmlns:a16="http://schemas.microsoft.com/office/drawing/2014/main" id="{00000000-0008-0000-0E00-00001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35</xdr:row>
          <xdr:rowOff>449580</xdr:rowOff>
        </xdr:from>
        <xdr:to>
          <xdr:col>103</xdr:col>
          <xdr:colOff>7620</xdr:colOff>
          <xdr:row>36</xdr:row>
          <xdr:rowOff>182880</xdr:rowOff>
        </xdr:to>
        <xdr:sp macro="" textlink="">
          <xdr:nvSpPr>
            <xdr:cNvPr id="4126747" name="Option Button 27" hidden="1">
              <a:extLst>
                <a:ext uri="{63B3BB69-23CF-44E3-9099-C40C66FF867C}">
                  <a14:compatExt spid="_x0000_s4126747"/>
                </a:ext>
                <a:ext uri="{FF2B5EF4-FFF2-40B4-BE49-F238E27FC236}">
                  <a16:creationId xmlns:a16="http://schemas.microsoft.com/office/drawing/2014/main" id="{00000000-0008-0000-0E00-00001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35</xdr:row>
          <xdr:rowOff>167640</xdr:rowOff>
        </xdr:from>
        <xdr:to>
          <xdr:col>108</xdr:col>
          <xdr:colOff>106680</xdr:colOff>
          <xdr:row>38</xdr:row>
          <xdr:rowOff>7620</xdr:rowOff>
        </xdr:to>
        <xdr:sp macro="" textlink="">
          <xdr:nvSpPr>
            <xdr:cNvPr id="4126748" name="GB522" hidden="1">
              <a:extLst>
                <a:ext uri="{63B3BB69-23CF-44E3-9099-C40C66FF867C}">
                  <a14:compatExt spid="_x0000_s4126748"/>
                </a:ext>
                <a:ext uri="{FF2B5EF4-FFF2-40B4-BE49-F238E27FC236}">
                  <a16:creationId xmlns:a16="http://schemas.microsoft.com/office/drawing/2014/main" id="{00000000-0008-0000-0E00-00001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GB522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27</xdr:row>
          <xdr:rowOff>678180</xdr:rowOff>
        </xdr:from>
        <xdr:to>
          <xdr:col>103</xdr:col>
          <xdr:colOff>99060</xdr:colOff>
          <xdr:row>27</xdr:row>
          <xdr:rowOff>693420</xdr:rowOff>
        </xdr:to>
        <xdr:sp macro="" textlink="">
          <xdr:nvSpPr>
            <xdr:cNvPr id="4126749" name="Option Button 29" hidden="1">
              <a:extLst>
                <a:ext uri="{63B3BB69-23CF-44E3-9099-C40C66FF867C}">
                  <a14:compatExt spid="_x0000_s4126749"/>
                </a:ext>
                <a:ext uri="{FF2B5EF4-FFF2-40B4-BE49-F238E27FC236}">
                  <a16:creationId xmlns:a16="http://schemas.microsoft.com/office/drawing/2014/main" id="{00000000-0008-0000-0E00-00001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27</xdr:row>
          <xdr:rowOff>678180</xdr:rowOff>
        </xdr:from>
        <xdr:to>
          <xdr:col>103</xdr:col>
          <xdr:colOff>99060</xdr:colOff>
          <xdr:row>27</xdr:row>
          <xdr:rowOff>693420</xdr:rowOff>
        </xdr:to>
        <xdr:sp macro="" textlink="">
          <xdr:nvSpPr>
            <xdr:cNvPr id="4126750" name="Option Button 30" hidden="1">
              <a:extLst>
                <a:ext uri="{63B3BB69-23CF-44E3-9099-C40C66FF867C}">
                  <a14:compatExt spid="_x0000_s4126750"/>
                </a:ext>
                <a:ext uri="{FF2B5EF4-FFF2-40B4-BE49-F238E27FC236}">
                  <a16:creationId xmlns:a16="http://schemas.microsoft.com/office/drawing/2014/main" id="{00000000-0008-0000-0E00-00001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27</xdr:row>
          <xdr:rowOff>678180</xdr:rowOff>
        </xdr:from>
        <xdr:to>
          <xdr:col>103</xdr:col>
          <xdr:colOff>7620</xdr:colOff>
          <xdr:row>27</xdr:row>
          <xdr:rowOff>693420</xdr:rowOff>
        </xdr:to>
        <xdr:sp macro="" textlink="">
          <xdr:nvSpPr>
            <xdr:cNvPr id="4126751" name="Option Button 31" hidden="1">
              <a:extLst>
                <a:ext uri="{63B3BB69-23CF-44E3-9099-C40C66FF867C}">
                  <a14:compatExt spid="_x0000_s4126751"/>
                </a:ext>
                <a:ext uri="{FF2B5EF4-FFF2-40B4-BE49-F238E27FC236}">
                  <a16:creationId xmlns:a16="http://schemas.microsoft.com/office/drawing/2014/main" id="{00000000-0008-0000-0E00-00001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27</xdr:row>
          <xdr:rowOff>381000</xdr:rowOff>
        </xdr:from>
        <xdr:to>
          <xdr:col>107</xdr:col>
          <xdr:colOff>289560</xdr:colOff>
          <xdr:row>27</xdr:row>
          <xdr:rowOff>693420</xdr:rowOff>
        </xdr:to>
        <xdr:sp macro="" textlink="">
          <xdr:nvSpPr>
            <xdr:cNvPr id="4126752" name="GB621" hidden="1">
              <a:extLst>
                <a:ext uri="{63B3BB69-23CF-44E3-9099-C40C66FF867C}">
                  <a14:compatExt spid="_x0000_s4126752"/>
                </a:ext>
                <a:ext uri="{FF2B5EF4-FFF2-40B4-BE49-F238E27FC236}">
                  <a16:creationId xmlns:a16="http://schemas.microsoft.com/office/drawing/2014/main" id="{00000000-0008-0000-0E00-00002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GB621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259080</xdr:colOff>
          <xdr:row>23</xdr:row>
          <xdr:rowOff>937260</xdr:rowOff>
        </xdr:from>
        <xdr:to>
          <xdr:col>103</xdr:col>
          <xdr:colOff>106680</xdr:colOff>
          <xdr:row>24</xdr:row>
          <xdr:rowOff>0</xdr:rowOff>
        </xdr:to>
        <xdr:sp macro="" textlink="">
          <xdr:nvSpPr>
            <xdr:cNvPr id="4126753" name="Option Button 33" hidden="1">
              <a:extLst>
                <a:ext uri="{63B3BB69-23CF-44E3-9099-C40C66FF867C}">
                  <a14:compatExt spid="_x0000_s4126753"/>
                </a:ext>
                <a:ext uri="{FF2B5EF4-FFF2-40B4-BE49-F238E27FC236}">
                  <a16:creationId xmlns:a16="http://schemas.microsoft.com/office/drawing/2014/main" id="{00000000-0008-0000-0E00-00002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259080</xdr:colOff>
          <xdr:row>23</xdr:row>
          <xdr:rowOff>937260</xdr:rowOff>
        </xdr:from>
        <xdr:to>
          <xdr:col>103</xdr:col>
          <xdr:colOff>106680</xdr:colOff>
          <xdr:row>24</xdr:row>
          <xdr:rowOff>0</xdr:rowOff>
        </xdr:to>
        <xdr:sp macro="" textlink="">
          <xdr:nvSpPr>
            <xdr:cNvPr id="4126754" name="Option Button 34" hidden="1">
              <a:extLst>
                <a:ext uri="{63B3BB69-23CF-44E3-9099-C40C66FF867C}">
                  <a14:compatExt spid="_x0000_s4126754"/>
                </a:ext>
                <a:ext uri="{FF2B5EF4-FFF2-40B4-BE49-F238E27FC236}">
                  <a16:creationId xmlns:a16="http://schemas.microsoft.com/office/drawing/2014/main" id="{00000000-0008-0000-0E00-00002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259080</xdr:colOff>
          <xdr:row>23</xdr:row>
          <xdr:rowOff>937260</xdr:rowOff>
        </xdr:from>
        <xdr:to>
          <xdr:col>103</xdr:col>
          <xdr:colOff>0</xdr:colOff>
          <xdr:row>24</xdr:row>
          <xdr:rowOff>0</xdr:rowOff>
        </xdr:to>
        <xdr:sp macro="" textlink="">
          <xdr:nvSpPr>
            <xdr:cNvPr id="4126755" name="Option Button 35" hidden="1">
              <a:extLst>
                <a:ext uri="{63B3BB69-23CF-44E3-9099-C40C66FF867C}">
                  <a14:compatExt spid="_x0000_s4126755"/>
                </a:ext>
                <a:ext uri="{FF2B5EF4-FFF2-40B4-BE49-F238E27FC236}">
                  <a16:creationId xmlns:a16="http://schemas.microsoft.com/office/drawing/2014/main" id="{00000000-0008-0000-0E00-00002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39</xdr:row>
          <xdr:rowOff>655320</xdr:rowOff>
        </xdr:from>
        <xdr:to>
          <xdr:col>108</xdr:col>
          <xdr:colOff>38100</xdr:colOff>
          <xdr:row>45</xdr:row>
          <xdr:rowOff>45720</xdr:rowOff>
        </xdr:to>
        <xdr:sp macro="" textlink="">
          <xdr:nvSpPr>
            <xdr:cNvPr id="4126756" name="GB631" hidden="1">
              <a:extLst>
                <a:ext uri="{63B3BB69-23CF-44E3-9099-C40C66FF867C}">
                  <a14:compatExt spid="_x0000_s4126756"/>
                </a:ext>
                <a:ext uri="{FF2B5EF4-FFF2-40B4-BE49-F238E27FC236}">
                  <a16:creationId xmlns:a16="http://schemas.microsoft.com/office/drawing/2014/main" id="{00000000-0008-0000-0E00-00002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GB631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259080</xdr:colOff>
          <xdr:row>25</xdr:row>
          <xdr:rowOff>647700</xdr:rowOff>
        </xdr:from>
        <xdr:to>
          <xdr:col>103</xdr:col>
          <xdr:colOff>106680</xdr:colOff>
          <xdr:row>26</xdr:row>
          <xdr:rowOff>0</xdr:rowOff>
        </xdr:to>
        <xdr:sp macro="" textlink="">
          <xdr:nvSpPr>
            <xdr:cNvPr id="4126757" name="Option Button 37" hidden="1">
              <a:extLst>
                <a:ext uri="{63B3BB69-23CF-44E3-9099-C40C66FF867C}">
                  <a14:compatExt spid="_x0000_s4126757"/>
                </a:ext>
                <a:ext uri="{FF2B5EF4-FFF2-40B4-BE49-F238E27FC236}">
                  <a16:creationId xmlns:a16="http://schemas.microsoft.com/office/drawing/2014/main" id="{00000000-0008-0000-0E00-00002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259080</xdr:colOff>
          <xdr:row>25</xdr:row>
          <xdr:rowOff>647700</xdr:rowOff>
        </xdr:from>
        <xdr:to>
          <xdr:col>103</xdr:col>
          <xdr:colOff>106680</xdr:colOff>
          <xdr:row>26</xdr:row>
          <xdr:rowOff>0</xdr:rowOff>
        </xdr:to>
        <xdr:sp macro="" textlink="">
          <xdr:nvSpPr>
            <xdr:cNvPr id="4126758" name="Option Button 38" hidden="1">
              <a:extLst>
                <a:ext uri="{63B3BB69-23CF-44E3-9099-C40C66FF867C}">
                  <a14:compatExt spid="_x0000_s4126758"/>
                </a:ext>
                <a:ext uri="{FF2B5EF4-FFF2-40B4-BE49-F238E27FC236}">
                  <a16:creationId xmlns:a16="http://schemas.microsoft.com/office/drawing/2014/main" id="{00000000-0008-0000-0E00-00002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259080</xdr:colOff>
          <xdr:row>25</xdr:row>
          <xdr:rowOff>647700</xdr:rowOff>
        </xdr:from>
        <xdr:to>
          <xdr:col>103</xdr:col>
          <xdr:colOff>0</xdr:colOff>
          <xdr:row>26</xdr:row>
          <xdr:rowOff>0</xdr:rowOff>
        </xdr:to>
        <xdr:sp macro="" textlink="">
          <xdr:nvSpPr>
            <xdr:cNvPr id="4126759" name="Option Button 39" hidden="1">
              <a:extLst>
                <a:ext uri="{63B3BB69-23CF-44E3-9099-C40C66FF867C}">
                  <a14:compatExt spid="_x0000_s4126759"/>
                </a:ext>
                <a:ext uri="{FF2B5EF4-FFF2-40B4-BE49-F238E27FC236}">
                  <a16:creationId xmlns:a16="http://schemas.microsoft.com/office/drawing/2014/main" id="{00000000-0008-0000-0E00-00002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25</xdr:row>
          <xdr:rowOff>373380</xdr:rowOff>
        </xdr:from>
        <xdr:to>
          <xdr:col>108</xdr:col>
          <xdr:colOff>38100</xdr:colOff>
          <xdr:row>26</xdr:row>
          <xdr:rowOff>38100</xdr:rowOff>
        </xdr:to>
        <xdr:sp macro="" textlink="">
          <xdr:nvSpPr>
            <xdr:cNvPr id="4126760" name="GB721" hidden="1">
              <a:extLst>
                <a:ext uri="{63B3BB69-23CF-44E3-9099-C40C66FF867C}">
                  <a14:compatExt spid="_x0000_s4126760"/>
                </a:ext>
                <a:ext uri="{FF2B5EF4-FFF2-40B4-BE49-F238E27FC236}">
                  <a16:creationId xmlns:a16="http://schemas.microsoft.com/office/drawing/2014/main" id="{00000000-0008-0000-0E00-00002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GB421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26</xdr:row>
          <xdr:rowOff>617220</xdr:rowOff>
        </xdr:from>
        <xdr:to>
          <xdr:col>103</xdr:col>
          <xdr:colOff>99060</xdr:colOff>
          <xdr:row>26</xdr:row>
          <xdr:rowOff>693420</xdr:rowOff>
        </xdr:to>
        <xdr:sp macro="" textlink="">
          <xdr:nvSpPr>
            <xdr:cNvPr id="4126761" name="Option Button 41" hidden="1">
              <a:extLst>
                <a:ext uri="{63B3BB69-23CF-44E3-9099-C40C66FF867C}">
                  <a14:compatExt spid="_x0000_s4126761"/>
                </a:ext>
                <a:ext uri="{FF2B5EF4-FFF2-40B4-BE49-F238E27FC236}">
                  <a16:creationId xmlns:a16="http://schemas.microsoft.com/office/drawing/2014/main" id="{00000000-0008-0000-0E00-00002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26</xdr:row>
          <xdr:rowOff>617220</xdr:rowOff>
        </xdr:from>
        <xdr:to>
          <xdr:col>103</xdr:col>
          <xdr:colOff>99060</xdr:colOff>
          <xdr:row>26</xdr:row>
          <xdr:rowOff>693420</xdr:rowOff>
        </xdr:to>
        <xdr:sp macro="" textlink="">
          <xdr:nvSpPr>
            <xdr:cNvPr id="4126762" name="Option Button 42" hidden="1">
              <a:extLst>
                <a:ext uri="{63B3BB69-23CF-44E3-9099-C40C66FF867C}">
                  <a14:compatExt spid="_x0000_s4126762"/>
                </a:ext>
                <a:ext uri="{FF2B5EF4-FFF2-40B4-BE49-F238E27FC236}">
                  <a16:creationId xmlns:a16="http://schemas.microsoft.com/office/drawing/2014/main" id="{00000000-0008-0000-0E00-00002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26</xdr:row>
          <xdr:rowOff>617220</xdr:rowOff>
        </xdr:from>
        <xdr:to>
          <xdr:col>103</xdr:col>
          <xdr:colOff>7620</xdr:colOff>
          <xdr:row>26</xdr:row>
          <xdr:rowOff>693420</xdr:rowOff>
        </xdr:to>
        <xdr:sp macro="" textlink="">
          <xdr:nvSpPr>
            <xdr:cNvPr id="4126763" name="Option Button 43" hidden="1">
              <a:extLst>
                <a:ext uri="{63B3BB69-23CF-44E3-9099-C40C66FF867C}">
                  <a14:compatExt spid="_x0000_s4126763"/>
                </a:ext>
                <a:ext uri="{FF2B5EF4-FFF2-40B4-BE49-F238E27FC236}">
                  <a16:creationId xmlns:a16="http://schemas.microsoft.com/office/drawing/2014/main" id="{00000000-0008-0000-0E00-00002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26</xdr:row>
          <xdr:rowOff>342900</xdr:rowOff>
        </xdr:from>
        <xdr:to>
          <xdr:col>108</xdr:col>
          <xdr:colOff>38100</xdr:colOff>
          <xdr:row>26</xdr:row>
          <xdr:rowOff>693420</xdr:rowOff>
        </xdr:to>
        <xdr:sp macro="" textlink="">
          <xdr:nvSpPr>
            <xdr:cNvPr id="4126764" name="GB722" hidden="1">
              <a:extLst>
                <a:ext uri="{63B3BB69-23CF-44E3-9099-C40C66FF867C}">
                  <a14:compatExt spid="_x0000_s4126764"/>
                </a:ext>
                <a:ext uri="{FF2B5EF4-FFF2-40B4-BE49-F238E27FC236}">
                  <a16:creationId xmlns:a16="http://schemas.microsoft.com/office/drawing/2014/main" id="{00000000-0008-0000-0E00-00002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30</xdr:row>
          <xdr:rowOff>381000</xdr:rowOff>
        </xdr:from>
        <xdr:to>
          <xdr:col>103</xdr:col>
          <xdr:colOff>99060</xdr:colOff>
          <xdr:row>30</xdr:row>
          <xdr:rowOff>632460</xdr:rowOff>
        </xdr:to>
        <xdr:sp macro="" textlink="">
          <xdr:nvSpPr>
            <xdr:cNvPr id="4126765" name="Option Button 45" hidden="1">
              <a:extLst>
                <a:ext uri="{63B3BB69-23CF-44E3-9099-C40C66FF867C}">
                  <a14:compatExt spid="_x0000_s4126765"/>
                </a:ext>
                <a:ext uri="{FF2B5EF4-FFF2-40B4-BE49-F238E27FC236}">
                  <a16:creationId xmlns:a16="http://schemas.microsoft.com/office/drawing/2014/main" id="{00000000-0008-0000-0E00-00002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30</xdr:row>
          <xdr:rowOff>381000</xdr:rowOff>
        </xdr:from>
        <xdr:to>
          <xdr:col>103</xdr:col>
          <xdr:colOff>99060</xdr:colOff>
          <xdr:row>30</xdr:row>
          <xdr:rowOff>632460</xdr:rowOff>
        </xdr:to>
        <xdr:sp macro="" textlink="">
          <xdr:nvSpPr>
            <xdr:cNvPr id="4126766" name="Option Button 46" hidden="1">
              <a:extLst>
                <a:ext uri="{63B3BB69-23CF-44E3-9099-C40C66FF867C}">
                  <a14:compatExt spid="_x0000_s4126766"/>
                </a:ext>
                <a:ext uri="{FF2B5EF4-FFF2-40B4-BE49-F238E27FC236}">
                  <a16:creationId xmlns:a16="http://schemas.microsoft.com/office/drawing/2014/main" id="{00000000-0008-0000-0E00-00002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30</xdr:row>
          <xdr:rowOff>381000</xdr:rowOff>
        </xdr:from>
        <xdr:to>
          <xdr:col>103</xdr:col>
          <xdr:colOff>7620</xdr:colOff>
          <xdr:row>30</xdr:row>
          <xdr:rowOff>632460</xdr:rowOff>
        </xdr:to>
        <xdr:sp macro="" textlink="">
          <xdr:nvSpPr>
            <xdr:cNvPr id="4126767" name="Option Button 47" hidden="1">
              <a:extLst>
                <a:ext uri="{63B3BB69-23CF-44E3-9099-C40C66FF867C}">
                  <a14:compatExt spid="_x0000_s4126767"/>
                </a:ext>
                <a:ext uri="{FF2B5EF4-FFF2-40B4-BE49-F238E27FC236}">
                  <a16:creationId xmlns:a16="http://schemas.microsoft.com/office/drawing/2014/main" id="{00000000-0008-0000-0E00-00002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30</xdr:row>
          <xdr:rowOff>106680</xdr:rowOff>
        </xdr:from>
        <xdr:to>
          <xdr:col>108</xdr:col>
          <xdr:colOff>76200</xdr:colOff>
          <xdr:row>31</xdr:row>
          <xdr:rowOff>167640</xdr:rowOff>
        </xdr:to>
        <xdr:sp macro="" textlink="">
          <xdr:nvSpPr>
            <xdr:cNvPr id="4126768" name="GB821" hidden="1">
              <a:extLst>
                <a:ext uri="{63B3BB69-23CF-44E3-9099-C40C66FF867C}">
                  <a14:compatExt spid="_x0000_s4126768"/>
                </a:ext>
                <a:ext uri="{FF2B5EF4-FFF2-40B4-BE49-F238E27FC236}">
                  <a16:creationId xmlns:a16="http://schemas.microsoft.com/office/drawing/2014/main" id="{00000000-0008-0000-0E00-00003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GB821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34</xdr:row>
          <xdr:rowOff>236220</xdr:rowOff>
        </xdr:from>
        <xdr:to>
          <xdr:col>103</xdr:col>
          <xdr:colOff>99060</xdr:colOff>
          <xdr:row>35</xdr:row>
          <xdr:rowOff>0</xdr:rowOff>
        </xdr:to>
        <xdr:sp macro="" textlink="">
          <xdr:nvSpPr>
            <xdr:cNvPr id="4126769" name="Option Button 49" hidden="1">
              <a:extLst>
                <a:ext uri="{63B3BB69-23CF-44E3-9099-C40C66FF867C}">
                  <a14:compatExt spid="_x0000_s4126769"/>
                </a:ext>
                <a:ext uri="{FF2B5EF4-FFF2-40B4-BE49-F238E27FC236}">
                  <a16:creationId xmlns:a16="http://schemas.microsoft.com/office/drawing/2014/main" id="{00000000-0008-0000-0E00-00003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34</xdr:row>
          <xdr:rowOff>236220</xdr:rowOff>
        </xdr:from>
        <xdr:to>
          <xdr:col>103</xdr:col>
          <xdr:colOff>99060</xdr:colOff>
          <xdr:row>35</xdr:row>
          <xdr:rowOff>0</xdr:rowOff>
        </xdr:to>
        <xdr:sp macro="" textlink="">
          <xdr:nvSpPr>
            <xdr:cNvPr id="4126770" name="Option Button 50" hidden="1">
              <a:extLst>
                <a:ext uri="{63B3BB69-23CF-44E3-9099-C40C66FF867C}">
                  <a14:compatExt spid="_x0000_s4126770"/>
                </a:ext>
                <a:ext uri="{FF2B5EF4-FFF2-40B4-BE49-F238E27FC236}">
                  <a16:creationId xmlns:a16="http://schemas.microsoft.com/office/drawing/2014/main" id="{00000000-0008-0000-0E00-00003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34</xdr:row>
          <xdr:rowOff>236220</xdr:rowOff>
        </xdr:from>
        <xdr:to>
          <xdr:col>103</xdr:col>
          <xdr:colOff>7620</xdr:colOff>
          <xdr:row>35</xdr:row>
          <xdr:rowOff>0</xdr:rowOff>
        </xdr:to>
        <xdr:sp macro="" textlink="">
          <xdr:nvSpPr>
            <xdr:cNvPr id="4126771" name="Option Button 51" hidden="1">
              <a:extLst>
                <a:ext uri="{63B3BB69-23CF-44E3-9099-C40C66FF867C}">
                  <a14:compatExt spid="_x0000_s4126771"/>
                </a:ext>
                <a:ext uri="{FF2B5EF4-FFF2-40B4-BE49-F238E27FC236}">
                  <a16:creationId xmlns:a16="http://schemas.microsoft.com/office/drawing/2014/main" id="{00000000-0008-0000-0E00-00003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34</xdr:row>
          <xdr:rowOff>175260</xdr:rowOff>
        </xdr:from>
        <xdr:to>
          <xdr:col>108</xdr:col>
          <xdr:colOff>38100</xdr:colOff>
          <xdr:row>35</xdr:row>
          <xdr:rowOff>7620</xdr:rowOff>
        </xdr:to>
        <xdr:sp macro="" textlink="">
          <xdr:nvSpPr>
            <xdr:cNvPr id="4126772" name="GB822" hidden="1">
              <a:extLst>
                <a:ext uri="{63B3BB69-23CF-44E3-9099-C40C66FF867C}">
                  <a14:compatExt spid="_x0000_s4126772"/>
                </a:ext>
                <a:ext uri="{FF2B5EF4-FFF2-40B4-BE49-F238E27FC236}">
                  <a16:creationId xmlns:a16="http://schemas.microsoft.com/office/drawing/2014/main" id="{00000000-0008-0000-0E00-00003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GB822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46</xdr:row>
          <xdr:rowOff>365760</xdr:rowOff>
        </xdr:from>
        <xdr:to>
          <xdr:col>103</xdr:col>
          <xdr:colOff>99060</xdr:colOff>
          <xdr:row>47</xdr:row>
          <xdr:rowOff>327660</xdr:rowOff>
        </xdr:to>
        <xdr:sp macro="" textlink="">
          <xdr:nvSpPr>
            <xdr:cNvPr id="4126773" name="Option Button 53" hidden="1">
              <a:extLst>
                <a:ext uri="{63B3BB69-23CF-44E3-9099-C40C66FF867C}">
                  <a14:compatExt spid="_x0000_s4126773"/>
                </a:ext>
                <a:ext uri="{FF2B5EF4-FFF2-40B4-BE49-F238E27FC236}">
                  <a16:creationId xmlns:a16="http://schemas.microsoft.com/office/drawing/2014/main" id="{00000000-0008-0000-0E00-00003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46</xdr:row>
          <xdr:rowOff>365760</xdr:rowOff>
        </xdr:from>
        <xdr:to>
          <xdr:col>103</xdr:col>
          <xdr:colOff>99060</xdr:colOff>
          <xdr:row>47</xdr:row>
          <xdr:rowOff>327660</xdr:rowOff>
        </xdr:to>
        <xdr:sp macro="" textlink="">
          <xdr:nvSpPr>
            <xdr:cNvPr id="4126774" name="Option Button 54" hidden="1">
              <a:extLst>
                <a:ext uri="{63B3BB69-23CF-44E3-9099-C40C66FF867C}">
                  <a14:compatExt spid="_x0000_s4126774"/>
                </a:ext>
                <a:ext uri="{FF2B5EF4-FFF2-40B4-BE49-F238E27FC236}">
                  <a16:creationId xmlns:a16="http://schemas.microsoft.com/office/drawing/2014/main" id="{00000000-0008-0000-0E00-00003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46</xdr:row>
          <xdr:rowOff>365760</xdr:rowOff>
        </xdr:from>
        <xdr:to>
          <xdr:col>103</xdr:col>
          <xdr:colOff>7620</xdr:colOff>
          <xdr:row>47</xdr:row>
          <xdr:rowOff>327660</xdr:rowOff>
        </xdr:to>
        <xdr:sp macro="" textlink="">
          <xdr:nvSpPr>
            <xdr:cNvPr id="4126775" name="Option Button 55" hidden="1">
              <a:extLst>
                <a:ext uri="{63B3BB69-23CF-44E3-9099-C40C66FF867C}">
                  <a14:compatExt spid="_x0000_s4126775"/>
                </a:ext>
                <a:ext uri="{FF2B5EF4-FFF2-40B4-BE49-F238E27FC236}">
                  <a16:creationId xmlns:a16="http://schemas.microsoft.com/office/drawing/2014/main" id="{00000000-0008-0000-0E00-00003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46</xdr:row>
          <xdr:rowOff>274320</xdr:rowOff>
        </xdr:from>
        <xdr:to>
          <xdr:col>108</xdr:col>
          <xdr:colOff>38100</xdr:colOff>
          <xdr:row>47</xdr:row>
          <xdr:rowOff>327660</xdr:rowOff>
        </xdr:to>
        <xdr:sp macro="" textlink="">
          <xdr:nvSpPr>
            <xdr:cNvPr id="4126776" name="GB911" hidden="1">
              <a:extLst>
                <a:ext uri="{63B3BB69-23CF-44E3-9099-C40C66FF867C}">
                  <a14:compatExt spid="_x0000_s4126776"/>
                </a:ext>
                <a:ext uri="{FF2B5EF4-FFF2-40B4-BE49-F238E27FC236}">
                  <a16:creationId xmlns:a16="http://schemas.microsoft.com/office/drawing/2014/main" id="{00000000-0008-0000-0E00-00003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GB911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47</xdr:row>
          <xdr:rowOff>304800</xdr:rowOff>
        </xdr:from>
        <xdr:to>
          <xdr:col>103</xdr:col>
          <xdr:colOff>99060</xdr:colOff>
          <xdr:row>47</xdr:row>
          <xdr:rowOff>822960</xdr:rowOff>
        </xdr:to>
        <xdr:sp macro="" textlink="">
          <xdr:nvSpPr>
            <xdr:cNvPr id="4126777" name="Option Button 57" hidden="1">
              <a:extLst>
                <a:ext uri="{63B3BB69-23CF-44E3-9099-C40C66FF867C}">
                  <a14:compatExt spid="_x0000_s4126777"/>
                </a:ext>
                <a:ext uri="{FF2B5EF4-FFF2-40B4-BE49-F238E27FC236}">
                  <a16:creationId xmlns:a16="http://schemas.microsoft.com/office/drawing/2014/main" id="{00000000-0008-0000-0E00-00003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47</xdr:row>
          <xdr:rowOff>304800</xdr:rowOff>
        </xdr:from>
        <xdr:to>
          <xdr:col>103</xdr:col>
          <xdr:colOff>99060</xdr:colOff>
          <xdr:row>47</xdr:row>
          <xdr:rowOff>822960</xdr:rowOff>
        </xdr:to>
        <xdr:sp macro="" textlink="">
          <xdr:nvSpPr>
            <xdr:cNvPr id="4126778" name="Option Button 58" hidden="1">
              <a:extLst>
                <a:ext uri="{63B3BB69-23CF-44E3-9099-C40C66FF867C}">
                  <a14:compatExt spid="_x0000_s4126778"/>
                </a:ext>
                <a:ext uri="{FF2B5EF4-FFF2-40B4-BE49-F238E27FC236}">
                  <a16:creationId xmlns:a16="http://schemas.microsoft.com/office/drawing/2014/main" id="{00000000-0008-0000-0E00-00003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47</xdr:row>
          <xdr:rowOff>304800</xdr:rowOff>
        </xdr:from>
        <xdr:to>
          <xdr:col>103</xdr:col>
          <xdr:colOff>7620</xdr:colOff>
          <xdr:row>47</xdr:row>
          <xdr:rowOff>822960</xdr:rowOff>
        </xdr:to>
        <xdr:sp macro="" textlink="">
          <xdr:nvSpPr>
            <xdr:cNvPr id="4126779" name="Option Button 59" hidden="1">
              <a:extLst>
                <a:ext uri="{63B3BB69-23CF-44E3-9099-C40C66FF867C}">
                  <a14:compatExt spid="_x0000_s4126779"/>
                </a:ext>
                <a:ext uri="{FF2B5EF4-FFF2-40B4-BE49-F238E27FC236}">
                  <a16:creationId xmlns:a16="http://schemas.microsoft.com/office/drawing/2014/main" id="{00000000-0008-0000-0E00-00003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47</xdr:row>
          <xdr:rowOff>160020</xdr:rowOff>
        </xdr:from>
        <xdr:to>
          <xdr:col>108</xdr:col>
          <xdr:colOff>38100</xdr:colOff>
          <xdr:row>47</xdr:row>
          <xdr:rowOff>815340</xdr:rowOff>
        </xdr:to>
        <xdr:sp macro="" textlink="">
          <xdr:nvSpPr>
            <xdr:cNvPr id="4126780" name="GB912" hidden="1">
              <a:extLst>
                <a:ext uri="{63B3BB69-23CF-44E3-9099-C40C66FF867C}">
                  <a14:compatExt spid="_x0000_s4126780"/>
                </a:ext>
                <a:ext uri="{FF2B5EF4-FFF2-40B4-BE49-F238E27FC236}">
                  <a16:creationId xmlns:a16="http://schemas.microsoft.com/office/drawing/2014/main" id="{00000000-0008-0000-0E00-00003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GB912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259080</xdr:colOff>
          <xdr:row>48</xdr:row>
          <xdr:rowOff>342900</xdr:rowOff>
        </xdr:from>
        <xdr:to>
          <xdr:col>103</xdr:col>
          <xdr:colOff>106680</xdr:colOff>
          <xdr:row>48</xdr:row>
          <xdr:rowOff>952500</xdr:rowOff>
        </xdr:to>
        <xdr:sp macro="" textlink="">
          <xdr:nvSpPr>
            <xdr:cNvPr id="4126781" name="Option Button 61" hidden="1">
              <a:extLst>
                <a:ext uri="{63B3BB69-23CF-44E3-9099-C40C66FF867C}">
                  <a14:compatExt spid="_x0000_s4126781"/>
                </a:ext>
                <a:ext uri="{FF2B5EF4-FFF2-40B4-BE49-F238E27FC236}">
                  <a16:creationId xmlns:a16="http://schemas.microsoft.com/office/drawing/2014/main" id="{00000000-0008-0000-0E00-00003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48</xdr:row>
          <xdr:rowOff>342900</xdr:rowOff>
        </xdr:from>
        <xdr:to>
          <xdr:col>103</xdr:col>
          <xdr:colOff>99060</xdr:colOff>
          <xdr:row>48</xdr:row>
          <xdr:rowOff>952500</xdr:rowOff>
        </xdr:to>
        <xdr:sp macro="" textlink="">
          <xdr:nvSpPr>
            <xdr:cNvPr id="4126782" name="Option Button 62" hidden="1">
              <a:extLst>
                <a:ext uri="{63B3BB69-23CF-44E3-9099-C40C66FF867C}">
                  <a14:compatExt spid="_x0000_s4126782"/>
                </a:ext>
                <a:ext uri="{FF2B5EF4-FFF2-40B4-BE49-F238E27FC236}">
                  <a16:creationId xmlns:a16="http://schemas.microsoft.com/office/drawing/2014/main" id="{00000000-0008-0000-0E00-00003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48</xdr:row>
          <xdr:rowOff>342900</xdr:rowOff>
        </xdr:from>
        <xdr:to>
          <xdr:col>103</xdr:col>
          <xdr:colOff>7620</xdr:colOff>
          <xdr:row>48</xdr:row>
          <xdr:rowOff>952500</xdr:rowOff>
        </xdr:to>
        <xdr:sp macro="" textlink="">
          <xdr:nvSpPr>
            <xdr:cNvPr id="4126783" name="Option Button 63" hidden="1">
              <a:extLst>
                <a:ext uri="{63B3BB69-23CF-44E3-9099-C40C66FF867C}">
                  <a14:compatExt spid="_x0000_s4126783"/>
                </a:ext>
                <a:ext uri="{FF2B5EF4-FFF2-40B4-BE49-F238E27FC236}">
                  <a16:creationId xmlns:a16="http://schemas.microsoft.com/office/drawing/2014/main" id="{00000000-0008-0000-0E00-00003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48</xdr:row>
          <xdr:rowOff>236220</xdr:rowOff>
        </xdr:from>
        <xdr:to>
          <xdr:col>108</xdr:col>
          <xdr:colOff>38100</xdr:colOff>
          <xdr:row>48</xdr:row>
          <xdr:rowOff>952500</xdr:rowOff>
        </xdr:to>
        <xdr:sp macro="" textlink="">
          <xdr:nvSpPr>
            <xdr:cNvPr id="4126784" name="GB913" hidden="1">
              <a:extLst>
                <a:ext uri="{63B3BB69-23CF-44E3-9099-C40C66FF867C}">
                  <a14:compatExt spid="_x0000_s4126784"/>
                </a:ext>
                <a:ext uri="{FF2B5EF4-FFF2-40B4-BE49-F238E27FC236}">
                  <a16:creationId xmlns:a16="http://schemas.microsoft.com/office/drawing/2014/main" id="{00000000-0008-0000-0E00-00004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GB913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49</xdr:row>
          <xdr:rowOff>754380</xdr:rowOff>
        </xdr:from>
        <xdr:to>
          <xdr:col>103</xdr:col>
          <xdr:colOff>99060</xdr:colOff>
          <xdr:row>50</xdr:row>
          <xdr:rowOff>632460</xdr:rowOff>
        </xdr:to>
        <xdr:sp macro="" textlink="">
          <xdr:nvSpPr>
            <xdr:cNvPr id="4126785" name="Option Button 65" hidden="1">
              <a:extLst>
                <a:ext uri="{63B3BB69-23CF-44E3-9099-C40C66FF867C}">
                  <a14:compatExt spid="_x0000_s4126785"/>
                </a:ext>
                <a:ext uri="{FF2B5EF4-FFF2-40B4-BE49-F238E27FC236}">
                  <a16:creationId xmlns:a16="http://schemas.microsoft.com/office/drawing/2014/main" id="{00000000-0008-0000-0E00-00004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49</xdr:row>
          <xdr:rowOff>754380</xdr:rowOff>
        </xdr:from>
        <xdr:to>
          <xdr:col>103</xdr:col>
          <xdr:colOff>99060</xdr:colOff>
          <xdr:row>50</xdr:row>
          <xdr:rowOff>632460</xdr:rowOff>
        </xdr:to>
        <xdr:sp macro="" textlink="">
          <xdr:nvSpPr>
            <xdr:cNvPr id="4126786" name="Option Button 66" hidden="1">
              <a:extLst>
                <a:ext uri="{63B3BB69-23CF-44E3-9099-C40C66FF867C}">
                  <a14:compatExt spid="_x0000_s4126786"/>
                </a:ext>
                <a:ext uri="{FF2B5EF4-FFF2-40B4-BE49-F238E27FC236}">
                  <a16:creationId xmlns:a16="http://schemas.microsoft.com/office/drawing/2014/main" id="{00000000-0008-0000-0E00-00004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49</xdr:row>
          <xdr:rowOff>754380</xdr:rowOff>
        </xdr:from>
        <xdr:to>
          <xdr:col>103</xdr:col>
          <xdr:colOff>7620</xdr:colOff>
          <xdr:row>50</xdr:row>
          <xdr:rowOff>632460</xdr:rowOff>
        </xdr:to>
        <xdr:sp macro="" textlink="">
          <xdr:nvSpPr>
            <xdr:cNvPr id="4126787" name="Option Button 67" hidden="1">
              <a:extLst>
                <a:ext uri="{63B3BB69-23CF-44E3-9099-C40C66FF867C}">
                  <a14:compatExt spid="_x0000_s4126787"/>
                </a:ext>
                <a:ext uri="{FF2B5EF4-FFF2-40B4-BE49-F238E27FC236}">
                  <a16:creationId xmlns:a16="http://schemas.microsoft.com/office/drawing/2014/main" id="{00000000-0008-0000-0E00-00004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49</xdr:row>
          <xdr:rowOff>632460</xdr:rowOff>
        </xdr:from>
        <xdr:to>
          <xdr:col>108</xdr:col>
          <xdr:colOff>38100</xdr:colOff>
          <xdr:row>52</xdr:row>
          <xdr:rowOff>76200</xdr:rowOff>
        </xdr:to>
        <xdr:sp macro="" textlink="">
          <xdr:nvSpPr>
            <xdr:cNvPr id="4126788" name="GB914" hidden="1">
              <a:extLst>
                <a:ext uri="{63B3BB69-23CF-44E3-9099-C40C66FF867C}">
                  <a14:compatExt spid="_x0000_s4126788"/>
                </a:ext>
                <a:ext uri="{FF2B5EF4-FFF2-40B4-BE49-F238E27FC236}">
                  <a16:creationId xmlns:a16="http://schemas.microsoft.com/office/drawing/2014/main" id="{00000000-0008-0000-0E00-00004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GB914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50</xdr:row>
          <xdr:rowOff>876300</xdr:rowOff>
        </xdr:from>
        <xdr:to>
          <xdr:col>103</xdr:col>
          <xdr:colOff>99060</xdr:colOff>
          <xdr:row>52</xdr:row>
          <xdr:rowOff>121920</xdr:rowOff>
        </xdr:to>
        <xdr:sp macro="" textlink="">
          <xdr:nvSpPr>
            <xdr:cNvPr id="4126789" name="Option Button 69" hidden="1">
              <a:extLst>
                <a:ext uri="{63B3BB69-23CF-44E3-9099-C40C66FF867C}">
                  <a14:compatExt spid="_x0000_s4126789"/>
                </a:ext>
                <a:ext uri="{FF2B5EF4-FFF2-40B4-BE49-F238E27FC236}">
                  <a16:creationId xmlns:a16="http://schemas.microsoft.com/office/drawing/2014/main" id="{00000000-0008-0000-0E00-00004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50</xdr:row>
          <xdr:rowOff>876300</xdr:rowOff>
        </xdr:from>
        <xdr:to>
          <xdr:col>103</xdr:col>
          <xdr:colOff>99060</xdr:colOff>
          <xdr:row>52</xdr:row>
          <xdr:rowOff>121920</xdr:rowOff>
        </xdr:to>
        <xdr:sp macro="" textlink="">
          <xdr:nvSpPr>
            <xdr:cNvPr id="4126790" name="Option Button 70" hidden="1">
              <a:extLst>
                <a:ext uri="{63B3BB69-23CF-44E3-9099-C40C66FF867C}">
                  <a14:compatExt spid="_x0000_s4126790"/>
                </a:ext>
                <a:ext uri="{FF2B5EF4-FFF2-40B4-BE49-F238E27FC236}">
                  <a16:creationId xmlns:a16="http://schemas.microsoft.com/office/drawing/2014/main" id="{00000000-0008-0000-0E00-00004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50</xdr:row>
          <xdr:rowOff>876300</xdr:rowOff>
        </xdr:from>
        <xdr:to>
          <xdr:col>103</xdr:col>
          <xdr:colOff>7620</xdr:colOff>
          <xdr:row>52</xdr:row>
          <xdr:rowOff>121920</xdr:rowOff>
        </xdr:to>
        <xdr:sp macro="" textlink="">
          <xdr:nvSpPr>
            <xdr:cNvPr id="4126791" name="Option Button 71" hidden="1">
              <a:extLst>
                <a:ext uri="{63B3BB69-23CF-44E3-9099-C40C66FF867C}">
                  <a14:compatExt spid="_x0000_s4126791"/>
                </a:ext>
                <a:ext uri="{FF2B5EF4-FFF2-40B4-BE49-F238E27FC236}">
                  <a16:creationId xmlns:a16="http://schemas.microsoft.com/office/drawing/2014/main" id="{00000000-0008-0000-0E00-00004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50</xdr:row>
          <xdr:rowOff>754380</xdr:rowOff>
        </xdr:from>
        <xdr:to>
          <xdr:col>108</xdr:col>
          <xdr:colOff>38100</xdr:colOff>
          <xdr:row>52</xdr:row>
          <xdr:rowOff>175260</xdr:rowOff>
        </xdr:to>
        <xdr:sp macro="" textlink="">
          <xdr:nvSpPr>
            <xdr:cNvPr id="4126792" name="GB921" hidden="1">
              <a:extLst>
                <a:ext uri="{63B3BB69-23CF-44E3-9099-C40C66FF867C}">
                  <a14:compatExt spid="_x0000_s4126792"/>
                </a:ext>
                <a:ext uri="{FF2B5EF4-FFF2-40B4-BE49-F238E27FC236}">
                  <a16:creationId xmlns:a16="http://schemas.microsoft.com/office/drawing/2014/main" id="{00000000-0008-0000-0E00-00004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GB921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51</xdr:row>
          <xdr:rowOff>670560</xdr:rowOff>
        </xdr:from>
        <xdr:to>
          <xdr:col>103</xdr:col>
          <xdr:colOff>99060</xdr:colOff>
          <xdr:row>52</xdr:row>
          <xdr:rowOff>251460</xdr:rowOff>
        </xdr:to>
        <xdr:sp macro="" textlink="">
          <xdr:nvSpPr>
            <xdr:cNvPr id="4126793" name="Option Button 73" hidden="1">
              <a:extLst>
                <a:ext uri="{63B3BB69-23CF-44E3-9099-C40C66FF867C}">
                  <a14:compatExt spid="_x0000_s4126793"/>
                </a:ext>
                <a:ext uri="{FF2B5EF4-FFF2-40B4-BE49-F238E27FC236}">
                  <a16:creationId xmlns:a16="http://schemas.microsoft.com/office/drawing/2014/main" id="{00000000-0008-0000-0E00-00004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51</xdr:row>
          <xdr:rowOff>670560</xdr:rowOff>
        </xdr:from>
        <xdr:to>
          <xdr:col>103</xdr:col>
          <xdr:colOff>99060</xdr:colOff>
          <xdr:row>52</xdr:row>
          <xdr:rowOff>251460</xdr:rowOff>
        </xdr:to>
        <xdr:sp macro="" textlink="">
          <xdr:nvSpPr>
            <xdr:cNvPr id="4126794" name="Option Button 74" hidden="1">
              <a:extLst>
                <a:ext uri="{63B3BB69-23CF-44E3-9099-C40C66FF867C}">
                  <a14:compatExt spid="_x0000_s4126794"/>
                </a:ext>
                <a:ext uri="{FF2B5EF4-FFF2-40B4-BE49-F238E27FC236}">
                  <a16:creationId xmlns:a16="http://schemas.microsoft.com/office/drawing/2014/main" id="{00000000-0008-0000-0E00-00004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51</xdr:row>
          <xdr:rowOff>670560</xdr:rowOff>
        </xdr:from>
        <xdr:to>
          <xdr:col>103</xdr:col>
          <xdr:colOff>7620</xdr:colOff>
          <xdr:row>52</xdr:row>
          <xdr:rowOff>251460</xdr:rowOff>
        </xdr:to>
        <xdr:sp macro="" textlink="">
          <xdr:nvSpPr>
            <xdr:cNvPr id="4126795" name="Option Button 75" hidden="1">
              <a:extLst>
                <a:ext uri="{63B3BB69-23CF-44E3-9099-C40C66FF867C}">
                  <a14:compatExt spid="_x0000_s4126795"/>
                </a:ext>
                <a:ext uri="{FF2B5EF4-FFF2-40B4-BE49-F238E27FC236}">
                  <a16:creationId xmlns:a16="http://schemas.microsoft.com/office/drawing/2014/main" id="{00000000-0008-0000-0E00-00004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51</xdr:row>
          <xdr:rowOff>563880</xdr:rowOff>
        </xdr:from>
        <xdr:to>
          <xdr:col>108</xdr:col>
          <xdr:colOff>38100</xdr:colOff>
          <xdr:row>54</xdr:row>
          <xdr:rowOff>213360</xdr:rowOff>
        </xdr:to>
        <xdr:sp macro="" textlink="">
          <xdr:nvSpPr>
            <xdr:cNvPr id="4126796" name="GB1112" hidden="1">
              <a:extLst>
                <a:ext uri="{63B3BB69-23CF-44E3-9099-C40C66FF867C}">
                  <a14:compatExt spid="_x0000_s4126796"/>
                </a:ext>
                <a:ext uri="{FF2B5EF4-FFF2-40B4-BE49-F238E27FC236}">
                  <a16:creationId xmlns:a16="http://schemas.microsoft.com/office/drawing/2014/main" id="{00000000-0008-0000-0E00-00004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55</xdr:row>
          <xdr:rowOff>579120</xdr:rowOff>
        </xdr:from>
        <xdr:to>
          <xdr:col>103</xdr:col>
          <xdr:colOff>99060</xdr:colOff>
          <xdr:row>56</xdr:row>
          <xdr:rowOff>7620</xdr:rowOff>
        </xdr:to>
        <xdr:sp macro="" textlink="">
          <xdr:nvSpPr>
            <xdr:cNvPr id="4126797" name="Option Button 77" hidden="1">
              <a:extLst>
                <a:ext uri="{63B3BB69-23CF-44E3-9099-C40C66FF867C}">
                  <a14:compatExt spid="_x0000_s4126797"/>
                </a:ext>
                <a:ext uri="{FF2B5EF4-FFF2-40B4-BE49-F238E27FC236}">
                  <a16:creationId xmlns:a16="http://schemas.microsoft.com/office/drawing/2014/main" id="{00000000-0008-0000-0E00-00004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55</xdr:row>
          <xdr:rowOff>579120</xdr:rowOff>
        </xdr:from>
        <xdr:to>
          <xdr:col>103</xdr:col>
          <xdr:colOff>99060</xdr:colOff>
          <xdr:row>56</xdr:row>
          <xdr:rowOff>7620</xdr:rowOff>
        </xdr:to>
        <xdr:sp macro="" textlink="">
          <xdr:nvSpPr>
            <xdr:cNvPr id="4126798" name="Option Button 78" hidden="1">
              <a:extLst>
                <a:ext uri="{63B3BB69-23CF-44E3-9099-C40C66FF867C}">
                  <a14:compatExt spid="_x0000_s4126798"/>
                </a:ext>
                <a:ext uri="{FF2B5EF4-FFF2-40B4-BE49-F238E27FC236}">
                  <a16:creationId xmlns:a16="http://schemas.microsoft.com/office/drawing/2014/main" id="{00000000-0008-0000-0E00-00004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55</xdr:row>
          <xdr:rowOff>579120</xdr:rowOff>
        </xdr:from>
        <xdr:to>
          <xdr:col>103</xdr:col>
          <xdr:colOff>7620</xdr:colOff>
          <xdr:row>56</xdr:row>
          <xdr:rowOff>7620</xdr:rowOff>
        </xdr:to>
        <xdr:sp macro="" textlink="">
          <xdr:nvSpPr>
            <xdr:cNvPr id="4126799" name="Option Button 79" hidden="1">
              <a:extLst>
                <a:ext uri="{63B3BB69-23CF-44E3-9099-C40C66FF867C}">
                  <a14:compatExt spid="_x0000_s4126799"/>
                </a:ext>
                <a:ext uri="{FF2B5EF4-FFF2-40B4-BE49-F238E27FC236}">
                  <a16:creationId xmlns:a16="http://schemas.microsoft.com/office/drawing/2014/main" id="{00000000-0008-0000-0E00-00004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55</xdr:row>
          <xdr:rowOff>510540</xdr:rowOff>
        </xdr:from>
        <xdr:to>
          <xdr:col>108</xdr:col>
          <xdr:colOff>38100</xdr:colOff>
          <xdr:row>57</xdr:row>
          <xdr:rowOff>274320</xdr:rowOff>
        </xdr:to>
        <xdr:sp macro="" textlink="">
          <xdr:nvSpPr>
            <xdr:cNvPr id="4126800" name="GB1141" hidden="1">
              <a:extLst>
                <a:ext uri="{63B3BB69-23CF-44E3-9099-C40C66FF867C}">
                  <a14:compatExt spid="_x0000_s4126800"/>
                </a:ext>
                <a:ext uri="{FF2B5EF4-FFF2-40B4-BE49-F238E27FC236}">
                  <a16:creationId xmlns:a16="http://schemas.microsoft.com/office/drawing/2014/main" id="{00000000-0008-0000-0E00-00005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120</xdr:row>
          <xdr:rowOff>762000</xdr:rowOff>
        </xdr:from>
        <xdr:to>
          <xdr:col>103</xdr:col>
          <xdr:colOff>99060</xdr:colOff>
          <xdr:row>122</xdr:row>
          <xdr:rowOff>236220</xdr:rowOff>
        </xdr:to>
        <xdr:sp macro="" textlink="">
          <xdr:nvSpPr>
            <xdr:cNvPr id="4126801" name="Option Button 81" hidden="1">
              <a:extLst>
                <a:ext uri="{63B3BB69-23CF-44E3-9099-C40C66FF867C}">
                  <a14:compatExt spid="_x0000_s4126801"/>
                </a:ext>
                <a:ext uri="{FF2B5EF4-FFF2-40B4-BE49-F238E27FC236}">
                  <a16:creationId xmlns:a16="http://schemas.microsoft.com/office/drawing/2014/main" id="{00000000-0008-0000-0E00-00005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120</xdr:row>
          <xdr:rowOff>762000</xdr:rowOff>
        </xdr:from>
        <xdr:to>
          <xdr:col>103</xdr:col>
          <xdr:colOff>99060</xdr:colOff>
          <xdr:row>122</xdr:row>
          <xdr:rowOff>236220</xdr:rowOff>
        </xdr:to>
        <xdr:sp macro="" textlink="">
          <xdr:nvSpPr>
            <xdr:cNvPr id="4126802" name="Option Button 82" hidden="1">
              <a:extLst>
                <a:ext uri="{63B3BB69-23CF-44E3-9099-C40C66FF867C}">
                  <a14:compatExt spid="_x0000_s4126802"/>
                </a:ext>
                <a:ext uri="{FF2B5EF4-FFF2-40B4-BE49-F238E27FC236}">
                  <a16:creationId xmlns:a16="http://schemas.microsoft.com/office/drawing/2014/main" id="{00000000-0008-0000-0E00-00005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120</xdr:row>
          <xdr:rowOff>762000</xdr:rowOff>
        </xdr:from>
        <xdr:to>
          <xdr:col>103</xdr:col>
          <xdr:colOff>7620</xdr:colOff>
          <xdr:row>122</xdr:row>
          <xdr:rowOff>236220</xdr:rowOff>
        </xdr:to>
        <xdr:sp macro="" textlink="">
          <xdr:nvSpPr>
            <xdr:cNvPr id="4126803" name="Option Button 83" hidden="1">
              <a:extLst>
                <a:ext uri="{63B3BB69-23CF-44E3-9099-C40C66FF867C}">
                  <a14:compatExt spid="_x0000_s4126803"/>
                </a:ext>
                <a:ext uri="{FF2B5EF4-FFF2-40B4-BE49-F238E27FC236}">
                  <a16:creationId xmlns:a16="http://schemas.microsoft.com/office/drawing/2014/main" id="{00000000-0008-0000-0E00-00005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106680</xdr:colOff>
          <xdr:row>120</xdr:row>
          <xdr:rowOff>609600</xdr:rowOff>
        </xdr:from>
        <xdr:to>
          <xdr:col>108</xdr:col>
          <xdr:colOff>38100</xdr:colOff>
          <xdr:row>122</xdr:row>
          <xdr:rowOff>236220</xdr:rowOff>
        </xdr:to>
        <xdr:sp macro="" textlink="">
          <xdr:nvSpPr>
            <xdr:cNvPr id="4126804" name="GB1211" hidden="1">
              <a:extLst>
                <a:ext uri="{63B3BB69-23CF-44E3-9099-C40C66FF867C}">
                  <a14:compatExt spid="_x0000_s4126804"/>
                </a:ext>
                <a:ext uri="{FF2B5EF4-FFF2-40B4-BE49-F238E27FC236}">
                  <a16:creationId xmlns:a16="http://schemas.microsoft.com/office/drawing/2014/main" id="{00000000-0008-0000-0E00-00005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129</xdr:row>
          <xdr:rowOff>731520</xdr:rowOff>
        </xdr:from>
        <xdr:to>
          <xdr:col>103</xdr:col>
          <xdr:colOff>99060</xdr:colOff>
          <xdr:row>130</xdr:row>
          <xdr:rowOff>609600</xdr:rowOff>
        </xdr:to>
        <xdr:sp macro="" textlink="">
          <xdr:nvSpPr>
            <xdr:cNvPr id="4126805" name="Option Button 85" hidden="1">
              <a:extLst>
                <a:ext uri="{63B3BB69-23CF-44E3-9099-C40C66FF867C}">
                  <a14:compatExt spid="_x0000_s4126805"/>
                </a:ext>
                <a:ext uri="{FF2B5EF4-FFF2-40B4-BE49-F238E27FC236}">
                  <a16:creationId xmlns:a16="http://schemas.microsoft.com/office/drawing/2014/main" id="{00000000-0008-0000-0E00-00005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129</xdr:row>
          <xdr:rowOff>731520</xdr:rowOff>
        </xdr:from>
        <xdr:to>
          <xdr:col>103</xdr:col>
          <xdr:colOff>99060</xdr:colOff>
          <xdr:row>130</xdr:row>
          <xdr:rowOff>609600</xdr:rowOff>
        </xdr:to>
        <xdr:sp macro="" textlink="">
          <xdr:nvSpPr>
            <xdr:cNvPr id="4126806" name="Option Button 86" hidden="1">
              <a:extLst>
                <a:ext uri="{63B3BB69-23CF-44E3-9099-C40C66FF867C}">
                  <a14:compatExt spid="_x0000_s4126806"/>
                </a:ext>
                <a:ext uri="{FF2B5EF4-FFF2-40B4-BE49-F238E27FC236}">
                  <a16:creationId xmlns:a16="http://schemas.microsoft.com/office/drawing/2014/main" id="{00000000-0008-0000-0E00-00005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129</xdr:row>
          <xdr:rowOff>731520</xdr:rowOff>
        </xdr:from>
        <xdr:to>
          <xdr:col>103</xdr:col>
          <xdr:colOff>7620</xdr:colOff>
          <xdr:row>130</xdr:row>
          <xdr:rowOff>609600</xdr:rowOff>
        </xdr:to>
        <xdr:sp macro="" textlink="">
          <xdr:nvSpPr>
            <xdr:cNvPr id="4126807" name="Option Button 87" hidden="1">
              <a:extLst>
                <a:ext uri="{63B3BB69-23CF-44E3-9099-C40C66FF867C}">
                  <a14:compatExt spid="_x0000_s4126807"/>
                </a:ext>
                <a:ext uri="{FF2B5EF4-FFF2-40B4-BE49-F238E27FC236}">
                  <a16:creationId xmlns:a16="http://schemas.microsoft.com/office/drawing/2014/main" id="{00000000-0008-0000-0E00-00005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129</xdr:row>
          <xdr:rowOff>495300</xdr:rowOff>
        </xdr:from>
        <xdr:to>
          <xdr:col>108</xdr:col>
          <xdr:colOff>45720</xdr:colOff>
          <xdr:row>130</xdr:row>
          <xdr:rowOff>609600</xdr:rowOff>
        </xdr:to>
        <xdr:sp macro="" textlink="">
          <xdr:nvSpPr>
            <xdr:cNvPr id="4126808" name="GB1322" hidden="1">
              <a:extLst>
                <a:ext uri="{63B3BB69-23CF-44E3-9099-C40C66FF867C}">
                  <a14:compatExt spid="_x0000_s4126808"/>
                </a:ext>
                <a:ext uri="{FF2B5EF4-FFF2-40B4-BE49-F238E27FC236}">
                  <a16:creationId xmlns:a16="http://schemas.microsoft.com/office/drawing/2014/main" id="{00000000-0008-0000-0E00-000058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142</xdr:row>
          <xdr:rowOff>800100</xdr:rowOff>
        </xdr:from>
        <xdr:to>
          <xdr:col>103</xdr:col>
          <xdr:colOff>99060</xdr:colOff>
          <xdr:row>143</xdr:row>
          <xdr:rowOff>251460</xdr:rowOff>
        </xdr:to>
        <xdr:sp macro="" textlink="">
          <xdr:nvSpPr>
            <xdr:cNvPr id="4126809" name="Option Button 89" hidden="1">
              <a:extLst>
                <a:ext uri="{63B3BB69-23CF-44E3-9099-C40C66FF867C}">
                  <a14:compatExt spid="_x0000_s4126809"/>
                </a:ext>
                <a:ext uri="{FF2B5EF4-FFF2-40B4-BE49-F238E27FC236}">
                  <a16:creationId xmlns:a16="http://schemas.microsoft.com/office/drawing/2014/main" id="{00000000-0008-0000-0E00-00005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142</xdr:row>
          <xdr:rowOff>800100</xdr:rowOff>
        </xdr:from>
        <xdr:to>
          <xdr:col>103</xdr:col>
          <xdr:colOff>99060</xdr:colOff>
          <xdr:row>143</xdr:row>
          <xdr:rowOff>251460</xdr:rowOff>
        </xdr:to>
        <xdr:sp macro="" textlink="">
          <xdr:nvSpPr>
            <xdr:cNvPr id="4126810" name="Option Button 90" hidden="1">
              <a:extLst>
                <a:ext uri="{63B3BB69-23CF-44E3-9099-C40C66FF867C}">
                  <a14:compatExt spid="_x0000_s4126810"/>
                </a:ext>
                <a:ext uri="{FF2B5EF4-FFF2-40B4-BE49-F238E27FC236}">
                  <a16:creationId xmlns:a16="http://schemas.microsoft.com/office/drawing/2014/main" id="{00000000-0008-0000-0E00-00005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142</xdr:row>
          <xdr:rowOff>800100</xdr:rowOff>
        </xdr:from>
        <xdr:to>
          <xdr:col>103</xdr:col>
          <xdr:colOff>7620</xdr:colOff>
          <xdr:row>143</xdr:row>
          <xdr:rowOff>251460</xdr:rowOff>
        </xdr:to>
        <xdr:sp macro="" textlink="">
          <xdr:nvSpPr>
            <xdr:cNvPr id="4126811" name="Option Button 91" hidden="1">
              <a:extLst>
                <a:ext uri="{63B3BB69-23CF-44E3-9099-C40C66FF867C}">
                  <a14:compatExt spid="_x0000_s4126811"/>
                </a:ext>
                <a:ext uri="{FF2B5EF4-FFF2-40B4-BE49-F238E27FC236}">
                  <a16:creationId xmlns:a16="http://schemas.microsoft.com/office/drawing/2014/main" id="{00000000-0008-0000-0E00-00005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142</xdr:row>
          <xdr:rowOff>541020</xdr:rowOff>
        </xdr:from>
        <xdr:to>
          <xdr:col>108</xdr:col>
          <xdr:colOff>38100</xdr:colOff>
          <xdr:row>145</xdr:row>
          <xdr:rowOff>0</xdr:rowOff>
        </xdr:to>
        <xdr:sp macro="" textlink="">
          <xdr:nvSpPr>
            <xdr:cNvPr id="4126812" name="GB1513" hidden="1">
              <a:extLst>
                <a:ext uri="{63B3BB69-23CF-44E3-9099-C40C66FF867C}">
                  <a14:compatExt spid="_x0000_s4126812"/>
                </a:ext>
                <a:ext uri="{FF2B5EF4-FFF2-40B4-BE49-F238E27FC236}">
                  <a16:creationId xmlns:a16="http://schemas.microsoft.com/office/drawing/2014/main" id="{00000000-0008-0000-0E00-00005C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GB1513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144</xdr:row>
          <xdr:rowOff>746760</xdr:rowOff>
        </xdr:from>
        <xdr:to>
          <xdr:col>103</xdr:col>
          <xdr:colOff>99060</xdr:colOff>
          <xdr:row>145</xdr:row>
          <xdr:rowOff>0</xdr:rowOff>
        </xdr:to>
        <xdr:sp macro="" textlink="">
          <xdr:nvSpPr>
            <xdr:cNvPr id="4126813" name="Option Button 93" hidden="1">
              <a:extLst>
                <a:ext uri="{63B3BB69-23CF-44E3-9099-C40C66FF867C}">
                  <a14:compatExt spid="_x0000_s4126813"/>
                </a:ext>
                <a:ext uri="{FF2B5EF4-FFF2-40B4-BE49-F238E27FC236}">
                  <a16:creationId xmlns:a16="http://schemas.microsoft.com/office/drawing/2014/main" id="{00000000-0008-0000-0E00-00005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144</xdr:row>
          <xdr:rowOff>746760</xdr:rowOff>
        </xdr:from>
        <xdr:to>
          <xdr:col>103</xdr:col>
          <xdr:colOff>99060</xdr:colOff>
          <xdr:row>145</xdr:row>
          <xdr:rowOff>0</xdr:rowOff>
        </xdr:to>
        <xdr:sp macro="" textlink="">
          <xdr:nvSpPr>
            <xdr:cNvPr id="4126814" name="Option Button 94" hidden="1">
              <a:extLst>
                <a:ext uri="{63B3BB69-23CF-44E3-9099-C40C66FF867C}">
                  <a14:compatExt spid="_x0000_s4126814"/>
                </a:ext>
                <a:ext uri="{FF2B5EF4-FFF2-40B4-BE49-F238E27FC236}">
                  <a16:creationId xmlns:a16="http://schemas.microsoft.com/office/drawing/2014/main" id="{00000000-0008-0000-0E00-00005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144</xdr:row>
          <xdr:rowOff>746760</xdr:rowOff>
        </xdr:from>
        <xdr:to>
          <xdr:col>103</xdr:col>
          <xdr:colOff>7620</xdr:colOff>
          <xdr:row>145</xdr:row>
          <xdr:rowOff>0</xdr:rowOff>
        </xdr:to>
        <xdr:sp macro="" textlink="">
          <xdr:nvSpPr>
            <xdr:cNvPr id="4126815" name="Option Button 95" hidden="1">
              <a:extLst>
                <a:ext uri="{63B3BB69-23CF-44E3-9099-C40C66FF867C}">
                  <a14:compatExt spid="_x0000_s4126815"/>
                </a:ext>
                <a:ext uri="{FF2B5EF4-FFF2-40B4-BE49-F238E27FC236}">
                  <a16:creationId xmlns:a16="http://schemas.microsoft.com/office/drawing/2014/main" id="{00000000-0008-0000-0E00-00005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144</xdr:row>
          <xdr:rowOff>693420</xdr:rowOff>
        </xdr:from>
        <xdr:to>
          <xdr:col>108</xdr:col>
          <xdr:colOff>38100</xdr:colOff>
          <xdr:row>145</xdr:row>
          <xdr:rowOff>236220</xdr:rowOff>
        </xdr:to>
        <xdr:sp macro="" textlink="">
          <xdr:nvSpPr>
            <xdr:cNvPr id="4126816" name="GB1521" hidden="1">
              <a:extLst>
                <a:ext uri="{63B3BB69-23CF-44E3-9099-C40C66FF867C}">
                  <a14:compatExt spid="_x0000_s4126816"/>
                </a:ext>
                <a:ext uri="{FF2B5EF4-FFF2-40B4-BE49-F238E27FC236}">
                  <a16:creationId xmlns:a16="http://schemas.microsoft.com/office/drawing/2014/main" id="{00000000-0008-0000-0E00-000060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GB1521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154</xdr:row>
          <xdr:rowOff>830580</xdr:rowOff>
        </xdr:from>
        <xdr:to>
          <xdr:col>103</xdr:col>
          <xdr:colOff>99060</xdr:colOff>
          <xdr:row>157</xdr:row>
          <xdr:rowOff>68580</xdr:rowOff>
        </xdr:to>
        <xdr:sp macro="" textlink="">
          <xdr:nvSpPr>
            <xdr:cNvPr id="4126817" name="Option Button 97" hidden="1">
              <a:extLst>
                <a:ext uri="{63B3BB69-23CF-44E3-9099-C40C66FF867C}">
                  <a14:compatExt spid="_x0000_s4126817"/>
                </a:ext>
                <a:ext uri="{FF2B5EF4-FFF2-40B4-BE49-F238E27FC236}">
                  <a16:creationId xmlns:a16="http://schemas.microsoft.com/office/drawing/2014/main" id="{00000000-0008-0000-0E00-00006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236220</xdr:colOff>
          <xdr:row>154</xdr:row>
          <xdr:rowOff>830580</xdr:rowOff>
        </xdr:from>
        <xdr:to>
          <xdr:col>103</xdr:col>
          <xdr:colOff>99060</xdr:colOff>
          <xdr:row>157</xdr:row>
          <xdr:rowOff>68580</xdr:rowOff>
        </xdr:to>
        <xdr:sp macro="" textlink="">
          <xdr:nvSpPr>
            <xdr:cNvPr id="4126818" name="Option Button 98" hidden="1">
              <a:extLst>
                <a:ext uri="{63B3BB69-23CF-44E3-9099-C40C66FF867C}">
                  <a14:compatExt spid="_x0000_s4126818"/>
                </a:ext>
                <a:ext uri="{FF2B5EF4-FFF2-40B4-BE49-F238E27FC236}">
                  <a16:creationId xmlns:a16="http://schemas.microsoft.com/office/drawing/2014/main" id="{00000000-0008-0000-0E00-00006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236220</xdr:colOff>
          <xdr:row>154</xdr:row>
          <xdr:rowOff>830580</xdr:rowOff>
        </xdr:from>
        <xdr:to>
          <xdr:col>103</xdr:col>
          <xdr:colOff>7620</xdr:colOff>
          <xdr:row>157</xdr:row>
          <xdr:rowOff>68580</xdr:rowOff>
        </xdr:to>
        <xdr:sp macro="" textlink="">
          <xdr:nvSpPr>
            <xdr:cNvPr id="4126819" name="Option Button 99" hidden="1">
              <a:extLst>
                <a:ext uri="{63B3BB69-23CF-44E3-9099-C40C66FF867C}">
                  <a14:compatExt spid="_x0000_s4126819"/>
                </a:ext>
                <a:ext uri="{FF2B5EF4-FFF2-40B4-BE49-F238E27FC236}">
                  <a16:creationId xmlns:a16="http://schemas.microsoft.com/office/drawing/2014/main" id="{00000000-0008-0000-0E00-00006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99060</xdr:colOff>
          <xdr:row>154</xdr:row>
          <xdr:rowOff>723900</xdr:rowOff>
        </xdr:from>
        <xdr:to>
          <xdr:col>108</xdr:col>
          <xdr:colOff>38100</xdr:colOff>
          <xdr:row>157</xdr:row>
          <xdr:rowOff>68580</xdr:rowOff>
        </xdr:to>
        <xdr:sp macro="" textlink="">
          <xdr:nvSpPr>
            <xdr:cNvPr id="4126820" name="GB1711" hidden="1">
              <a:extLst>
                <a:ext uri="{63B3BB69-23CF-44E3-9099-C40C66FF867C}">
                  <a14:compatExt spid="_x0000_s4126820"/>
                </a:ext>
                <a:ext uri="{FF2B5EF4-FFF2-40B4-BE49-F238E27FC236}">
                  <a16:creationId xmlns:a16="http://schemas.microsoft.com/office/drawing/2014/main" id="{00000000-0008-0000-0E00-000064F83E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GB1711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18</xdr:row>
          <xdr:rowOff>53340</xdr:rowOff>
        </xdr:from>
        <xdr:to>
          <xdr:col>102</xdr:col>
          <xdr:colOff>274320</xdr:colOff>
          <xdr:row>19</xdr:row>
          <xdr:rowOff>22860</xdr:rowOff>
        </xdr:to>
        <xdr:sp macro="" textlink="">
          <xdr:nvSpPr>
            <xdr:cNvPr id="4126821" name="Check Box 101" hidden="1">
              <a:extLst>
                <a:ext uri="{63B3BB69-23CF-44E3-9099-C40C66FF867C}">
                  <a14:compatExt spid="_x0000_s4126821"/>
                </a:ext>
                <a:ext uri="{FF2B5EF4-FFF2-40B4-BE49-F238E27FC236}">
                  <a16:creationId xmlns:a16="http://schemas.microsoft.com/office/drawing/2014/main" id="{00000000-0008-0000-0E00-00006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38</xdr:row>
          <xdr:rowOff>53340</xdr:rowOff>
        </xdr:from>
        <xdr:to>
          <xdr:col>102</xdr:col>
          <xdr:colOff>274320</xdr:colOff>
          <xdr:row>39</xdr:row>
          <xdr:rowOff>91440</xdr:rowOff>
        </xdr:to>
        <xdr:sp macro="" textlink="">
          <xdr:nvSpPr>
            <xdr:cNvPr id="4126822" name="Check Box 102" hidden="1">
              <a:extLst>
                <a:ext uri="{63B3BB69-23CF-44E3-9099-C40C66FF867C}">
                  <a14:compatExt spid="_x0000_s4126822"/>
                </a:ext>
                <a:ext uri="{FF2B5EF4-FFF2-40B4-BE49-F238E27FC236}">
                  <a16:creationId xmlns:a16="http://schemas.microsoft.com/office/drawing/2014/main" id="{00000000-0008-0000-0E00-00006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11</xdr:row>
          <xdr:rowOff>259080</xdr:rowOff>
        </xdr:from>
        <xdr:to>
          <xdr:col>102</xdr:col>
          <xdr:colOff>274320</xdr:colOff>
          <xdr:row>15</xdr:row>
          <xdr:rowOff>259080</xdr:rowOff>
        </xdr:to>
        <xdr:sp macro="" textlink="">
          <xdr:nvSpPr>
            <xdr:cNvPr id="4126823" name="Check Box 103" hidden="1">
              <a:extLst>
                <a:ext uri="{63B3BB69-23CF-44E3-9099-C40C66FF867C}">
                  <a14:compatExt spid="_x0000_s4126823"/>
                </a:ext>
                <a:ext uri="{FF2B5EF4-FFF2-40B4-BE49-F238E27FC236}">
                  <a16:creationId xmlns:a16="http://schemas.microsoft.com/office/drawing/2014/main" id="{00000000-0008-0000-0E00-00006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14</xdr:row>
          <xdr:rowOff>53340</xdr:rowOff>
        </xdr:from>
        <xdr:to>
          <xdr:col>102</xdr:col>
          <xdr:colOff>274320</xdr:colOff>
          <xdr:row>15</xdr:row>
          <xdr:rowOff>259080</xdr:rowOff>
        </xdr:to>
        <xdr:sp macro="" textlink="">
          <xdr:nvSpPr>
            <xdr:cNvPr id="4126824" name="Check Box 104" hidden="1">
              <a:extLst>
                <a:ext uri="{63B3BB69-23CF-44E3-9099-C40C66FF867C}">
                  <a14:compatExt spid="_x0000_s4126824"/>
                </a:ext>
                <a:ext uri="{FF2B5EF4-FFF2-40B4-BE49-F238E27FC236}">
                  <a16:creationId xmlns:a16="http://schemas.microsoft.com/office/drawing/2014/main" id="{00000000-0008-0000-0E00-00006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13</xdr:row>
          <xdr:rowOff>53340</xdr:rowOff>
        </xdr:from>
        <xdr:to>
          <xdr:col>102</xdr:col>
          <xdr:colOff>274320</xdr:colOff>
          <xdr:row>15</xdr:row>
          <xdr:rowOff>259080</xdr:rowOff>
        </xdr:to>
        <xdr:sp macro="" textlink="">
          <xdr:nvSpPr>
            <xdr:cNvPr id="4126825" name="Check Box 105" hidden="1">
              <a:extLst>
                <a:ext uri="{63B3BB69-23CF-44E3-9099-C40C66FF867C}">
                  <a14:compatExt spid="_x0000_s4126825"/>
                </a:ext>
                <a:ext uri="{FF2B5EF4-FFF2-40B4-BE49-F238E27FC236}">
                  <a16:creationId xmlns:a16="http://schemas.microsoft.com/office/drawing/2014/main" id="{00000000-0008-0000-0E00-00006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91440</xdr:colOff>
          <xdr:row>9</xdr:row>
          <xdr:rowOff>327660</xdr:rowOff>
        </xdr:from>
        <xdr:to>
          <xdr:col>103</xdr:col>
          <xdr:colOff>30480</xdr:colOff>
          <xdr:row>16</xdr:row>
          <xdr:rowOff>30480</xdr:rowOff>
        </xdr:to>
        <xdr:sp macro="" textlink="">
          <xdr:nvSpPr>
            <xdr:cNvPr id="4126826" name="Check Box 106" hidden="1">
              <a:extLst>
                <a:ext uri="{63B3BB69-23CF-44E3-9099-C40C66FF867C}">
                  <a14:compatExt spid="_x0000_s4126826"/>
                </a:ext>
                <a:ext uri="{FF2B5EF4-FFF2-40B4-BE49-F238E27FC236}">
                  <a16:creationId xmlns:a16="http://schemas.microsoft.com/office/drawing/2014/main" id="{00000000-0008-0000-0E00-00006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10</xdr:row>
          <xdr:rowOff>373380</xdr:rowOff>
        </xdr:from>
        <xdr:to>
          <xdr:col>102</xdr:col>
          <xdr:colOff>289560</xdr:colOff>
          <xdr:row>15</xdr:row>
          <xdr:rowOff>259080</xdr:rowOff>
        </xdr:to>
        <xdr:sp macro="" textlink="">
          <xdr:nvSpPr>
            <xdr:cNvPr id="4126827" name="Check Box 107" hidden="1">
              <a:extLst>
                <a:ext uri="{63B3BB69-23CF-44E3-9099-C40C66FF867C}">
                  <a14:compatExt spid="_x0000_s4126827"/>
                </a:ext>
                <a:ext uri="{FF2B5EF4-FFF2-40B4-BE49-F238E27FC236}">
                  <a16:creationId xmlns:a16="http://schemas.microsoft.com/office/drawing/2014/main" id="{00000000-0008-0000-0E00-00006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15</xdr:row>
          <xdr:rowOff>53340</xdr:rowOff>
        </xdr:from>
        <xdr:to>
          <xdr:col>102</xdr:col>
          <xdr:colOff>281940</xdr:colOff>
          <xdr:row>16</xdr:row>
          <xdr:rowOff>30480</xdr:rowOff>
        </xdr:to>
        <xdr:sp macro="" textlink="">
          <xdr:nvSpPr>
            <xdr:cNvPr id="4126828" name="Check Box 108" hidden="1">
              <a:extLst>
                <a:ext uri="{63B3BB69-23CF-44E3-9099-C40C66FF867C}">
                  <a14:compatExt spid="_x0000_s4126828"/>
                </a:ext>
                <a:ext uri="{FF2B5EF4-FFF2-40B4-BE49-F238E27FC236}">
                  <a16:creationId xmlns:a16="http://schemas.microsoft.com/office/drawing/2014/main" id="{00000000-0008-0000-0E00-00006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22</xdr:row>
          <xdr:rowOff>53340</xdr:rowOff>
        </xdr:from>
        <xdr:to>
          <xdr:col>102</xdr:col>
          <xdr:colOff>281940</xdr:colOff>
          <xdr:row>26</xdr:row>
          <xdr:rowOff>708660</xdr:rowOff>
        </xdr:to>
        <xdr:sp macro="" textlink="">
          <xdr:nvSpPr>
            <xdr:cNvPr id="4126829" name="Check Box 109" hidden="1">
              <a:extLst>
                <a:ext uri="{63B3BB69-23CF-44E3-9099-C40C66FF867C}">
                  <a14:compatExt spid="_x0000_s4126829"/>
                </a:ext>
                <a:ext uri="{FF2B5EF4-FFF2-40B4-BE49-F238E27FC236}">
                  <a16:creationId xmlns:a16="http://schemas.microsoft.com/office/drawing/2014/main" id="{00000000-0008-0000-0E00-00006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19</xdr:row>
          <xdr:rowOff>129540</xdr:rowOff>
        </xdr:from>
        <xdr:to>
          <xdr:col>102</xdr:col>
          <xdr:colOff>274320</xdr:colOff>
          <xdr:row>20</xdr:row>
          <xdr:rowOff>114300</xdr:rowOff>
        </xdr:to>
        <xdr:sp macro="" textlink="">
          <xdr:nvSpPr>
            <xdr:cNvPr id="4126830" name="Check Box 110" hidden="1">
              <a:extLst>
                <a:ext uri="{63B3BB69-23CF-44E3-9099-C40C66FF867C}">
                  <a14:compatExt spid="_x0000_s4126830"/>
                </a:ext>
                <a:ext uri="{FF2B5EF4-FFF2-40B4-BE49-F238E27FC236}">
                  <a16:creationId xmlns:a16="http://schemas.microsoft.com/office/drawing/2014/main" id="{00000000-0008-0000-0E00-00006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24</xdr:row>
          <xdr:rowOff>53340</xdr:rowOff>
        </xdr:from>
        <xdr:to>
          <xdr:col>102</xdr:col>
          <xdr:colOff>274320</xdr:colOff>
          <xdr:row>26</xdr:row>
          <xdr:rowOff>548640</xdr:rowOff>
        </xdr:to>
        <xdr:sp macro="" textlink="">
          <xdr:nvSpPr>
            <xdr:cNvPr id="4126831" name="Check Box 111" hidden="1">
              <a:extLst>
                <a:ext uri="{63B3BB69-23CF-44E3-9099-C40C66FF867C}">
                  <a14:compatExt spid="_x0000_s4126831"/>
                </a:ext>
                <a:ext uri="{FF2B5EF4-FFF2-40B4-BE49-F238E27FC236}">
                  <a16:creationId xmlns:a16="http://schemas.microsoft.com/office/drawing/2014/main" id="{00000000-0008-0000-0E00-00006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12</xdr:row>
          <xdr:rowOff>350520</xdr:rowOff>
        </xdr:from>
        <xdr:to>
          <xdr:col>102</xdr:col>
          <xdr:colOff>274320</xdr:colOff>
          <xdr:row>15</xdr:row>
          <xdr:rowOff>251460</xdr:rowOff>
        </xdr:to>
        <xdr:sp macro="" textlink="">
          <xdr:nvSpPr>
            <xdr:cNvPr id="4126832" name="Check Box 112" hidden="1">
              <a:extLst>
                <a:ext uri="{63B3BB69-23CF-44E3-9099-C40C66FF867C}">
                  <a14:compatExt spid="_x0000_s4126832"/>
                </a:ext>
                <a:ext uri="{FF2B5EF4-FFF2-40B4-BE49-F238E27FC236}">
                  <a16:creationId xmlns:a16="http://schemas.microsoft.com/office/drawing/2014/main" id="{00000000-0008-0000-0E00-000070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17</xdr:row>
          <xdr:rowOff>53340</xdr:rowOff>
        </xdr:from>
        <xdr:to>
          <xdr:col>102</xdr:col>
          <xdr:colOff>274320</xdr:colOff>
          <xdr:row>18</xdr:row>
          <xdr:rowOff>22860</xdr:rowOff>
        </xdr:to>
        <xdr:sp macro="" textlink="">
          <xdr:nvSpPr>
            <xdr:cNvPr id="4126833" name="Check Box 113" hidden="1">
              <a:extLst>
                <a:ext uri="{63B3BB69-23CF-44E3-9099-C40C66FF867C}">
                  <a14:compatExt spid="_x0000_s4126833"/>
                </a:ext>
                <a:ext uri="{FF2B5EF4-FFF2-40B4-BE49-F238E27FC236}">
                  <a16:creationId xmlns:a16="http://schemas.microsoft.com/office/drawing/2014/main" id="{00000000-0008-0000-0E00-00007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20</xdr:row>
          <xdr:rowOff>53340</xdr:rowOff>
        </xdr:from>
        <xdr:to>
          <xdr:col>102</xdr:col>
          <xdr:colOff>274320</xdr:colOff>
          <xdr:row>21</xdr:row>
          <xdr:rowOff>22860</xdr:rowOff>
        </xdr:to>
        <xdr:sp macro="" textlink="">
          <xdr:nvSpPr>
            <xdr:cNvPr id="4126834" name="Check Box 114" hidden="1">
              <a:extLst>
                <a:ext uri="{63B3BB69-23CF-44E3-9099-C40C66FF867C}">
                  <a14:compatExt spid="_x0000_s4126834"/>
                </a:ext>
                <a:ext uri="{FF2B5EF4-FFF2-40B4-BE49-F238E27FC236}">
                  <a16:creationId xmlns:a16="http://schemas.microsoft.com/office/drawing/2014/main" id="{00000000-0008-0000-0E00-00007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22</xdr:row>
          <xdr:rowOff>0</xdr:rowOff>
        </xdr:from>
        <xdr:to>
          <xdr:col>102</xdr:col>
          <xdr:colOff>274320</xdr:colOff>
          <xdr:row>23</xdr:row>
          <xdr:rowOff>434340</xdr:rowOff>
        </xdr:to>
        <xdr:sp macro="" textlink="">
          <xdr:nvSpPr>
            <xdr:cNvPr id="4126835" name="Check Box 115" hidden="1">
              <a:extLst>
                <a:ext uri="{63B3BB69-23CF-44E3-9099-C40C66FF867C}">
                  <a14:compatExt spid="_x0000_s4126835"/>
                </a:ext>
                <a:ext uri="{FF2B5EF4-FFF2-40B4-BE49-F238E27FC236}">
                  <a16:creationId xmlns:a16="http://schemas.microsoft.com/office/drawing/2014/main" id="{00000000-0008-0000-0E00-00007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39</xdr:row>
          <xdr:rowOff>53340</xdr:rowOff>
        </xdr:from>
        <xdr:to>
          <xdr:col>102</xdr:col>
          <xdr:colOff>274320</xdr:colOff>
          <xdr:row>40</xdr:row>
          <xdr:rowOff>22860</xdr:rowOff>
        </xdr:to>
        <xdr:sp macro="" textlink="">
          <xdr:nvSpPr>
            <xdr:cNvPr id="4126836" name="Check Box 116" hidden="1">
              <a:extLst>
                <a:ext uri="{63B3BB69-23CF-44E3-9099-C40C66FF867C}">
                  <a14:compatExt spid="_x0000_s4126836"/>
                </a:ext>
                <a:ext uri="{FF2B5EF4-FFF2-40B4-BE49-F238E27FC236}">
                  <a16:creationId xmlns:a16="http://schemas.microsoft.com/office/drawing/2014/main" id="{00000000-0008-0000-0E00-000074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40</xdr:row>
          <xdr:rowOff>53340</xdr:rowOff>
        </xdr:from>
        <xdr:to>
          <xdr:col>102</xdr:col>
          <xdr:colOff>274320</xdr:colOff>
          <xdr:row>41</xdr:row>
          <xdr:rowOff>152400</xdr:rowOff>
        </xdr:to>
        <xdr:sp macro="" textlink="">
          <xdr:nvSpPr>
            <xdr:cNvPr id="4126837" name="Check Box 117" hidden="1">
              <a:extLst>
                <a:ext uri="{63B3BB69-23CF-44E3-9099-C40C66FF867C}">
                  <a14:compatExt spid="_x0000_s4126837"/>
                </a:ext>
                <a:ext uri="{FF2B5EF4-FFF2-40B4-BE49-F238E27FC236}">
                  <a16:creationId xmlns:a16="http://schemas.microsoft.com/office/drawing/2014/main" id="{00000000-0008-0000-0E00-00007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41</xdr:row>
          <xdr:rowOff>53340</xdr:rowOff>
        </xdr:from>
        <xdr:to>
          <xdr:col>102</xdr:col>
          <xdr:colOff>274320</xdr:colOff>
          <xdr:row>42</xdr:row>
          <xdr:rowOff>68580</xdr:rowOff>
        </xdr:to>
        <xdr:sp macro="" textlink="">
          <xdr:nvSpPr>
            <xdr:cNvPr id="4126838" name="Check Box 118" hidden="1">
              <a:extLst>
                <a:ext uri="{63B3BB69-23CF-44E3-9099-C40C66FF867C}">
                  <a14:compatExt spid="_x0000_s4126838"/>
                </a:ext>
                <a:ext uri="{FF2B5EF4-FFF2-40B4-BE49-F238E27FC236}">
                  <a16:creationId xmlns:a16="http://schemas.microsoft.com/office/drawing/2014/main" id="{00000000-0008-0000-0E00-00007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16</xdr:row>
          <xdr:rowOff>381000</xdr:rowOff>
        </xdr:from>
        <xdr:to>
          <xdr:col>102</xdr:col>
          <xdr:colOff>274320</xdr:colOff>
          <xdr:row>16</xdr:row>
          <xdr:rowOff>632460</xdr:rowOff>
        </xdr:to>
        <xdr:sp macro="" textlink="">
          <xdr:nvSpPr>
            <xdr:cNvPr id="4126839" name="Check Box 119" hidden="1">
              <a:extLst>
                <a:ext uri="{63B3BB69-23CF-44E3-9099-C40C66FF867C}">
                  <a14:compatExt spid="_x0000_s4126839"/>
                </a:ext>
                <a:ext uri="{FF2B5EF4-FFF2-40B4-BE49-F238E27FC236}">
                  <a16:creationId xmlns:a16="http://schemas.microsoft.com/office/drawing/2014/main" id="{00000000-0008-0000-0E00-00007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29</xdr:row>
          <xdr:rowOff>579120</xdr:rowOff>
        </xdr:from>
        <xdr:to>
          <xdr:col>102</xdr:col>
          <xdr:colOff>274320</xdr:colOff>
          <xdr:row>30</xdr:row>
          <xdr:rowOff>411480</xdr:rowOff>
        </xdr:to>
        <xdr:sp macro="" textlink="">
          <xdr:nvSpPr>
            <xdr:cNvPr id="4126840" name="Check Box 120" hidden="1">
              <a:extLst>
                <a:ext uri="{63B3BB69-23CF-44E3-9099-C40C66FF867C}">
                  <a14:compatExt spid="_x0000_s4126840"/>
                </a:ext>
                <a:ext uri="{FF2B5EF4-FFF2-40B4-BE49-F238E27FC236}">
                  <a16:creationId xmlns:a16="http://schemas.microsoft.com/office/drawing/2014/main" id="{00000000-0008-0000-0E00-00007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31</xdr:row>
          <xdr:rowOff>53340</xdr:rowOff>
        </xdr:from>
        <xdr:to>
          <xdr:col>102</xdr:col>
          <xdr:colOff>274320</xdr:colOff>
          <xdr:row>33</xdr:row>
          <xdr:rowOff>259080</xdr:rowOff>
        </xdr:to>
        <xdr:sp macro="" textlink="">
          <xdr:nvSpPr>
            <xdr:cNvPr id="4126841" name="Check Box 121" hidden="1">
              <a:extLst>
                <a:ext uri="{63B3BB69-23CF-44E3-9099-C40C66FF867C}">
                  <a14:compatExt spid="_x0000_s4126841"/>
                </a:ext>
                <a:ext uri="{FF2B5EF4-FFF2-40B4-BE49-F238E27FC236}">
                  <a16:creationId xmlns:a16="http://schemas.microsoft.com/office/drawing/2014/main" id="{00000000-0008-0000-0E00-00007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32</xdr:row>
          <xdr:rowOff>731520</xdr:rowOff>
        </xdr:from>
        <xdr:to>
          <xdr:col>102</xdr:col>
          <xdr:colOff>274320</xdr:colOff>
          <xdr:row>33</xdr:row>
          <xdr:rowOff>251460</xdr:rowOff>
        </xdr:to>
        <xdr:sp macro="" textlink="">
          <xdr:nvSpPr>
            <xdr:cNvPr id="4126842" name="Check Box 122" hidden="1">
              <a:extLst>
                <a:ext uri="{63B3BB69-23CF-44E3-9099-C40C66FF867C}">
                  <a14:compatExt spid="_x0000_s4126842"/>
                </a:ext>
                <a:ext uri="{FF2B5EF4-FFF2-40B4-BE49-F238E27FC236}">
                  <a16:creationId xmlns:a16="http://schemas.microsoft.com/office/drawing/2014/main" id="{00000000-0008-0000-0E00-00007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29</xdr:row>
          <xdr:rowOff>53340</xdr:rowOff>
        </xdr:from>
        <xdr:to>
          <xdr:col>102</xdr:col>
          <xdr:colOff>274320</xdr:colOff>
          <xdr:row>30</xdr:row>
          <xdr:rowOff>411480</xdr:rowOff>
        </xdr:to>
        <xdr:sp macro="" textlink="">
          <xdr:nvSpPr>
            <xdr:cNvPr id="4126843" name="Check Box 123" hidden="1">
              <a:extLst>
                <a:ext uri="{63B3BB69-23CF-44E3-9099-C40C66FF867C}">
                  <a14:compatExt spid="_x0000_s4126843"/>
                </a:ext>
                <a:ext uri="{FF2B5EF4-FFF2-40B4-BE49-F238E27FC236}">
                  <a16:creationId xmlns:a16="http://schemas.microsoft.com/office/drawing/2014/main" id="{00000000-0008-0000-0E00-00007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35</xdr:row>
          <xdr:rowOff>449580</xdr:rowOff>
        </xdr:from>
        <xdr:to>
          <xdr:col>102</xdr:col>
          <xdr:colOff>274320</xdr:colOff>
          <xdr:row>37</xdr:row>
          <xdr:rowOff>144780</xdr:rowOff>
        </xdr:to>
        <xdr:sp macro="" textlink="">
          <xdr:nvSpPr>
            <xdr:cNvPr id="4126844" name="Check Box 124" hidden="1">
              <a:extLst>
                <a:ext uri="{63B3BB69-23CF-44E3-9099-C40C66FF867C}">
                  <a14:compatExt spid="_x0000_s4126844"/>
                </a:ext>
                <a:ext uri="{FF2B5EF4-FFF2-40B4-BE49-F238E27FC236}">
                  <a16:creationId xmlns:a16="http://schemas.microsoft.com/office/drawing/2014/main" id="{00000000-0008-0000-0E00-00007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36</xdr:row>
          <xdr:rowOff>53340</xdr:rowOff>
        </xdr:from>
        <xdr:to>
          <xdr:col>102</xdr:col>
          <xdr:colOff>274320</xdr:colOff>
          <xdr:row>38</xdr:row>
          <xdr:rowOff>114300</xdr:rowOff>
        </xdr:to>
        <xdr:sp macro="" textlink="">
          <xdr:nvSpPr>
            <xdr:cNvPr id="4126845" name="Check Box 125" hidden="1">
              <a:extLst>
                <a:ext uri="{63B3BB69-23CF-44E3-9099-C40C66FF867C}">
                  <a14:compatExt spid="_x0000_s4126845"/>
                </a:ext>
                <a:ext uri="{FF2B5EF4-FFF2-40B4-BE49-F238E27FC236}">
                  <a16:creationId xmlns:a16="http://schemas.microsoft.com/office/drawing/2014/main" id="{00000000-0008-0000-0E00-00007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37</xdr:row>
          <xdr:rowOff>53340</xdr:rowOff>
        </xdr:from>
        <xdr:to>
          <xdr:col>102</xdr:col>
          <xdr:colOff>274320</xdr:colOff>
          <xdr:row>38</xdr:row>
          <xdr:rowOff>182880</xdr:rowOff>
        </xdr:to>
        <xdr:sp macro="" textlink="">
          <xdr:nvSpPr>
            <xdr:cNvPr id="4126846" name="Check Box 126" hidden="1">
              <a:extLst>
                <a:ext uri="{63B3BB69-23CF-44E3-9099-C40C66FF867C}">
                  <a14:compatExt spid="_x0000_s4126846"/>
                </a:ext>
                <a:ext uri="{FF2B5EF4-FFF2-40B4-BE49-F238E27FC236}">
                  <a16:creationId xmlns:a16="http://schemas.microsoft.com/office/drawing/2014/main" id="{00000000-0008-0000-0E00-00007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27</xdr:row>
          <xdr:rowOff>678180</xdr:rowOff>
        </xdr:from>
        <xdr:to>
          <xdr:col>102</xdr:col>
          <xdr:colOff>274320</xdr:colOff>
          <xdr:row>27</xdr:row>
          <xdr:rowOff>693420</xdr:rowOff>
        </xdr:to>
        <xdr:sp macro="" textlink="">
          <xdr:nvSpPr>
            <xdr:cNvPr id="4126847" name="Check Box 127" hidden="1">
              <a:extLst>
                <a:ext uri="{63B3BB69-23CF-44E3-9099-C40C66FF867C}">
                  <a14:compatExt spid="_x0000_s4126847"/>
                </a:ext>
                <a:ext uri="{FF2B5EF4-FFF2-40B4-BE49-F238E27FC236}">
                  <a16:creationId xmlns:a16="http://schemas.microsoft.com/office/drawing/2014/main" id="{00000000-0008-0000-0E00-00007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23</xdr:row>
          <xdr:rowOff>937260</xdr:rowOff>
        </xdr:from>
        <xdr:to>
          <xdr:col>102</xdr:col>
          <xdr:colOff>281940</xdr:colOff>
          <xdr:row>24</xdr:row>
          <xdr:rowOff>0</xdr:rowOff>
        </xdr:to>
        <xdr:sp macro="" textlink="">
          <xdr:nvSpPr>
            <xdr:cNvPr id="4126848" name="Check Box 128" hidden="1">
              <a:extLst>
                <a:ext uri="{63B3BB69-23CF-44E3-9099-C40C66FF867C}">
                  <a14:compatExt spid="_x0000_s4126848"/>
                </a:ext>
                <a:ext uri="{FF2B5EF4-FFF2-40B4-BE49-F238E27FC236}">
                  <a16:creationId xmlns:a16="http://schemas.microsoft.com/office/drawing/2014/main" id="{00000000-0008-0000-0E00-000080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52</xdr:row>
          <xdr:rowOff>99060</xdr:rowOff>
        </xdr:from>
        <xdr:to>
          <xdr:col>102</xdr:col>
          <xdr:colOff>274320</xdr:colOff>
          <xdr:row>54</xdr:row>
          <xdr:rowOff>358140</xdr:rowOff>
        </xdr:to>
        <xdr:sp macro="" textlink="">
          <xdr:nvSpPr>
            <xdr:cNvPr id="4126849" name="Check Box 129" hidden="1">
              <a:extLst>
                <a:ext uri="{63B3BB69-23CF-44E3-9099-C40C66FF867C}">
                  <a14:compatExt spid="_x0000_s4126849"/>
                </a:ext>
                <a:ext uri="{FF2B5EF4-FFF2-40B4-BE49-F238E27FC236}">
                  <a16:creationId xmlns:a16="http://schemas.microsoft.com/office/drawing/2014/main" id="{00000000-0008-0000-0E00-00008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25</xdr:row>
          <xdr:rowOff>647700</xdr:rowOff>
        </xdr:from>
        <xdr:to>
          <xdr:col>102</xdr:col>
          <xdr:colOff>274320</xdr:colOff>
          <xdr:row>26</xdr:row>
          <xdr:rowOff>0</xdr:rowOff>
        </xdr:to>
        <xdr:sp macro="" textlink="">
          <xdr:nvSpPr>
            <xdr:cNvPr id="4126850" name="Check Box 130" hidden="1">
              <a:extLst>
                <a:ext uri="{63B3BB69-23CF-44E3-9099-C40C66FF867C}">
                  <a14:compatExt spid="_x0000_s4126850"/>
                </a:ext>
                <a:ext uri="{FF2B5EF4-FFF2-40B4-BE49-F238E27FC236}">
                  <a16:creationId xmlns:a16="http://schemas.microsoft.com/office/drawing/2014/main" id="{00000000-0008-0000-0E00-00008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26</xdr:row>
          <xdr:rowOff>617220</xdr:rowOff>
        </xdr:from>
        <xdr:to>
          <xdr:col>102</xdr:col>
          <xdr:colOff>274320</xdr:colOff>
          <xdr:row>26</xdr:row>
          <xdr:rowOff>693420</xdr:rowOff>
        </xdr:to>
        <xdr:sp macro="" textlink="">
          <xdr:nvSpPr>
            <xdr:cNvPr id="4126851" name="Check Box 131" hidden="1">
              <a:extLst>
                <a:ext uri="{63B3BB69-23CF-44E3-9099-C40C66FF867C}">
                  <a14:compatExt spid="_x0000_s4126851"/>
                </a:ext>
                <a:ext uri="{FF2B5EF4-FFF2-40B4-BE49-F238E27FC236}">
                  <a16:creationId xmlns:a16="http://schemas.microsoft.com/office/drawing/2014/main" id="{00000000-0008-0000-0E00-00008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28</xdr:row>
          <xdr:rowOff>60960</xdr:rowOff>
        </xdr:from>
        <xdr:to>
          <xdr:col>102</xdr:col>
          <xdr:colOff>274320</xdr:colOff>
          <xdr:row>29</xdr:row>
          <xdr:rowOff>7620</xdr:rowOff>
        </xdr:to>
        <xdr:sp macro="" textlink="">
          <xdr:nvSpPr>
            <xdr:cNvPr id="4126852" name="Check Box 132" hidden="1">
              <a:extLst>
                <a:ext uri="{63B3BB69-23CF-44E3-9099-C40C66FF867C}">
                  <a14:compatExt spid="_x0000_s4126852"/>
                </a:ext>
                <a:ext uri="{FF2B5EF4-FFF2-40B4-BE49-F238E27FC236}">
                  <a16:creationId xmlns:a16="http://schemas.microsoft.com/office/drawing/2014/main" id="{00000000-0008-0000-0E00-000084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42</xdr:row>
          <xdr:rowOff>53340</xdr:rowOff>
        </xdr:from>
        <xdr:to>
          <xdr:col>102</xdr:col>
          <xdr:colOff>274320</xdr:colOff>
          <xdr:row>43</xdr:row>
          <xdr:rowOff>22860</xdr:rowOff>
        </xdr:to>
        <xdr:sp macro="" textlink="">
          <xdr:nvSpPr>
            <xdr:cNvPr id="4126853" name="Check Box 133" hidden="1">
              <a:extLst>
                <a:ext uri="{63B3BB69-23CF-44E3-9099-C40C66FF867C}">
                  <a14:compatExt spid="_x0000_s4126853"/>
                </a:ext>
                <a:ext uri="{FF2B5EF4-FFF2-40B4-BE49-F238E27FC236}">
                  <a16:creationId xmlns:a16="http://schemas.microsoft.com/office/drawing/2014/main" id="{00000000-0008-0000-0E00-00008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43</xdr:row>
          <xdr:rowOff>53340</xdr:rowOff>
        </xdr:from>
        <xdr:to>
          <xdr:col>102</xdr:col>
          <xdr:colOff>274320</xdr:colOff>
          <xdr:row>44</xdr:row>
          <xdr:rowOff>22860</xdr:rowOff>
        </xdr:to>
        <xdr:sp macro="" textlink="">
          <xdr:nvSpPr>
            <xdr:cNvPr id="4126854" name="Check Box 134" hidden="1">
              <a:extLst>
                <a:ext uri="{63B3BB69-23CF-44E3-9099-C40C66FF867C}">
                  <a14:compatExt spid="_x0000_s4126854"/>
                </a:ext>
                <a:ext uri="{FF2B5EF4-FFF2-40B4-BE49-F238E27FC236}">
                  <a16:creationId xmlns:a16="http://schemas.microsoft.com/office/drawing/2014/main" id="{00000000-0008-0000-0E00-00008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44</xdr:row>
          <xdr:rowOff>53340</xdr:rowOff>
        </xdr:from>
        <xdr:to>
          <xdr:col>102</xdr:col>
          <xdr:colOff>274320</xdr:colOff>
          <xdr:row>45</xdr:row>
          <xdr:rowOff>22860</xdr:rowOff>
        </xdr:to>
        <xdr:sp macro="" textlink="">
          <xdr:nvSpPr>
            <xdr:cNvPr id="4126855" name="Check Box 135" hidden="1">
              <a:extLst>
                <a:ext uri="{63B3BB69-23CF-44E3-9099-C40C66FF867C}">
                  <a14:compatExt spid="_x0000_s4126855"/>
                </a:ext>
                <a:ext uri="{FF2B5EF4-FFF2-40B4-BE49-F238E27FC236}">
                  <a16:creationId xmlns:a16="http://schemas.microsoft.com/office/drawing/2014/main" id="{00000000-0008-0000-0E00-00008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83820</xdr:colOff>
          <xdr:row>45</xdr:row>
          <xdr:rowOff>53340</xdr:rowOff>
        </xdr:from>
        <xdr:to>
          <xdr:col>102</xdr:col>
          <xdr:colOff>274320</xdr:colOff>
          <xdr:row>46</xdr:row>
          <xdr:rowOff>99060</xdr:rowOff>
        </xdr:to>
        <xdr:sp macro="" textlink="">
          <xdr:nvSpPr>
            <xdr:cNvPr id="4126856" name="Check Box 136" hidden="1">
              <a:extLst>
                <a:ext uri="{63B3BB69-23CF-44E3-9099-C40C66FF867C}">
                  <a14:compatExt spid="_x0000_s4126856"/>
                </a:ext>
                <a:ext uri="{FF2B5EF4-FFF2-40B4-BE49-F238E27FC236}">
                  <a16:creationId xmlns:a16="http://schemas.microsoft.com/office/drawing/2014/main" id="{00000000-0008-0000-0E00-00008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30</xdr:row>
          <xdr:rowOff>381000</xdr:rowOff>
        </xdr:from>
        <xdr:to>
          <xdr:col>102</xdr:col>
          <xdr:colOff>266700</xdr:colOff>
          <xdr:row>30</xdr:row>
          <xdr:rowOff>632460</xdr:rowOff>
        </xdr:to>
        <xdr:sp macro="" textlink="">
          <xdr:nvSpPr>
            <xdr:cNvPr id="4126857" name="Check Box 137" hidden="1">
              <a:extLst>
                <a:ext uri="{63B3BB69-23CF-44E3-9099-C40C66FF867C}">
                  <a14:compatExt spid="_x0000_s4126857"/>
                </a:ext>
                <a:ext uri="{FF2B5EF4-FFF2-40B4-BE49-F238E27FC236}">
                  <a16:creationId xmlns:a16="http://schemas.microsoft.com/office/drawing/2014/main" id="{00000000-0008-0000-0E00-00008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34</xdr:row>
          <xdr:rowOff>236220</xdr:rowOff>
        </xdr:from>
        <xdr:to>
          <xdr:col>102</xdr:col>
          <xdr:colOff>266700</xdr:colOff>
          <xdr:row>35</xdr:row>
          <xdr:rowOff>0</xdr:rowOff>
        </xdr:to>
        <xdr:sp macro="" textlink="">
          <xdr:nvSpPr>
            <xdr:cNvPr id="4126858" name="Check Box 138" hidden="1">
              <a:extLst>
                <a:ext uri="{63B3BB69-23CF-44E3-9099-C40C66FF867C}">
                  <a14:compatExt spid="_x0000_s4126858"/>
                </a:ext>
                <a:ext uri="{FF2B5EF4-FFF2-40B4-BE49-F238E27FC236}">
                  <a16:creationId xmlns:a16="http://schemas.microsoft.com/office/drawing/2014/main" id="{00000000-0008-0000-0E00-00008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46</xdr:row>
          <xdr:rowOff>365760</xdr:rowOff>
        </xdr:from>
        <xdr:to>
          <xdr:col>102</xdr:col>
          <xdr:colOff>266700</xdr:colOff>
          <xdr:row>47</xdr:row>
          <xdr:rowOff>327660</xdr:rowOff>
        </xdr:to>
        <xdr:sp macro="" textlink="">
          <xdr:nvSpPr>
            <xdr:cNvPr id="4126859" name="Check Box 139" hidden="1">
              <a:extLst>
                <a:ext uri="{63B3BB69-23CF-44E3-9099-C40C66FF867C}">
                  <a14:compatExt spid="_x0000_s4126859"/>
                </a:ext>
                <a:ext uri="{FF2B5EF4-FFF2-40B4-BE49-F238E27FC236}">
                  <a16:creationId xmlns:a16="http://schemas.microsoft.com/office/drawing/2014/main" id="{00000000-0008-0000-0E00-00008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47</xdr:row>
          <xdr:rowOff>304800</xdr:rowOff>
        </xdr:from>
        <xdr:to>
          <xdr:col>102</xdr:col>
          <xdr:colOff>266700</xdr:colOff>
          <xdr:row>47</xdr:row>
          <xdr:rowOff>822960</xdr:rowOff>
        </xdr:to>
        <xdr:sp macro="" textlink="">
          <xdr:nvSpPr>
            <xdr:cNvPr id="4126860" name="Check Box 140" hidden="1">
              <a:extLst>
                <a:ext uri="{63B3BB69-23CF-44E3-9099-C40C66FF867C}">
                  <a14:compatExt spid="_x0000_s4126860"/>
                </a:ext>
                <a:ext uri="{FF2B5EF4-FFF2-40B4-BE49-F238E27FC236}">
                  <a16:creationId xmlns:a16="http://schemas.microsoft.com/office/drawing/2014/main" id="{00000000-0008-0000-0E00-00008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48</xdr:row>
          <xdr:rowOff>342900</xdr:rowOff>
        </xdr:from>
        <xdr:to>
          <xdr:col>102</xdr:col>
          <xdr:colOff>266700</xdr:colOff>
          <xdr:row>48</xdr:row>
          <xdr:rowOff>952500</xdr:rowOff>
        </xdr:to>
        <xdr:sp macro="" textlink="">
          <xdr:nvSpPr>
            <xdr:cNvPr id="4126861" name="Check Box 141" hidden="1">
              <a:extLst>
                <a:ext uri="{63B3BB69-23CF-44E3-9099-C40C66FF867C}">
                  <a14:compatExt spid="_x0000_s4126861"/>
                </a:ext>
                <a:ext uri="{FF2B5EF4-FFF2-40B4-BE49-F238E27FC236}">
                  <a16:creationId xmlns:a16="http://schemas.microsoft.com/office/drawing/2014/main" id="{00000000-0008-0000-0E00-00008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49</xdr:row>
          <xdr:rowOff>754380</xdr:rowOff>
        </xdr:from>
        <xdr:to>
          <xdr:col>102</xdr:col>
          <xdr:colOff>266700</xdr:colOff>
          <xdr:row>50</xdr:row>
          <xdr:rowOff>632460</xdr:rowOff>
        </xdr:to>
        <xdr:sp macro="" textlink="">
          <xdr:nvSpPr>
            <xdr:cNvPr id="4126862" name="Check Box 142" hidden="1">
              <a:extLst>
                <a:ext uri="{63B3BB69-23CF-44E3-9099-C40C66FF867C}">
                  <a14:compatExt spid="_x0000_s4126862"/>
                </a:ext>
                <a:ext uri="{FF2B5EF4-FFF2-40B4-BE49-F238E27FC236}">
                  <a16:creationId xmlns:a16="http://schemas.microsoft.com/office/drawing/2014/main" id="{00000000-0008-0000-0E00-00008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50</xdr:row>
          <xdr:rowOff>876300</xdr:rowOff>
        </xdr:from>
        <xdr:to>
          <xdr:col>102</xdr:col>
          <xdr:colOff>266700</xdr:colOff>
          <xdr:row>52</xdr:row>
          <xdr:rowOff>121920</xdr:rowOff>
        </xdr:to>
        <xdr:sp macro="" textlink="">
          <xdr:nvSpPr>
            <xdr:cNvPr id="4126863" name="Check Box 143" hidden="1">
              <a:extLst>
                <a:ext uri="{63B3BB69-23CF-44E3-9099-C40C66FF867C}">
                  <a14:compatExt spid="_x0000_s4126863"/>
                </a:ext>
                <a:ext uri="{FF2B5EF4-FFF2-40B4-BE49-F238E27FC236}">
                  <a16:creationId xmlns:a16="http://schemas.microsoft.com/office/drawing/2014/main" id="{00000000-0008-0000-0E00-00008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53</xdr:row>
          <xdr:rowOff>53340</xdr:rowOff>
        </xdr:from>
        <xdr:to>
          <xdr:col>102</xdr:col>
          <xdr:colOff>266700</xdr:colOff>
          <xdr:row>56</xdr:row>
          <xdr:rowOff>0</xdr:rowOff>
        </xdr:to>
        <xdr:sp macro="" textlink="">
          <xdr:nvSpPr>
            <xdr:cNvPr id="4126864" name="Check Box 144" hidden="1">
              <a:extLst>
                <a:ext uri="{63B3BB69-23CF-44E3-9099-C40C66FF867C}">
                  <a14:compatExt spid="_x0000_s4126864"/>
                </a:ext>
                <a:ext uri="{FF2B5EF4-FFF2-40B4-BE49-F238E27FC236}">
                  <a16:creationId xmlns:a16="http://schemas.microsoft.com/office/drawing/2014/main" id="{00000000-0008-0000-0E00-000090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51</xdr:row>
          <xdr:rowOff>670560</xdr:rowOff>
        </xdr:from>
        <xdr:to>
          <xdr:col>102</xdr:col>
          <xdr:colOff>266700</xdr:colOff>
          <xdr:row>52</xdr:row>
          <xdr:rowOff>251460</xdr:rowOff>
        </xdr:to>
        <xdr:sp macro="" textlink="">
          <xdr:nvSpPr>
            <xdr:cNvPr id="4126865" name="Check Box 145" hidden="1">
              <a:extLst>
                <a:ext uri="{63B3BB69-23CF-44E3-9099-C40C66FF867C}">
                  <a14:compatExt spid="_x0000_s4126865"/>
                </a:ext>
                <a:ext uri="{FF2B5EF4-FFF2-40B4-BE49-F238E27FC236}">
                  <a16:creationId xmlns:a16="http://schemas.microsoft.com/office/drawing/2014/main" id="{00000000-0008-0000-0E00-00009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54</xdr:row>
          <xdr:rowOff>53340</xdr:rowOff>
        </xdr:from>
        <xdr:to>
          <xdr:col>102</xdr:col>
          <xdr:colOff>266700</xdr:colOff>
          <xdr:row>55</xdr:row>
          <xdr:rowOff>114300</xdr:rowOff>
        </xdr:to>
        <xdr:sp macro="" textlink="">
          <xdr:nvSpPr>
            <xdr:cNvPr id="4126866" name="Check Box 146" hidden="1">
              <a:extLst>
                <a:ext uri="{63B3BB69-23CF-44E3-9099-C40C66FF867C}">
                  <a14:compatExt spid="_x0000_s4126866"/>
                </a:ext>
                <a:ext uri="{FF2B5EF4-FFF2-40B4-BE49-F238E27FC236}">
                  <a16:creationId xmlns:a16="http://schemas.microsoft.com/office/drawing/2014/main" id="{00000000-0008-0000-0E00-00009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56</xdr:row>
          <xdr:rowOff>53340</xdr:rowOff>
        </xdr:from>
        <xdr:to>
          <xdr:col>102</xdr:col>
          <xdr:colOff>266700</xdr:colOff>
          <xdr:row>57</xdr:row>
          <xdr:rowOff>22860</xdr:rowOff>
        </xdr:to>
        <xdr:sp macro="" textlink="">
          <xdr:nvSpPr>
            <xdr:cNvPr id="4126867" name="Check Box 147" hidden="1">
              <a:extLst>
                <a:ext uri="{63B3BB69-23CF-44E3-9099-C40C66FF867C}">
                  <a14:compatExt spid="_x0000_s4126867"/>
                </a:ext>
                <a:ext uri="{FF2B5EF4-FFF2-40B4-BE49-F238E27FC236}">
                  <a16:creationId xmlns:a16="http://schemas.microsoft.com/office/drawing/2014/main" id="{00000000-0008-0000-0E00-00009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60</xdr:row>
          <xdr:rowOff>53340</xdr:rowOff>
        </xdr:from>
        <xdr:to>
          <xdr:col>102</xdr:col>
          <xdr:colOff>266700</xdr:colOff>
          <xdr:row>61</xdr:row>
          <xdr:rowOff>91440</xdr:rowOff>
        </xdr:to>
        <xdr:sp macro="" textlink="">
          <xdr:nvSpPr>
            <xdr:cNvPr id="4126868" name="Check Box 148" hidden="1">
              <a:extLst>
                <a:ext uri="{63B3BB69-23CF-44E3-9099-C40C66FF867C}">
                  <a14:compatExt spid="_x0000_s4126868"/>
                </a:ext>
                <a:ext uri="{FF2B5EF4-FFF2-40B4-BE49-F238E27FC236}">
                  <a16:creationId xmlns:a16="http://schemas.microsoft.com/office/drawing/2014/main" id="{00000000-0008-0000-0E00-000094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62</xdr:row>
          <xdr:rowOff>53340</xdr:rowOff>
        </xdr:from>
        <xdr:to>
          <xdr:col>102</xdr:col>
          <xdr:colOff>266700</xdr:colOff>
          <xdr:row>63</xdr:row>
          <xdr:rowOff>22860</xdr:rowOff>
        </xdr:to>
        <xdr:sp macro="" textlink="">
          <xdr:nvSpPr>
            <xdr:cNvPr id="4126869" name="Check Box 149" hidden="1">
              <a:extLst>
                <a:ext uri="{63B3BB69-23CF-44E3-9099-C40C66FF867C}">
                  <a14:compatExt spid="_x0000_s4126869"/>
                </a:ext>
                <a:ext uri="{FF2B5EF4-FFF2-40B4-BE49-F238E27FC236}">
                  <a16:creationId xmlns:a16="http://schemas.microsoft.com/office/drawing/2014/main" id="{00000000-0008-0000-0E00-00009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63</xdr:row>
          <xdr:rowOff>53340</xdr:rowOff>
        </xdr:from>
        <xdr:to>
          <xdr:col>102</xdr:col>
          <xdr:colOff>266700</xdr:colOff>
          <xdr:row>64</xdr:row>
          <xdr:rowOff>22860</xdr:rowOff>
        </xdr:to>
        <xdr:sp macro="" textlink="">
          <xdr:nvSpPr>
            <xdr:cNvPr id="4126870" name="Check Box 150" hidden="1">
              <a:extLst>
                <a:ext uri="{63B3BB69-23CF-44E3-9099-C40C66FF867C}">
                  <a14:compatExt spid="_x0000_s4126870"/>
                </a:ext>
                <a:ext uri="{FF2B5EF4-FFF2-40B4-BE49-F238E27FC236}">
                  <a16:creationId xmlns:a16="http://schemas.microsoft.com/office/drawing/2014/main" id="{00000000-0008-0000-0E00-00009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55</xdr:row>
          <xdr:rowOff>579120</xdr:rowOff>
        </xdr:from>
        <xdr:to>
          <xdr:col>102</xdr:col>
          <xdr:colOff>266700</xdr:colOff>
          <xdr:row>56</xdr:row>
          <xdr:rowOff>7620</xdr:rowOff>
        </xdr:to>
        <xdr:sp macro="" textlink="">
          <xdr:nvSpPr>
            <xdr:cNvPr id="4126871" name="Check Box 151" hidden="1">
              <a:extLst>
                <a:ext uri="{63B3BB69-23CF-44E3-9099-C40C66FF867C}">
                  <a14:compatExt spid="_x0000_s4126871"/>
                </a:ext>
                <a:ext uri="{FF2B5EF4-FFF2-40B4-BE49-F238E27FC236}">
                  <a16:creationId xmlns:a16="http://schemas.microsoft.com/office/drawing/2014/main" id="{00000000-0008-0000-0E00-00009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67</xdr:row>
          <xdr:rowOff>53340</xdr:rowOff>
        </xdr:from>
        <xdr:to>
          <xdr:col>102</xdr:col>
          <xdr:colOff>266700</xdr:colOff>
          <xdr:row>68</xdr:row>
          <xdr:rowOff>91440</xdr:rowOff>
        </xdr:to>
        <xdr:sp macro="" textlink="">
          <xdr:nvSpPr>
            <xdr:cNvPr id="4126872" name="Check Box 152" hidden="1">
              <a:extLst>
                <a:ext uri="{63B3BB69-23CF-44E3-9099-C40C66FF867C}">
                  <a14:compatExt spid="_x0000_s4126872"/>
                </a:ext>
                <a:ext uri="{FF2B5EF4-FFF2-40B4-BE49-F238E27FC236}">
                  <a16:creationId xmlns:a16="http://schemas.microsoft.com/office/drawing/2014/main" id="{00000000-0008-0000-0E00-00009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70</xdr:row>
          <xdr:rowOff>53340</xdr:rowOff>
        </xdr:from>
        <xdr:to>
          <xdr:col>102</xdr:col>
          <xdr:colOff>266700</xdr:colOff>
          <xdr:row>71</xdr:row>
          <xdr:rowOff>91440</xdr:rowOff>
        </xdr:to>
        <xdr:sp macro="" textlink="">
          <xdr:nvSpPr>
            <xdr:cNvPr id="4126873" name="Check Box 153" hidden="1">
              <a:extLst>
                <a:ext uri="{63B3BB69-23CF-44E3-9099-C40C66FF867C}">
                  <a14:compatExt spid="_x0000_s4126873"/>
                </a:ext>
                <a:ext uri="{FF2B5EF4-FFF2-40B4-BE49-F238E27FC236}">
                  <a16:creationId xmlns:a16="http://schemas.microsoft.com/office/drawing/2014/main" id="{00000000-0008-0000-0E00-00009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71</xdr:row>
          <xdr:rowOff>53340</xdr:rowOff>
        </xdr:from>
        <xdr:to>
          <xdr:col>102</xdr:col>
          <xdr:colOff>266700</xdr:colOff>
          <xdr:row>74</xdr:row>
          <xdr:rowOff>396240</xdr:rowOff>
        </xdr:to>
        <xdr:sp macro="" textlink="">
          <xdr:nvSpPr>
            <xdr:cNvPr id="4126874" name="Check Box 154" hidden="1">
              <a:extLst>
                <a:ext uri="{63B3BB69-23CF-44E3-9099-C40C66FF867C}">
                  <a14:compatExt spid="_x0000_s4126874"/>
                </a:ext>
                <a:ext uri="{FF2B5EF4-FFF2-40B4-BE49-F238E27FC236}">
                  <a16:creationId xmlns:a16="http://schemas.microsoft.com/office/drawing/2014/main" id="{00000000-0008-0000-0E00-00009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73</xdr:row>
          <xdr:rowOff>53340</xdr:rowOff>
        </xdr:from>
        <xdr:to>
          <xdr:col>102</xdr:col>
          <xdr:colOff>266700</xdr:colOff>
          <xdr:row>74</xdr:row>
          <xdr:rowOff>182880</xdr:rowOff>
        </xdr:to>
        <xdr:sp macro="" textlink="">
          <xdr:nvSpPr>
            <xdr:cNvPr id="4126875" name="Check Box 155" hidden="1">
              <a:extLst>
                <a:ext uri="{63B3BB69-23CF-44E3-9099-C40C66FF867C}">
                  <a14:compatExt spid="_x0000_s4126875"/>
                </a:ext>
                <a:ext uri="{FF2B5EF4-FFF2-40B4-BE49-F238E27FC236}">
                  <a16:creationId xmlns:a16="http://schemas.microsoft.com/office/drawing/2014/main" id="{00000000-0008-0000-0E00-00009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85</xdr:row>
          <xdr:rowOff>53340</xdr:rowOff>
        </xdr:from>
        <xdr:to>
          <xdr:col>102</xdr:col>
          <xdr:colOff>266700</xdr:colOff>
          <xdr:row>86</xdr:row>
          <xdr:rowOff>83820</xdr:rowOff>
        </xdr:to>
        <xdr:sp macro="" textlink="">
          <xdr:nvSpPr>
            <xdr:cNvPr id="4126876" name="Check Box 156" hidden="1">
              <a:extLst>
                <a:ext uri="{63B3BB69-23CF-44E3-9099-C40C66FF867C}">
                  <a14:compatExt spid="_x0000_s4126876"/>
                </a:ext>
                <a:ext uri="{FF2B5EF4-FFF2-40B4-BE49-F238E27FC236}">
                  <a16:creationId xmlns:a16="http://schemas.microsoft.com/office/drawing/2014/main" id="{00000000-0008-0000-0E00-00009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86</xdr:row>
          <xdr:rowOff>53340</xdr:rowOff>
        </xdr:from>
        <xdr:to>
          <xdr:col>102</xdr:col>
          <xdr:colOff>266700</xdr:colOff>
          <xdr:row>87</xdr:row>
          <xdr:rowOff>114300</xdr:rowOff>
        </xdr:to>
        <xdr:sp macro="" textlink="">
          <xdr:nvSpPr>
            <xdr:cNvPr id="4126877" name="Check Box 157" hidden="1">
              <a:extLst>
                <a:ext uri="{63B3BB69-23CF-44E3-9099-C40C66FF867C}">
                  <a14:compatExt spid="_x0000_s4126877"/>
                </a:ext>
                <a:ext uri="{FF2B5EF4-FFF2-40B4-BE49-F238E27FC236}">
                  <a16:creationId xmlns:a16="http://schemas.microsoft.com/office/drawing/2014/main" id="{00000000-0008-0000-0E00-00009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87</xdr:row>
          <xdr:rowOff>53340</xdr:rowOff>
        </xdr:from>
        <xdr:to>
          <xdr:col>102</xdr:col>
          <xdr:colOff>266700</xdr:colOff>
          <xdr:row>88</xdr:row>
          <xdr:rowOff>0</xdr:rowOff>
        </xdr:to>
        <xdr:sp macro="" textlink="">
          <xdr:nvSpPr>
            <xdr:cNvPr id="4126878" name="Check Box 158" hidden="1">
              <a:extLst>
                <a:ext uri="{63B3BB69-23CF-44E3-9099-C40C66FF867C}">
                  <a14:compatExt spid="_x0000_s4126878"/>
                </a:ext>
                <a:ext uri="{FF2B5EF4-FFF2-40B4-BE49-F238E27FC236}">
                  <a16:creationId xmlns:a16="http://schemas.microsoft.com/office/drawing/2014/main" id="{00000000-0008-0000-0E00-00009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88</xdr:row>
          <xdr:rowOff>53340</xdr:rowOff>
        </xdr:from>
        <xdr:to>
          <xdr:col>102</xdr:col>
          <xdr:colOff>266700</xdr:colOff>
          <xdr:row>89</xdr:row>
          <xdr:rowOff>68580</xdr:rowOff>
        </xdr:to>
        <xdr:sp macro="" textlink="">
          <xdr:nvSpPr>
            <xdr:cNvPr id="4126879" name="Check Box 159" hidden="1">
              <a:extLst>
                <a:ext uri="{63B3BB69-23CF-44E3-9099-C40C66FF867C}">
                  <a14:compatExt spid="_x0000_s4126879"/>
                </a:ext>
                <a:ext uri="{FF2B5EF4-FFF2-40B4-BE49-F238E27FC236}">
                  <a16:creationId xmlns:a16="http://schemas.microsoft.com/office/drawing/2014/main" id="{00000000-0008-0000-0E00-00009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90</xdr:row>
          <xdr:rowOff>53340</xdr:rowOff>
        </xdr:from>
        <xdr:to>
          <xdr:col>102</xdr:col>
          <xdr:colOff>266700</xdr:colOff>
          <xdr:row>91</xdr:row>
          <xdr:rowOff>0</xdr:rowOff>
        </xdr:to>
        <xdr:sp macro="" textlink="">
          <xdr:nvSpPr>
            <xdr:cNvPr id="4126880" name="Check Box 160" hidden="1">
              <a:extLst>
                <a:ext uri="{63B3BB69-23CF-44E3-9099-C40C66FF867C}">
                  <a14:compatExt spid="_x0000_s4126880"/>
                </a:ext>
                <a:ext uri="{FF2B5EF4-FFF2-40B4-BE49-F238E27FC236}">
                  <a16:creationId xmlns:a16="http://schemas.microsoft.com/office/drawing/2014/main" id="{00000000-0008-0000-0E00-0000A0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120</xdr:row>
          <xdr:rowOff>762000</xdr:rowOff>
        </xdr:from>
        <xdr:to>
          <xdr:col>102</xdr:col>
          <xdr:colOff>266700</xdr:colOff>
          <xdr:row>122</xdr:row>
          <xdr:rowOff>236220</xdr:rowOff>
        </xdr:to>
        <xdr:sp macro="" textlink="">
          <xdr:nvSpPr>
            <xdr:cNvPr id="4126881" name="Check Box 161" hidden="1">
              <a:extLst>
                <a:ext uri="{63B3BB69-23CF-44E3-9099-C40C66FF867C}">
                  <a14:compatExt spid="_x0000_s4126881"/>
                </a:ext>
                <a:ext uri="{FF2B5EF4-FFF2-40B4-BE49-F238E27FC236}">
                  <a16:creationId xmlns:a16="http://schemas.microsoft.com/office/drawing/2014/main" id="{00000000-0008-0000-0E00-0000A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76</xdr:row>
          <xdr:rowOff>53340</xdr:rowOff>
        </xdr:from>
        <xdr:to>
          <xdr:col>102</xdr:col>
          <xdr:colOff>266700</xdr:colOff>
          <xdr:row>82</xdr:row>
          <xdr:rowOff>213360</xdr:rowOff>
        </xdr:to>
        <xdr:sp macro="" textlink="">
          <xdr:nvSpPr>
            <xdr:cNvPr id="4126882" name="Check Box 162" hidden="1">
              <a:extLst>
                <a:ext uri="{63B3BB69-23CF-44E3-9099-C40C66FF867C}">
                  <a14:compatExt spid="_x0000_s4126882"/>
                </a:ext>
                <a:ext uri="{FF2B5EF4-FFF2-40B4-BE49-F238E27FC236}">
                  <a16:creationId xmlns:a16="http://schemas.microsoft.com/office/drawing/2014/main" id="{00000000-0008-0000-0E00-0000A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77</xdr:row>
          <xdr:rowOff>53340</xdr:rowOff>
        </xdr:from>
        <xdr:to>
          <xdr:col>102</xdr:col>
          <xdr:colOff>266700</xdr:colOff>
          <xdr:row>83</xdr:row>
          <xdr:rowOff>228600</xdr:rowOff>
        </xdr:to>
        <xdr:sp macro="" textlink="">
          <xdr:nvSpPr>
            <xdr:cNvPr id="4126883" name="Check Box 163" hidden="1">
              <a:extLst>
                <a:ext uri="{63B3BB69-23CF-44E3-9099-C40C66FF867C}">
                  <a14:compatExt spid="_x0000_s4126883"/>
                </a:ext>
                <a:ext uri="{FF2B5EF4-FFF2-40B4-BE49-F238E27FC236}">
                  <a16:creationId xmlns:a16="http://schemas.microsoft.com/office/drawing/2014/main" id="{00000000-0008-0000-0E00-0000A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78</xdr:row>
          <xdr:rowOff>53340</xdr:rowOff>
        </xdr:from>
        <xdr:to>
          <xdr:col>102</xdr:col>
          <xdr:colOff>266700</xdr:colOff>
          <xdr:row>84</xdr:row>
          <xdr:rowOff>30480</xdr:rowOff>
        </xdr:to>
        <xdr:sp macro="" textlink="">
          <xdr:nvSpPr>
            <xdr:cNvPr id="4126884" name="Check Box 164" hidden="1">
              <a:extLst>
                <a:ext uri="{63B3BB69-23CF-44E3-9099-C40C66FF867C}">
                  <a14:compatExt spid="_x0000_s4126884"/>
                </a:ext>
                <a:ext uri="{FF2B5EF4-FFF2-40B4-BE49-F238E27FC236}">
                  <a16:creationId xmlns:a16="http://schemas.microsoft.com/office/drawing/2014/main" id="{00000000-0008-0000-0E00-0000A4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79</xdr:row>
          <xdr:rowOff>53340</xdr:rowOff>
        </xdr:from>
        <xdr:to>
          <xdr:col>102</xdr:col>
          <xdr:colOff>266700</xdr:colOff>
          <xdr:row>84</xdr:row>
          <xdr:rowOff>114300</xdr:rowOff>
        </xdr:to>
        <xdr:sp macro="" textlink="">
          <xdr:nvSpPr>
            <xdr:cNvPr id="4126885" name="Check Box 165" hidden="1">
              <a:extLst>
                <a:ext uri="{63B3BB69-23CF-44E3-9099-C40C66FF867C}">
                  <a14:compatExt spid="_x0000_s4126885"/>
                </a:ext>
                <a:ext uri="{FF2B5EF4-FFF2-40B4-BE49-F238E27FC236}">
                  <a16:creationId xmlns:a16="http://schemas.microsoft.com/office/drawing/2014/main" id="{00000000-0008-0000-0E00-0000A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80</xdr:row>
          <xdr:rowOff>53340</xdr:rowOff>
        </xdr:from>
        <xdr:to>
          <xdr:col>102</xdr:col>
          <xdr:colOff>266700</xdr:colOff>
          <xdr:row>84</xdr:row>
          <xdr:rowOff>99060</xdr:rowOff>
        </xdr:to>
        <xdr:sp macro="" textlink="">
          <xdr:nvSpPr>
            <xdr:cNvPr id="4126886" name="Check Box 166" hidden="1">
              <a:extLst>
                <a:ext uri="{63B3BB69-23CF-44E3-9099-C40C66FF867C}">
                  <a14:compatExt spid="_x0000_s4126886"/>
                </a:ext>
                <a:ext uri="{FF2B5EF4-FFF2-40B4-BE49-F238E27FC236}">
                  <a16:creationId xmlns:a16="http://schemas.microsoft.com/office/drawing/2014/main" id="{00000000-0008-0000-0E00-0000A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81</xdr:row>
          <xdr:rowOff>53340</xdr:rowOff>
        </xdr:from>
        <xdr:to>
          <xdr:col>102</xdr:col>
          <xdr:colOff>266700</xdr:colOff>
          <xdr:row>84</xdr:row>
          <xdr:rowOff>175260</xdr:rowOff>
        </xdr:to>
        <xdr:sp macro="" textlink="">
          <xdr:nvSpPr>
            <xdr:cNvPr id="4126887" name="Check Box 167" hidden="1">
              <a:extLst>
                <a:ext uri="{63B3BB69-23CF-44E3-9099-C40C66FF867C}">
                  <a14:compatExt spid="_x0000_s4126887"/>
                </a:ext>
                <a:ext uri="{FF2B5EF4-FFF2-40B4-BE49-F238E27FC236}">
                  <a16:creationId xmlns:a16="http://schemas.microsoft.com/office/drawing/2014/main" id="{00000000-0008-0000-0E00-0000A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82</xdr:row>
          <xdr:rowOff>53340</xdr:rowOff>
        </xdr:from>
        <xdr:to>
          <xdr:col>102</xdr:col>
          <xdr:colOff>266700</xdr:colOff>
          <xdr:row>84</xdr:row>
          <xdr:rowOff>236220</xdr:rowOff>
        </xdr:to>
        <xdr:sp macro="" textlink="">
          <xdr:nvSpPr>
            <xdr:cNvPr id="4126888" name="Check Box 168" hidden="1">
              <a:extLst>
                <a:ext uri="{63B3BB69-23CF-44E3-9099-C40C66FF867C}">
                  <a14:compatExt spid="_x0000_s4126888"/>
                </a:ext>
                <a:ext uri="{FF2B5EF4-FFF2-40B4-BE49-F238E27FC236}">
                  <a16:creationId xmlns:a16="http://schemas.microsoft.com/office/drawing/2014/main" id="{00000000-0008-0000-0E00-0000A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83</xdr:row>
          <xdr:rowOff>53340</xdr:rowOff>
        </xdr:from>
        <xdr:to>
          <xdr:col>102</xdr:col>
          <xdr:colOff>266700</xdr:colOff>
          <xdr:row>87</xdr:row>
          <xdr:rowOff>160020</xdr:rowOff>
        </xdr:to>
        <xdr:sp macro="" textlink="">
          <xdr:nvSpPr>
            <xdr:cNvPr id="4126889" name="Check Box 169" hidden="1">
              <a:extLst>
                <a:ext uri="{63B3BB69-23CF-44E3-9099-C40C66FF867C}">
                  <a14:compatExt spid="_x0000_s4126889"/>
                </a:ext>
                <a:ext uri="{FF2B5EF4-FFF2-40B4-BE49-F238E27FC236}">
                  <a16:creationId xmlns:a16="http://schemas.microsoft.com/office/drawing/2014/main" id="{00000000-0008-0000-0E00-0000A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84</xdr:row>
          <xdr:rowOff>53340</xdr:rowOff>
        </xdr:from>
        <xdr:to>
          <xdr:col>102</xdr:col>
          <xdr:colOff>266700</xdr:colOff>
          <xdr:row>87</xdr:row>
          <xdr:rowOff>220980</xdr:rowOff>
        </xdr:to>
        <xdr:sp macro="" textlink="">
          <xdr:nvSpPr>
            <xdr:cNvPr id="4126890" name="Check Box 170" hidden="1">
              <a:extLst>
                <a:ext uri="{63B3BB69-23CF-44E3-9099-C40C66FF867C}">
                  <a14:compatExt spid="_x0000_s4126890"/>
                </a:ext>
                <a:ext uri="{FF2B5EF4-FFF2-40B4-BE49-F238E27FC236}">
                  <a16:creationId xmlns:a16="http://schemas.microsoft.com/office/drawing/2014/main" id="{00000000-0008-0000-0E00-0000A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125</xdr:row>
          <xdr:rowOff>53340</xdr:rowOff>
        </xdr:from>
        <xdr:to>
          <xdr:col>102</xdr:col>
          <xdr:colOff>266700</xdr:colOff>
          <xdr:row>126</xdr:row>
          <xdr:rowOff>0</xdr:rowOff>
        </xdr:to>
        <xdr:sp macro="" textlink="">
          <xdr:nvSpPr>
            <xdr:cNvPr id="4126891" name="Check Box 171" hidden="1">
              <a:extLst>
                <a:ext uri="{63B3BB69-23CF-44E3-9099-C40C66FF867C}">
                  <a14:compatExt spid="_x0000_s4126891"/>
                </a:ext>
                <a:ext uri="{FF2B5EF4-FFF2-40B4-BE49-F238E27FC236}">
                  <a16:creationId xmlns:a16="http://schemas.microsoft.com/office/drawing/2014/main" id="{00000000-0008-0000-0E00-0000A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127</xdr:row>
          <xdr:rowOff>53340</xdr:rowOff>
        </xdr:from>
        <xdr:to>
          <xdr:col>102</xdr:col>
          <xdr:colOff>266700</xdr:colOff>
          <xdr:row>129</xdr:row>
          <xdr:rowOff>281940</xdr:rowOff>
        </xdr:to>
        <xdr:sp macro="" textlink="">
          <xdr:nvSpPr>
            <xdr:cNvPr id="4126892" name="Check Box 172" hidden="1">
              <a:extLst>
                <a:ext uri="{63B3BB69-23CF-44E3-9099-C40C66FF867C}">
                  <a14:compatExt spid="_x0000_s4126892"/>
                </a:ext>
                <a:ext uri="{FF2B5EF4-FFF2-40B4-BE49-F238E27FC236}">
                  <a16:creationId xmlns:a16="http://schemas.microsoft.com/office/drawing/2014/main" id="{00000000-0008-0000-0E00-0000A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128</xdr:row>
          <xdr:rowOff>53340</xdr:rowOff>
        </xdr:from>
        <xdr:to>
          <xdr:col>102</xdr:col>
          <xdr:colOff>266700</xdr:colOff>
          <xdr:row>129</xdr:row>
          <xdr:rowOff>281940</xdr:rowOff>
        </xdr:to>
        <xdr:sp macro="" textlink="">
          <xdr:nvSpPr>
            <xdr:cNvPr id="4126893" name="Check Box 173" hidden="1">
              <a:extLst>
                <a:ext uri="{63B3BB69-23CF-44E3-9099-C40C66FF867C}">
                  <a14:compatExt spid="_x0000_s4126893"/>
                </a:ext>
                <a:ext uri="{FF2B5EF4-FFF2-40B4-BE49-F238E27FC236}">
                  <a16:creationId xmlns:a16="http://schemas.microsoft.com/office/drawing/2014/main" id="{00000000-0008-0000-0E00-0000A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133</xdr:row>
          <xdr:rowOff>53340</xdr:rowOff>
        </xdr:from>
        <xdr:to>
          <xdr:col>102</xdr:col>
          <xdr:colOff>266700</xdr:colOff>
          <xdr:row>136</xdr:row>
          <xdr:rowOff>205740</xdr:rowOff>
        </xdr:to>
        <xdr:sp macro="" textlink="">
          <xdr:nvSpPr>
            <xdr:cNvPr id="4126894" name="Check Box 174" hidden="1">
              <a:extLst>
                <a:ext uri="{63B3BB69-23CF-44E3-9099-C40C66FF867C}">
                  <a14:compatExt spid="_x0000_s4126894"/>
                </a:ext>
                <a:ext uri="{FF2B5EF4-FFF2-40B4-BE49-F238E27FC236}">
                  <a16:creationId xmlns:a16="http://schemas.microsoft.com/office/drawing/2014/main" id="{00000000-0008-0000-0E00-0000AE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134</xdr:row>
          <xdr:rowOff>53340</xdr:rowOff>
        </xdr:from>
        <xdr:to>
          <xdr:col>102</xdr:col>
          <xdr:colOff>266700</xdr:colOff>
          <xdr:row>134</xdr:row>
          <xdr:rowOff>53340</xdr:rowOff>
        </xdr:to>
        <xdr:sp macro="" textlink="">
          <xdr:nvSpPr>
            <xdr:cNvPr id="4126895" name="Check Box 175" hidden="1">
              <a:extLst>
                <a:ext uri="{63B3BB69-23CF-44E3-9099-C40C66FF867C}">
                  <a14:compatExt spid="_x0000_s4126895"/>
                </a:ext>
                <a:ext uri="{FF2B5EF4-FFF2-40B4-BE49-F238E27FC236}">
                  <a16:creationId xmlns:a16="http://schemas.microsoft.com/office/drawing/2014/main" id="{00000000-0008-0000-0E00-0000AF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129</xdr:row>
          <xdr:rowOff>731520</xdr:rowOff>
        </xdr:from>
        <xdr:to>
          <xdr:col>102</xdr:col>
          <xdr:colOff>266700</xdr:colOff>
          <xdr:row>130</xdr:row>
          <xdr:rowOff>609600</xdr:rowOff>
        </xdr:to>
        <xdr:sp macro="" textlink="">
          <xdr:nvSpPr>
            <xdr:cNvPr id="4126896" name="Check Box 176" hidden="1">
              <a:extLst>
                <a:ext uri="{63B3BB69-23CF-44E3-9099-C40C66FF867C}">
                  <a14:compatExt spid="_x0000_s4126896"/>
                </a:ext>
                <a:ext uri="{FF2B5EF4-FFF2-40B4-BE49-F238E27FC236}">
                  <a16:creationId xmlns:a16="http://schemas.microsoft.com/office/drawing/2014/main" id="{00000000-0008-0000-0E00-0000B0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139</xdr:row>
          <xdr:rowOff>53340</xdr:rowOff>
        </xdr:from>
        <xdr:to>
          <xdr:col>102</xdr:col>
          <xdr:colOff>266700</xdr:colOff>
          <xdr:row>142</xdr:row>
          <xdr:rowOff>22860</xdr:rowOff>
        </xdr:to>
        <xdr:sp macro="" textlink="">
          <xdr:nvSpPr>
            <xdr:cNvPr id="4126897" name="Check Box 177" hidden="1">
              <a:extLst>
                <a:ext uri="{63B3BB69-23CF-44E3-9099-C40C66FF867C}">
                  <a14:compatExt spid="_x0000_s4126897"/>
                </a:ext>
                <a:ext uri="{FF2B5EF4-FFF2-40B4-BE49-F238E27FC236}">
                  <a16:creationId xmlns:a16="http://schemas.microsoft.com/office/drawing/2014/main" id="{00000000-0008-0000-0E00-0000B1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140</xdr:row>
          <xdr:rowOff>53340</xdr:rowOff>
        </xdr:from>
        <xdr:to>
          <xdr:col>102</xdr:col>
          <xdr:colOff>266700</xdr:colOff>
          <xdr:row>143</xdr:row>
          <xdr:rowOff>0</xdr:rowOff>
        </xdr:to>
        <xdr:sp macro="" textlink="">
          <xdr:nvSpPr>
            <xdr:cNvPr id="4126898" name="Check Box 178" hidden="1">
              <a:extLst>
                <a:ext uri="{63B3BB69-23CF-44E3-9099-C40C66FF867C}">
                  <a14:compatExt spid="_x0000_s4126898"/>
                </a:ext>
                <a:ext uri="{FF2B5EF4-FFF2-40B4-BE49-F238E27FC236}">
                  <a16:creationId xmlns:a16="http://schemas.microsoft.com/office/drawing/2014/main" id="{00000000-0008-0000-0E00-0000B2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142</xdr:row>
          <xdr:rowOff>800100</xdr:rowOff>
        </xdr:from>
        <xdr:to>
          <xdr:col>102</xdr:col>
          <xdr:colOff>266700</xdr:colOff>
          <xdr:row>143</xdr:row>
          <xdr:rowOff>251460</xdr:rowOff>
        </xdr:to>
        <xdr:sp macro="" textlink="">
          <xdr:nvSpPr>
            <xdr:cNvPr id="4126899" name="Check Box 179" hidden="1">
              <a:extLst>
                <a:ext uri="{63B3BB69-23CF-44E3-9099-C40C66FF867C}">
                  <a14:compatExt spid="_x0000_s4126899"/>
                </a:ext>
                <a:ext uri="{FF2B5EF4-FFF2-40B4-BE49-F238E27FC236}">
                  <a16:creationId xmlns:a16="http://schemas.microsoft.com/office/drawing/2014/main" id="{00000000-0008-0000-0E00-0000B3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144</xdr:row>
          <xdr:rowOff>746760</xdr:rowOff>
        </xdr:from>
        <xdr:to>
          <xdr:col>102</xdr:col>
          <xdr:colOff>266700</xdr:colOff>
          <xdr:row>145</xdr:row>
          <xdr:rowOff>0</xdr:rowOff>
        </xdr:to>
        <xdr:sp macro="" textlink="">
          <xdr:nvSpPr>
            <xdr:cNvPr id="4126900" name="Check Box 180" hidden="1">
              <a:extLst>
                <a:ext uri="{63B3BB69-23CF-44E3-9099-C40C66FF867C}">
                  <a14:compatExt spid="_x0000_s4126900"/>
                </a:ext>
                <a:ext uri="{FF2B5EF4-FFF2-40B4-BE49-F238E27FC236}">
                  <a16:creationId xmlns:a16="http://schemas.microsoft.com/office/drawing/2014/main" id="{00000000-0008-0000-0E00-0000B4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154</xdr:row>
          <xdr:rowOff>830580</xdr:rowOff>
        </xdr:from>
        <xdr:to>
          <xdr:col>102</xdr:col>
          <xdr:colOff>266700</xdr:colOff>
          <xdr:row>157</xdr:row>
          <xdr:rowOff>68580</xdr:rowOff>
        </xdr:to>
        <xdr:sp macro="" textlink="">
          <xdr:nvSpPr>
            <xdr:cNvPr id="4126901" name="Check Box 181" hidden="1">
              <a:extLst>
                <a:ext uri="{63B3BB69-23CF-44E3-9099-C40C66FF867C}">
                  <a14:compatExt spid="_x0000_s4126901"/>
                </a:ext>
                <a:ext uri="{FF2B5EF4-FFF2-40B4-BE49-F238E27FC236}">
                  <a16:creationId xmlns:a16="http://schemas.microsoft.com/office/drawing/2014/main" id="{00000000-0008-0000-0E00-0000B5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155</xdr:row>
          <xdr:rowOff>53340</xdr:rowOff>
        </xdr:from>
        <xdr:to>
          <xdr:col>102</xdr:col>
          <xdr:colOff>266700</xdr:colOff>
          <xdr:row>156</xdr:row>
          <xdr:rowOff>68580</xdr:rowOff>
        </xdr:to>
        <xdr:sp macro="" textlink="">
          <xdr:nvSpPr>
            <xdr:cNvPr id="4126902" name="Check Box 182" hidden="1">
              <a:extLst>
                <a:ext uri="{63B3BB69-23CF-44E3-9099-C40C66FF867C}">
                  <a14:compatExt spid="_x0000_s4126902"/>
                </a:ext>
                <a:ext uri="{FF2B5EF4-FFF2-40B4-BE49-F238E27FC236}">
                  <a16:creationId xmlns:a16="http://schemas.microsoft.com/office/drawing/2014/main" id="{00000000-0008-0000-0E00-0000B6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156</xdr:row>
          <xdr:rowOff>53340</xdr:rowOff>
        </xdr:from>
        <xdr:to>
          <xdr:col>102</xdr:col>
          <xdr:colOff>266700</xdr:colOff>
          <xdr:row>156</xdr:row>
          <xdr:rowOff>358140</xdr:rowOff>
        </xdr:to>
        <xdr:sp macro="" textlink="">
          <xdr:nvSpPr>
            <xdr:cNvPr id="4126903" name="Check Box 183" hidden="1">
              <a:extLst>
                <a:ext uri="{63B3BB69-23CF-44E3-9099-C40C66FF867C}">
                  <a14:compatExt spid="_x0000_s4126903"/>
                </a:ext>
                <a:ext uri="{FF2B5EF4-FFF2-40B4-BE49-F238E27FC236}">
                  <a16:creationId xmlns:a16="http://schemas.microsoft.com/office/drawing/2014/main" id="{00000000-0008-0000-0E00-0000B7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157</xdr:row>
          <xdr:rowOff>53340</xdr:rowOff>
        </xdr:from>
        <xdr:to>
          <xdr:col>102</xdr:col>
          <xdr:colOff>266700</xdr:colOff>
          <xdr:row>157</xdr:row>
          <xdr:rowOff>274320</xdr:rowOff>
        </xdr:to>
        <xdr:sp macro="" textlink="">
          <xdr:nvSpPr>
            <xdr:cNvPr id="4126904" name="Check Box 184" hidden="1">
              <a:extLst>
                <a:ext uri="{63B3BB69-23CF-44E3-9099-C40C66FF867C}">
                  <a14:compatExt spid="_x0000_s4126904"/>
                </a:ext>
                <a:ext uri="{FF2B5EF4-FFF2-40B4-BE49-F238E27FC236}">
                  <a16:creationId xmlns:a16="http://schemas.microsoft.com/office/drawing/2014/main" id="{00000000-0008-0000-0E00-0000B8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158</xdr:row>
          <xdr:rowOff>53340</xdr:rowOff>
        </xdr:from>
        <xdr:to>
          <xdr:col>102</xdr:col>
          <xdr:colOff>266700</xdr:colOff>
          <xdr:row>158</xdr:row>
          <xdr:rowOff>274320</xdr:rowOff>
        </xdr:to>
        <xdr:sp macro="" textlink="">
          <xdr:nvSpPr>
            <xdr:cNvPr id="4126905" name="Check Box 185" hidden="1">
              <a:extLst>
                <a:ext uri="{63B3BB69-23CF-44E3-9099-C40C66FF867C}">
                  <a14:compatExt spid="_x0000_s4126905"/>
                </a:ext>
                <a:ext uri="{FF2B5EF4-FFF2-40B4-BE49-F238E27FC236}">
                  <a16:creationId xmlns:a16="http://schemas.microsoft.com/office/drawing/2014/main" id="{00000000-0008-0000-0E00-0000B9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147</xdr:row>
          <xdr:rowOff>53340</xdr:rowOff>
        </xdr:from>
        <xdr:to>
          <xdr:col>102</xdr:col>
          <xdr:colOff>266700</xdr:colOff>
          <xdr:row>148</xdr:row>
          <xdr:rowOff>0</xdr:rowOff>
        </xdr:to>
        <xdr:sp macro="" textlink="">
          <xdr:nvSpPr>
            <xdr:cNvPr id="4126906" name="Check Box 186" hidden="1">
              <a:extLst>
                <a:ext uri="{63B3BB69-23CF-44E3-9099-C40C66FF867C}">
                  <a14:compatExt spid="_x0000_s4126906"/>
                </a:ext>
                <a:ext uri="{FF2B5EF4-FFF2-40B4-BE49-F238E27FC236}">
                  <a16:creationId xmlns:a16="http://schemas.microsoft.com/office/drawing/2014/main" id="{00000000-0008-0000-0E00-0000BA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148</xdr:row>
          <xdr:rowOff>53340</xdr:rowOff>
        </xdr:from>
        <xdr:to>
          <xdr:col>102</xdr:col>
          <xdr:colOff>266700</xdr:colOff>
          <xdr:row>148</xdr:row>
          <xdr:rowOff>274320</xdr:rowOff>
        </xdr:to>
        <xdr:sp macro="" textlink="">
          <xdr:nvSpPr>
            <xdr:cNvPr id="4126907" name="Check Box 187" hidden="1">
              <a:extLst>
                <a:ext uri="{63B3BB69-23CF-44E3-9099-C40C66FF867C}">
                  <a14:compatExt spid="_x0000_s4126907"/>
                </a:ext>
                <a:ext uri="{FF2B5EF4-FFF2-40B4-BE49-F238E27FC236}">
                  <a16:creationId xmlns:a16="http://schemas.microsoft.com/office/drawing/2014/main" id="{00000000-0008-0000-0E00-0000BB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149</xdr:row>
          <xdr:rowOff>53340</xdr:rowOff>
        </xdr:from>
        <xdr:to>
          <xdr:col>102</xdr:col>
          <xdr:colOff>266700</xdr:colOff>
          <xdr:row>149</xdr:row>
          <xdr:rowOff>274320</xdr:rowOff>
        </xdr:to>
        <xdr:sp macro="" textlink="">
          <xdr:nvSpPr>
            <xdr:cNvPr id="4126908" name="Check Box 188" hidden="1">
              <a:extLst>
                <a:ext uri="{63B3BB69-23CF-44E3-9099-C40C66FF867C}">
                  <a14:compatExt spid="_x0000_s4126908"/>
                </a:ext>
                <a:ext uri="{FF2B5EF4-FFF2-40B4-BE49-F238E27FC236}">
                  <a16:creationId xmlns:a16="http://schemas.microsoft.com/office/drawing/2014/main" id="{00000000-0008-0000-0E00-0000BC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150</xdr:row>
          <xdr:rowOff>53340</xdr:rowOff>
        </xdr:from>
        <xdr:to>
          <xdr:col>102</xdr:col>
          <xdr:colOff>266700</xdr:colOff>
          <xdr:row>150</xdr:row>
          <xdr:rowOff>274320</xdr:rowOff>
        </xdr:to>
        <xdr:sp macro="" textlink="">
          <xdr:nvSpPr>
            <xdr:cNvPr id="4126909" name="Check Box 189" hidden="1">
              <a:extLst>
                <a:ext uri="{63B3BB69-23CF-44E3-9099-C40C66FF867C}">
                  <a14:compatExt spid="_x0000_s4126909"/>
                </a:ext>
                <a:ext uri="{FF2B5EF4-FFF2-40B4-BE49-F238E27FC236}">
                  <a16:creationId xmlns:a16="http://schemas.microsoft.com/office/drawing/2014/main" id="{00000000-0008-0000-0E00-0000BDF83E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xdr:twoCellAnchor>
    <xdr:from>
      <xdr:col>6</xdr:col>
      <xdr:colOff>171450</xdr:colOff>
      <xdr:row>0</xdr:row>
      <xdr:rowOff>0</xdr:rowOff>
    </xdr:from>
    <xdr:to>
      <xdr:col>16</xdr:col>
      <xdr:colOff>323850</xdr:colOff>
      <xdr:row>35</xdr:row>
      <xdr:rowOff>123825</xdr:rowOff>
    </xdr:to>
    <xdr:sp macro="" textlink="">
      <xdr:nvSpPr>
        <xdr:cNvPr id="2" name="Text Box 2">
          <a:extLst>
            <a:ext uri="{FF2B5EF4-FFF2-40B4-BE49-F238E27FC236}">
              <a16:creationId xmlns:a16="http://schemas.microsoft.com/office/drawing/2014/main" id="{00000000-0008-0000-1100-000002000000}"/>
            </a:ext>
          </a:extLst>
        </xdr:cNvPr>
        <xdr:cNvSpPr txBox="1">
          <a:spLocks noChangeArrowheads="1"/>
        </xdr:cNvSpPr>
      </xdr:nvSpPr>
      <xdr:spPr bwMode="auto">
        <a:xfrm>
          <a:off x="3829050" y="0"/>
          <a:ext cx="6248400" cy="599122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 </a:t>
          </a:r>
          <a:r>
            <a:rPr lang="en-US" altLang="ja-JP" sz="1100" b="0" i="0" u="none" strike="noStrike" baseline="0">
              <a:solidFill>
                <a:srgbClr val="000000"/>
              </a:solidFill>
              <a:latin typeface="ＭＳ Ｐゴシック"/>
              <a:ea typeface="ＭＳ Ｐゴシック"/>
            </a:rPr>
            <a:t>2024</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SDGs</a:t>
          </a:r>
          <a:r>
            <a:rPr lang="ja-JP" altLang="en-US" sz="1100" b="0" i="0" u="none" strike="noStrike" baseline="0">
              <a:solidFill>
                <a:srgbClr val="000000"/>
              </a:solidFill>
              <a:latin typeface="ＭＳ Ｐゴシック"/>
              <a:ea typeface="ＭＳ Ｐゴシック"/>
            </a:rPr>
            <a:t>対応試行版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版 および </a:t>
          </a:r>
          <a:r>
            <a:rPr lang="en-US" altLang="ja-JP" sz="1100" b="0" i="0" u="none" strike="noStrike" baseline="0">
              <a:solidFill>
                <a:srgbClr val="000000"/>
              </a:solidFill>
              <a:latin typeface="ＭＳ Ｐゴシック"/>
              <a:ea typeface="ＭＳ Ｐゴシック"/>
            </a:rPr>
            <a:t>Microsoft 365</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-UD</a:t>
          </a:r>
          <a:r>
            <a:rPr lang="ja-JP" altLang="en-US" sz="1100" b="0" i="0" u="none" strike="noStrike" baseline="0">
              <a:solidFill>
                <a:srgbClr val="000000"/>
              </a:solidFill>
              <a:latin typeface="ＭＳ Ｐゴシック"/>
              <a:ea typeface="ＭＳ Ｐゴシック"/>
            </a:rPr>
            <a:t>_20</a:t>
          </a:r>
          <a:r>
            <a:rPr lang="en-US" altLang="ja-JP" sz="1100" b="0" i="0" u="none" strike="noStrike" baseline="0">
              <a:solidFill>
                <a:srgbClr val="000000"/>
              </a:solidFill>
              <a:latin typeface="ＭＳ Ｐゴシック"/>
              <a:ea typeface="ＭＳ Ｐゴシック"/>
            </a:rPr>
            <a:t>24SDGs</a:t>
          </a:r>
          <a:r>
            <a:rPr lang="ja-JP" altLang="en-US" sz="1100" b="0" i="0" u="none" strike="noStrike" baseline="0">
              <a:solidFill>
                <a:srgbClr val="000000"/>
              </a:solidFill>
              <a:latin typeface="ＭＳ Ｐゴシック"/>
              <a:ea typeface="ＭＳ Ｐゴシック"/>
            </a:rPr>
            <a:t>試行版v.</a:t>
          </a:r>
          <a:r>
            <a:rPr lang="en-US" altLang="ja-JP" sz="1100" b="0" i="0" u="none" strike="noStrike" baseline="0">
              <a:solidFill>
                <a:srgbClr val="000000"/>
              </a:solidFill>
              <a:latin typeface="ＭＳ Ｐゴシック"/>
              <a:ea typeface="ＭＳ Ｐゴシック"/>
            </a:rPr>
            <a:t>1.0</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2024</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月発行</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建築物の総合的環境評価研究委員会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2019 </a:t>
          </a:r>
          <a:r>
            <a:rPr lang="ja-JP" altLang="en-US" sz="1100" b="0" i="0" u="none" strike="noStrike" baseline="0">
              <a:solidFill>
                <a:srgbClr val="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©2024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0</xdr:row>
      <xdr:rowOff>0</xdr:rowOff>
    </xdr:from>
    <xdr:to>
      <xdr:col>6</xdr:col>
      <xdr:colOff>38100</xdr:colOff>
      <xdr:row>35</xdr:row>
      <xdr:rowOff>123825</xdr:rowOff>
    </xdr:to>
    <xdr:sp macro="" textlink="">
      <xdr:nvSpPr>
        <xdr:cNvPr id="3" name="Text Box 3">
          <a:extLst>
            <a:ext uri="{FF2B5EF4-FFF2-40B4-BE49-F238E27FC236}">
              <a16:creationId xmlns:a16="http://schemas.microsoft.com/office/drawing/2014/main" id="{00000000-0008-0000-1100-000003000000}"/>
            </a:ext>
          </a:extLst>
        </xdr:cNvPr>
        <xdr:cNvSpPr txBox="1">
          <a:spLocks noChangeArrowheads="1"/>
        </xdr:cNvSpPr>
      </xdr:nvSpPr>
      <xdr:spPr bwMode="auto">
        <a:xfrm>
          <a:off x="0" y="0"/>
          <a:ext cx="3695700" cy="599122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街区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a:t>
          </a:r>
          <a:r>
            <a:rPr lang="en-US" altLang="ja-JP" sz="1100" b="0" i="0" u="none" strike="noStrike" baseline="0">
              <a:solidFill>
                <a:srgbClr val="000000"/>
              </a:solidFill>
              <a:latin typeface="ＭＳ Ｐゴシック"/>
              <a:ea typeface="ＭＳ Ｐゴシック"/>
            </a:rPr>
            <a:t>Windows</a:t>
          </a:r>
          <a:r>
            <a:rPr lang="ja-JP" altLang="en-US" sz="1100" b="0" i="0" u="none" strike="noStrike" baseline="0">
              <a:solidFill>
                <a:srgbClr val="000000"/>
              </a:solidFill>
              <a:latin typeface="ＭＳ Ｐゴシック"/>
              <a:ea typeface="ＭＳ Ｐゴシック"/>
            </a:rPr>
            <a:t>版Microsoft Excel </a:t>
          </a:r>
          <a:r>
            <a:rPr lang="en-US" altLang="ja-JP" sz="1100" b="0" i="0" u="none" strike="noStrike" baseline="0">
              <a:solidFill>
                <a:srgbClr val="000000"/>
              </a:solidFill>
              <a:latin typeface="ＭＳ Ｐゴシック"/>
              <a:ea typeface="ＭＳ Ｐゴシック"/>
            </a:rPr>
            <a:t>2019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0.07972</cdr:x>
      <cdr:y>0.43862</cdr:y>
    </cdr:from>
    <cdr:to>
      <cdr:x>0.98122</cdr:x>
      <cdr:y>0.43862</cdr:y>
    </cdr:to>
    <cdr:sp macro="" textlink="">
      <cdr:nvSpPr>
        <cdr:cNvPr id="7173" name="Line 5"/>
        <cdr:cNvSpPr>
          <a:spLocks xmlns:a="http://schemas.openxmlformats.org/drawingml/2006/main" noChangeShapeType="1"/>
        </cdr:cNvSpPr>
      </cdr:nvSpPr>
      <cdr:spPr bwMode="auto">
        <a:xfrm xmlns:a="http://schemas.openxmlformats.org/drawingml/2006/main">
          <a:off x="158103" y="631691"/>
          <a:ext cx="1787770"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0.51693</cdr:x>
      <cdr:y>0.65462</cdr:y>
    </cdr:from>
    <cdr:to>
      <cdr:x>0.74105</cdr:x>
      <cdr:y>0.8181</cdr:y>
    </cdr:to>
    <cdr:sp macro="" textlink="'結果 (2)'!$T$51">
      <cdr:nvSpPr>
        <cdr:cNvPr id="2" name="テキスト ボックス 1"/>
        <cdr:cNvSpPr txBox="1"/>
      </cdr:nvSpPr>
      <cdr:spPr>
        <a:xfrm xmlns:a="http://schemas.openxmlformats.org/drawingml/2006/main">
          <a:off x="1025125" y="942771"/>
          <a:ext cx="444446" cy="23543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0.05572</cdr:x>
      <cdr:y>0.65562</cdr:y>
    </cdr:from>
    <cdr:to>
      <cdr:x>0.31508</cdr:x>
      <cdr:y>0.8171</cdr:y>
    </cdr:to>
    <cdr:sp macro="" textlink="'結果 (2)'!$T$49">
      <cdr:nvSpPr>
        <cdr:cNvPr id="4" name="テキスト ボックス 1"/>
        <cdr:cNvSpPr txBox="1"/>
      </cdr:nvSpPr>
      <cdr:spPr>
        <a:xfrm xmlns:a="http://schemas.openxmlformats.org/drawingml/2006/main">
          <a:off x="110491" y="944211"/>
          <a:ext cx="514350" cy="23255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0.30218</cdr:x>
      <cdr:y>0.64815</cdr:y>
    </cdr:from>
    <cdr:to>
      <cdr:x>0.52983</cdr:x>
      <cdr:y>0.80357</cdr:y>
    </cdr:to>
    <cdr:sp macro="" textlink="'結果 (2)'!$T$50">
      <cdr:nvSpPr>
        <cdr:cNvPr id="5" name="テキスト ボックス 1"/>
        <cdr:cNvSpPr txBox="1"/>
      </cdr:nvSpPr>
      <cdr:spPr>
        <a:xfrm xmlns:a="http://schemas.openxmlformats.org/drawingml/2006/main">
          <a:off x="599261" y="933451"/>
          <a:ext cx="451444" cy="22383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0.72815</cdr:x>
      <cdr:y>0.65476</cdr:y>
    </cdr:from>
    <cdr:to>
      <cdr:x>0.96339</cdr:x>
      <cdr:y>0.80718</cdr:y>
    </cdr:to>
    <cdr:sp macro="" textlink="'結果 (2)'!$T$52">
      <cdr:nvSpPr>
        <cdr:cNvPr id="6" name="テキスト ボックス 1"/>
        <cdr:cNvSpPr txBox="1"/>
      </cdr:nvSpPr>
      <cdr:spPr>
        <a:xfrm xmlns:a="http://schemas.openxmlformats.org/drawingml/2006/main">
          <a:off x="1443991" y="942975"/>
          <a:ext cx="466513" cy="2195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0.06393</cdr:x>
      <cdr:y>0.42101</cdr:y>
    </cdr:from>
    <cdr:to>
      <cdr:x>0.97936</cdr:x>
      <cdr:y>0.42101</cdr:y>
    </cdr:to>
    <cdr:sp macro="" textlink="">
      <cdr:nvSpPr>
        <cdr:cNvPr id="10244" name="Line 4"/>
        <cdr:cNvSpPr>
          <a:spLocks xmlns:a="http://schemas.openxmlformats.org/drawingml/2006/main" noChangeShapeType="1"/>
        </cdr:cNvSpPr>
      </cdr:nvSpPr>
      <cdr:spPr bwMode="auto">
        <a:xfrm xmlns:a="http://schemas.openxmlformats.org/drawingml/2006/main">
          <a:off x="173802" y="607131"/>
          <a:ext cx="2488537"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0.06613</cdr:x>
      <cdr:y>0.62698</cdr:y>
    </cdr:from>
    <cdr:to>
      <cdr:x>0.25584</cdr:x>
      <cdr:y>0.77156</cdr:y>
    </cdr:to>
    <cdr:sp macro="" textlink="'結果 (2)'!$W$49">
      <cdr:nvSpPr>
        <cdr:cNvPr id="2" name="テキスト ボックス 1"/>
        <cdr:cNvSpPr txBox="1"/>
      </cdr:nvSpPr>
      <cdr:spPr>
        <a:xfrm xmlns:a="http://schemas.openxmlformats.org/drawingml/2006/main">
          <a:off x="179766" y="904160"/>
          <a:ext cx="515714" cy="208496"/>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0.21291</cdr:x>
      <cdr:y>0.62698</cdr:y>
    </cdr:from>
    <cdr:to>
      <cdr:x>0.40262</cdr:x>
      <cdr:y>0.77156</cdr:y>
    </cdr:to>
    <cdr:sp macro="" textlink="'結果 (2)'!$W$50">
      <cdr:nvSpPr>
        <cdr:cNvPr id="4" name="テキスト ボックス 1"/>
        <cdr:cNvSpPr txBox="1"/>
      </cdr:nvSpPr>
      <cdr:spPr>
        <a:xfrm xmlns:a="http://schemas.openxmlformats.org/drawingml/2006/main">
          <a:off x="578788" y="904160"/>
          <a:ext cx="515715"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0.3597</cdr:x>
      <cdr:y>0.62698</cdr:y>
    </cdr:from>
    <cdr:to>
      <cdr:x>0.54941</cdr:x>
      <cdr:y>0.77156</cdr:y>
    </cdr:to>
    <cdr:sp macro="" textlink="'結果 (2)'!$W$51">
      <cdr:nvSpPr>
        <cdr:cNvPr id="5" name="テキスト ボックス 1"/>
        <cdr:cNvSpPr txBox="1"/>
      </cdr:nvSpPr>
      <cdr:spPr>
        <a:xfrm xmlns:a="http://schemas.openxmlformats.org/drawingml/2006/main">
          <a:off x="977811"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0.50648</cdr:x>
      <cdr:y>0.62698</cdr:y>
    </cdr:from>
    <cdr:to>
      <cdr:x>0.69619</cdr:x>
      <cdr:y>0.77156</cdr:y>
    </cdr:to>
    <cdr:sp macro="" textlink="'結果 (2)'!$W$52">
      <cdr:nvSpPr>
        <cdr:cNvPr id="3"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376833"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44A9D0-F1FB-4D8C-8630-1FED927F81B6}" type="TxLink">
            <a:rPr lang="en-US" altLang="en-US" sz="1050" b="0" i="0" u="none" strike="noStrike">
              <a:solidFill>
                <a:srgbClr val="000000"/>
              </a:solidFill>
              <a:latin typeface="Arial"/>
              <a:cs typeface="Arial"/>
            </a:rPr>
            <a:pPr algn="ctr"/>
            <a:t> </a:t>
          </a:fld>
          <a:endParaRPr lang="ja-JP" altLang="en-US" sz="900"/>
        </a:p>
      </cdr:txBody>
    </cdr:sp>
  </cdr:relSizeAnchor>
  <cdr:relSizeAnchor xmlns:cdr="http://schemas.openxmlformats.org/drawingml/2006/chartDrawing">
    <cdr:from>
      <cdr:x>0.65326</cdr:x>
      <cdr:y>0.62698</cdr:y>
    </cdr:from>
    <cdr:to>
      <cdr:x>0.84297</cdr:x>
      <cdr:y>0.77156</cdr:y>
    </cdr:to>
    <cdr:sp macro="" textlink="'結果 (2)'!$W$53">
      <cdr:nvSpPr>
        <cdr:cNvPr id="6"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177585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312459-8233-4A49-9C11-589745C6464D}" type="TxLink">
            <a:rPr lang="en-US" altLang="en-US" sz="1000" b="0" i="0" u="none" strike="noStrike">
              <a:solidFill>
                <a:srgbClr val="000000"/>
              </a:solidFill>
              <a:latin typeface="Arial"/>
              <a:cs typeface="Arial"/>
            </a:rPr>
            <a:pPr algn="ctr"/>
            <a:t> </a:t>
          </a:fld>
          <a:endParaRPr lang="ja-JP" altLang="en-US" sz="800"/>
        </a:p>
      </cdr:txBody>
    </cdr:sp>
  </cdr:relSizeAnchor>
  <cdr:relSizeAnchor xmlns:cdr="http://schemas.openxmlformats.org/drawingml/2006/chartDrawing">
    <cdr:from>
      <cdr:x>0.80005</cdr:x>
      <cdr:y>0.62698</cdr:y>
    </cdr:from>
    <cdr:to>
      <cdr:x>0.98976</cdr:x>
      <cdr:y>0.77156</cdr:y>
    </cdr:to>
    <cdr:sp macro="" textlink="'結果 (2)'!$W$54">
      <cdr:nvSpPr>
        <cdr:cNvPr id="7" name="テキスト ボックス 1">
          <a:extLst xmlns:a="http://schemas.openxmlformats.org/drawingml/2006/main">
            <a:ext uri="{FF2B5EF4-FFF2-40B4-BE49-F238E27FC236}">
              <a16:creationId xmlns:a16="http://schemas.microsoft.com/office/drawing/2014/main" id="{C8CC3E51-D5A9-1F63-1B7B-16DC3D6B522C}"/>
            </a:ext>
          </a:extLst>
        </cdr:cNvPr>
        <cdr:cNvSpPr txBox="1"/>
      </cdr:nvSpPr>
      <cdr:spPr>
        <a:xfrm xmlns:a="http://schemas.openxmlformats.org/drawingml/2006/main">
          <a:off x="2174875" y="904160"/>
          <a:ext cx="515714" cy="20849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84B38C-7B12-4A3B-AEA1-8A689F02F8AB}" type="TxLink">
            <a:rPr lang="en-US" altLang="en-US" sz="1000" b="0" i="0" u="none" strike="noStrike">
              <a:solidFill>
                <a:srgbClr val="000000"/>
              </a:solidFill>
              <a:latin typeface="Arial"/>
              <a:cs typeface="Arial"/>
            </a:rPr>
            <a:pPr algn="ctr"/>
            <a:t> </a:t>
          </a:fld>
          <a:endParaRPr lang="ja-JP" altLang="en-US" sz="800"/>
        </a:p>
      </cdr:txBody>
    </cdr:sp>
  </cdr:relSizeAnchor>
</c:userShapes>
</file>

<file path=xl/drawings/drawing6.xml><?xml version="1.0" encoding="utf-8"?>
<c:userShapes xmlns:c="http://schemas.openxmlformats.org/drawingml/2006/chart">
  <cdr:relSizeAnchor xmlns:cdr="http://schemas.openxmlformats.org/drawingml/2006/chartDrawing">
    <cdr:from>
      <cdr:x>0.08845</cdr:x>
      <cdr:y>0.41486</cdr:y>
    </cdr:from>
    <cdr:to>
      <cdr:x>0.97476</cdr:x>
      <cdr:y>0.42056</cdr:y>
    </cdr:to>
    <cdr:sp macro="" textlink="">
      <cdr:nvSpPr>
        <cdr:cNvPr id="10244" name="Line 4"/>
        <cdr:cNvSpPr>
          <a:spLocks xmlns:a="http://schemas.openxmlformats.org/drawingml/2006/main" noChangeShapeType="1"/>
        </cdr:cNvSpPr>
      </cdr:nvSpPr>
      <cdr:spPr bwMode="auto">
        <a:xfrm xmlns:a="http://schemas.openxmlformats.org/drawingml/2006/main">
          <a:off x="180976" y="584834"/>
          <a:ext cx="1813350" cy="803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0.09281</cdr:x>
      <cdr:y>0.63087</cdr:y>
    </cdr:from>
    <cdr:to>
      <cdr:x>0.2986</cdr:x>
      <cdr:y>0.77545</cdr:y>
    </cdr:to>
    <cdr:sp macro="" textlink="'結果 (2)'!$Z$49">
      <cdr:nvSpPr>
        <cdr:cNvPr id="2" name="テキスト ボックス 1"/>
        <cdr:cNvSpPr txBox="1"/>
      </cdr:nvSpPr>
      <cdr:spPr>
        <a:xfrm xmlns:a="http://schemas.openxmlformats.org/drawingml/2006/main">
          <a:off x="189890" y="889339"/>
          <a:ext cx="421040" cy="203814"/>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0.31224</cdr:x>
      <cdr:y>0.63087</cdr:y>
    </cdr:from>
    <cdr:to>
      <cdr:x>0.51803</cdr:x>
      <cdr:y>0.77545</cdr:y>
    </cdr:to>
    <cdr:sp macro="" textlink="'結果 (2)'!$Z$50">
      <cdr:nvSpPr>
        <cdr:cNvPr id="4" name="テキスト ボックス 1"/>
        <cdr:cNvSpPr txBox="1"/>
      </cdr:nvSpPr>
      <cdr:spPr>
        <a:xfrm xmlns:a="http://schemas.openxmlformats.org/drawingml/2006/main">
          <a:off x="638827"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0.53166</cdr:x>
      <cdr:y>0.63087</cdr:y>
    </cdr:from>
    <cdr:to>
      <cdr:x>0.73745</cdr:x>
      <cdr:y>0.77545</cdr:y>
    </cdr:to>
    <cdr:sp macro="" textlink="'結果 (2)'!$Z$51">
      <cdr:nvSpPr>
        <cdr:cNvPr id="5" name="テキスト ボックス 1"/>
        <cdr:cNvSpPr txBox="1"/>
      </cdr:nvSpPr>
      <cdr:spPr>
        <a:xfrm xmlns:a="http://schemas.openxmlformats.org/drawingml/2006/main">
          <a:off x="1087764"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ea typeface="ＭＳ Ｐゴシック"/>
              <a:cs typeface="Arial"/>
            </a:rPr>
            <a:pPr algn="ctr"/>
            <a:t> </a:t>
          </a:fld>
          <a:endParaRPr lang="ja-JP" altLang="en-US" sz="1000"/>
        </a:p>
      </cdr:txBody>
    </cdr:sp>
  </cdr:relSizeAnchor>
  <cdr:relSizeAnchor xmlns:cdr="http://schemas.openxmlformats.org/drawingml/2006/chartDrawing">
    <cdr:from>
      <cdr:x>0.75109</cdr:x>
      <cdr:y>0.63087</cdr:y>
    </cdr:from>
    <cdr:to>
      <cdr:x>0.95688</cdr:x>
      <cdr:y>0.77545</cdr:y>
    </cdr:to>
    <cdr:sp macro="" textlink="'結果 (2)'!$Z$52">
      <cdr:nvSpPr>
        <cdr:cNvPr id="3" name="テキスト ボックス 1">
          <a:extLst xmlns:a="http://schemas.openxmlformats.org/drawingml/2006/main">
            <a:ext uri="{FF2B5EF4-FFF2-40B4-BE49-F238E27FC236}">
              <a16:creationId xmlns:a16="http://schemas.microsoft.com/office/drawing/2014/main" id="{E97D2C82-F787-C891-F45A-E132989773ED}"/>
            </a:ext>
          </a:extLst>
        </cdr:cNvPr>
        <cdr:cNvSpPr txBox="1"/>
      </cdr:nvSpPr>
      <cdr:spPr>
        <a:xfrm xmlns:a="http://schemas.openxmlformats.org/drawingml/2006/main">
          <a:off x="1536700" y="889339"/>
          <a:ext cx="421040" cy="20381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A23EBD-1113-45C9-8FAD-91E814C3F09F}" type="TxLink">
            <a:rPr lang="en-US" altLang="en-US" sz="1050" b="0" i="0" u="none" strike="noStrike">
              <a:solidFill>
                <a:srgbClr val="000000"/>
              </a:solidFill>
              <a:latin typeface="Arial"/>
              <a:cs typeface="Arial"/>
            </a:rPr>
            <a:pPr algn="ctr"/>
            <a:t> </a:t>
          </a:fld>
          <a:endParaRPr lang="ja-JP" altLang="en-US" sz="900"/>
        </a:p>
      </cdr:txBody>
    </cdr:sp>
  </cdr:relSizeAnchor>
</c:userShapes>
</file>

<file path=xl/drawings/drawing7.xml><?xml version="1.0" encoding="utf-8"?>
<c:userShapes xmlns:c="http://schemas.openxmlformats.org/drawingml/2006/chart">
  <cdr:relSizeAnchor xmlns:cdr="http://schemas.openxmlformats.org/drawingml/2006/chartDrawing">
    <cdr:from>
      <cdr:x>0.07948</cdr:x>
      <cdr:y>0.42549</cdr:y>
    </cdr:from>
    <cdr:to>
      <cdr:x>0.98098</cdr:x>
      <cdr:y>0.42549</cdr:y>
    </cdr:to>
    <cdr:sp macro="" textlink="">
      <cdr:nvSpPr>
        <cdr:cNvPr id="7173" name="Line 5"/>
        <cdr:cNvSpPr>
          <a:spLocks xmlns:a="http://schemas.openxmlformats.org/drawingml/2006/main" noChangeShapeType="1"/>
        </cdr:cNvSpPr>
      </cdr:nvSpPr>
      <cdr:spPr bwMode="auto">
        <a:xfrm xmlns:a="http://schemas.openxmlformats.org/drawingml/2006/main">
          <a:off x="189716" y="602247"/>
          <a:ext cx="21518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0.54624</cdr:x>
      <cdr:y>0.62518</cdr:y>
    </cdr:from>
    <cdr:to>
      <cdr:x>0.73392</cdr:x>
      <cdr:y>0.77212</cdr:y>
    </cdr:to>
    <cdr:sp macro="" textlink="'結果 (2)'!$T$62">
      <cdr:nvSpPr>
        <cdr:cNvPr id="2" name="テキスト ボックス 1"/>
        <cdr:cNvSpPr txBox="1"/>
      </cdr:nvSpPr>
      <cdr:spPr>
        <a:xfrm xmlns:a="http://schemas.openxmlformats.org/drawingml/2006/main">
          <a:off x="1303847" y="884886"/>
          <a:ext cx="448000" cy="20798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0.09316</cdr:x>
      <cdr:y>0.62031</cdr:y>
    </cdr:from>
    <cdr:to>
      <cdr:x>0.28455</cdr:x>
      <cdr:y>0.77212</cdr:y>
    </cdr:to>
    <cdr:sp macro="" textlink="'結果 (2)'!$T$60">
      <cdr:nvSpPr>
        <cdr:cNvPr id="4" name="テキスト ボックス 1"/>
        <cdr:cNvSpPr txBox="1"/>
      </cdr:nvSpPr>
      <cdr:spPr>
        <a:xfrm xmlns:a="http://schemas.openxmlformats.org/drawingml/2006/main">
          <a:off x="222373" y="877994"/>
          <a:ext cx="456845" cy="214874"/>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0.29757</cdr:x>
      <cdr:y>0.63489</cdr:y>
    </cdr:from>
    <cdr:to>
      <cdr:x>0.51725</cdr:x>
      <cdr:y>0.77212</cdr:y>
    </cdr:to>
    <cdr:sp macro="" textlink="'結果 (2)'!$T$61">
      <cdr:nvSpPr>
        <cdr:cNvPr id="5" name="テキスト ボックス 1"/>
        <cdr:cNvSpPr txBox="1"/>
      </cdr:nvSpPr>
      <cdr:spPr>
        <a:xfrm xmlns:a="http://schemas.openxmlformats.org/drawingml/2006/main">
          <a:off x="710298" y="898637"/>
          <a:ext cx="524369" cy="19423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0.76291</cdr:x>
      <cdr:y>0.62718</cdr:y>
    </cdr:from>
    <cdr:to>
      <cdr:x>0.97214</cdr:x>
      <cdr:y>0.77212</cdr:y>
    </cdr:to>
    <cdr:sp macro="" textlink="'結果 (2)'!$T$63">
      <cdr:nvSpPr>
        <cdr:cNvPr id="6" name="テキスト ボックス 1"/>
        <cdr:cNvSpPr txBox="1"/>
      </cdr:nvSpPr>
      <cdr:spPr>
        <a:xfrm xmlns:a="http://schemas.openxmlformats.org/drawingml/2006/main">
          <a:off x="1821028" y="887715"/>
          <a:ext cx="499435" cy="20515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 (2)'!$W$60">
      <cdr:nvSpPr>
        <cdr:cNvPr id="2" name="テキスト ボックス 1"/>
        <cdr:cNvSpPr txBox="1"/>
      </cdr:nvSpPr>
      <cdr:spPr>
        <a:xfrm xmlns:a="http://schemas.openxmlformats.org/drawingml/2006/main">
          <a:off x="259308" y="914600"/>
          <a:ext cx="402597" cy="19775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0.43141</cdr:x>
      <cdr:y>0.66867</cdr:y>
    </cdr:from>
    <cdr:to>
      <cdr:x>0.62112</cdr:x>
      <cdr:y>0.81325</cdr:y>
    </cdr:to>
    <cdr:sp macro="" textlink="'結果 (2)'!$W$61">
      <cdr:nvSpPr>
        <cdr:cNvPr id="4" name="テキスト ボックス 1"/>
        <cdr:cNvSpPr txBox="1"/>
      </cdr:nvSpPr>
      <cdr:spPr>
        <a:xfrm xmlns:a="http://schemas.openxmlformats.org/drawingml/2006/main">
          <a:off x="915515" y="914600"/>
          <a:ext cx="402597" cy="197756"/>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0.66867</cdr:y>
    </cdr:from>
    <cdr:to>
      <cdr:x>0.93034</cdr:x>
      <cdr:y>0.81325</cdr:y>
    </cdr:to>
    <cdr:sp macro="" textlink="'結果 (2)'!$W$62">
      <cdr:nvSpPr>
        <cdr:cNvPr id="5" name="テキスト ボックス 1"/>
        <cdr:cNvSpPr txBox="1"/>
      </cdr:nvSpPr>
      <cdr:spPr>
        <a:xfrm xmlns:a="http://schemas.openxmlformats.org/drawingml/2006/main">
          <a:off x="1571722" y="914600"/>
          <a:ext cx="402618" cy="19775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0.14387</cdr:x>
      <cdr:y>0.62812</cdr:y>
    </cdr:from>
    <cdr:to>
      <cdr:x>0.33358</cdr:x>
      <cdr:y>0.7727</cdr:y>
    </cdr:to>
    <cdr:sp macro="" textlink="'結果 (2)'!$Z$60">
      <cdr:nvSpPr>
        <cdr:cNvPr id="2" name="テキスト ボックス 1"/>
        <cdr:cNvSpPr txBox="1"/>
      </cdr:nvSpPr>
      <cdr:spPr>
        <a:xfrm xmlns:a="http://schemas.openxmlformats.org/drawingml/2006/main">
          <a:off x="316011" y="866315"/>
          <a:ext cx="416692" cy="19940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0.44064</cdr:x>
      <cdr:y>0.62812</cdr:y>
    </cdr:from>
    <cdr:to>
      <cdr:x>0.63035</cdr:x>
      <cdr:y>0.7727</cdr:y>
    </cdr:to>
    <cdr:sp macro="" textlink="'結果 (2)'!$Z$61">
      <cdr:nvSpPr>
        <cdr:cNvPr id="4" name="テキスト ボックス 1"/>
        <cdr:cNvSpPr txBox="1"/>
      </cdr:nvSpPr>
      <cdr:spPr>
        <a:xfrm xmlns:a="http://schemas.openxmlformats.org/drawingml/2006/main">
          <a:off x="967843" y="866315"/>
          <a:ext cx="416691"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0.62812</cdr:y>
    </cdr:from>
    <cdr:to>
      <cdr:x>0.92712</cdr:x>
      <cdr:y>0.7727</cdr:y>
    </cdr:to>
    <cdr:sp macro="" textlink="'結果 (2)'!$Z$62">
      <cdr:nvSpPr>
        <cdr:cNvPr id="5" name="テキスト ボックス 1"/>
        <cdr:cNvSpPr txBox="1"/>
      </cdr:nvSpPr>
      <cdr:spPr>
        <a:xfrm xmlns:a="http://schemas.openxmlformats.org/drawingml/2006/main">
          <a:off x="1619674" y="866315"/>
          <a:ext cx="416714" cy="199408"/>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IBECSV2\jsbc&#30740;&#31350;&#38283;&#30330;&#37096;\05_CASBEE\3_&#9733;&#22996;&#21729;&#20250;&#36039;&#26009;\15_CASBEE&#34903;&#21306;\&#35413;&#20385;&#12510;&#12491;&#12517;&#12450;&#12523;\&#9734;2023&#12510;&#12491;&#12517;&#12450;&#12523;&#25913;&#35330;&#20316;&#26989;\CASBEE-&#27700;&#20351;&#29992;&#37327;&#31639;&#23450;&#12471;&#12540;&#12488;.xlsx" TargetMode="External"/><Relationship Id="rId1" Type="http://schemas.openxmlformats.org/officeDocument/2006/relationships/externalLinkPath" Target="/5a629a05c964812f/&#12489;&#12461;&#12517;&#12513;&#12531;&#12488;/JSBC/CASBEE&#38283;&#30330;/CASBEE&#34903;&#21306;&#12477;&#12501;&#12488;/CASBEE-&#27700;&#20351;&#29992;&#37327;&#31639;&#23450;&#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DGs結果表示"/>
      <sheetName val="クレジット"/>
    </sheetNames>
    <sheetDataSet>
      <sheetData sheetId="0">
        <row r="1">
          <cell r="A1" t="e">
            <v>#REF!</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3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4.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4.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300B-0CCD-4AC0-8DEB-47F98E1886BF}">
  <sheetPr codeName="Sheet7">
    <pageSetUpPr fitToPage="1"/>
  </sheetPr>
  <dimension ref="A1:AL78"/>
  <sheetViews>
    <sheetView showGridLines="0" zoomScaleNormal="100" workbookViewId="0">
      <selection activeCell="P20" sqref="P20"/>
    </sheetView>
  </sheetViews>
  <sheetFormatPr defaultColWidth="9" defaultRowHeight="13.95" customHeight="1"/>
  <cols>
    <col min="1" max="1" width="0.77734375" style="63" customWidth="1"/>
    <col min="2" max="2" width="2.109375" style="86" customWidth="1"/>
    <col min="3" max="3" width="15.88671875" style="86" customWidth="1"/>
    <col min="4" max="4" width="5.33203125" style="87" customWidth="1"/>
    <col min="5" max="5" width="9.77734375" style="84" customWidth="1"/>
    <col min="6" max="6" width="6.21875" style="66" customWidth="1"/>
    <col min="7" max="7" width="7" style="66" customWidth="1"/>
    <col min="8" max="8" width="13.109375" style="66" customWidth="1"/>
    <col min="9" max="9" width="6.88671875" style="82" customWidth="1"/>
    <col min="10" max="10" width="12.109375" style="82" customWidth="1"/>
    <col min="11" max="12" width="11.88671875" style="66" customWidth="1"/>
    <col min="13" max="13" width="11.77734375" style="64" customWidth="1"/>
    <col min="14" max="14" width="8.6640625" style="64" customWidth="1"/>
    <col min="15" max="15" width="11.44140625" style="64" customWidth="1"/>
    <col min="16" max="16" width="0.77734375" style="63" customWidth="1"/>
    <col min="17" max="17" width="4.33203125" style="63" bestFit="1" customWidth="1"/>
    <col min="18" max="18" width="22.88671875" style="60" bestFit="1" customWidth="1"/>
    <col min="19" max="19" width="20.6640625" style="644" bestFit="1" customWidth="1"/>
    <col min="20" max="20" width="16.88671875" style="60" bestFit="1" customWidth="1"/>
    <col min="21" max="21" width="15" style="60" bestFit="1" customWidth="1"/>
    <col min="22" max="22" width="28.88671875" style="60" bestFit="1" customWidth="1"/>
    <col min="23" max="23" width="11.6640625" style="60" bestFit="1" customWidth="1"/>
    <col min="24" max="24" width="224.44140625" style="60" bestFit="1" customWidth="1"/>
    <col min="25" max="25" width="20.6640625" style="60" bestFit="1" customWidth="1"/>
    <col min="26" max="26" width="19.6640625" style="60" bestFit="1" customWidth="1"/>
    <col min="27" max="27" width="5" style="60" bestFit="1" customWidth="1"/>
    <col min="28" max="28" width="5.6640625" style="60" hidden="1" customWidth="1"/>
    <col min="29" max="29" width="22.88671875" style="60" bestFit="1" customWidth="1"/>
    <col min="30" max="30" width="14.88671875" style="60" bestFit="1" customWidth="1"/>
    <col min="31" max="31" width="5.6640625" style="60" hidden="1" customWidth="1"/>
    <col min="32" max="32" width="6.109375" style="60" bestFit="1" customWidth="1"/>
    <col min="33" max="38" width="5.6640625" style="60" hidden="1" customWidth="1"/>
    <col min="39" max="41" width="5.6640625" style="60" customWidth="1"/>
    <col min="42" max="47" width="9" style="60" customWidth="1"/>
    <col min="48" max="16384" width="9" style="60"/>
  </cols>
  <sheetData>
    <row r="1" spans="2:27" customFormat="1" ht="13.95" customHeight="1" thickBot="1"/>
    <row r="2" spans="2:27" ht="13.95" customHeight="1" thickTop="1">
      <c r="B2"/>
      <c r="C2"/>
      <c r="D2"/>
      <c r="E2"/>
      <c r="F2"/>
      <c r="G2"/>
      <c r="H2"/>
      <c r="I2"/>
      <c r="J2"/>
      <c r="K2"/>
      <c r="L2"/>
      <c r="M2"/>
      <c r="N2"/>
      <c r="O2"/>
      <c r="Q2" s="1731" t="s">
        <v>70</v>
      </c>
      <c r="S2" s="60"/>
    </row>
    <row r="3" spans="2:27" ht="13.95" customHeight="1">
      <c r="B3"/>
      <c r="C3"/>
      <c r="D3"/>
      <c r="E3"/>
      <c r="F3"/>
      <c r="G3"/>
      <c r="H3"/>
      <c r="I3"/>
      <c r="J3"/>
      <c r="K3"/>
      <c r="L3"/>
      <c r="M3"/>
      <c r="N3"/>
      <c r="O3"/>
      <c r="Q3" s="1732"/>
      <c r="S3" s="60"/>
    </row>
    <row r="4" spans="2:27" ht="13.95" customHeight="1">
      <c r="B4"/>
      <c r="C4"/>
      <c r="D4"/>
      <c r="E4"/>
      <c r="F4"/>
      <c r="G4"/>
      <c r="H4"/>
      <c r="I4"/>
      <c r="J4"/>
      <c r="K4"/>
      <c r="L4"/>
      <c r="M4"/>
      <c r="N4"/>
      <c r="O4"/>
      <c r="Q4" s="1732"/>
      <c r="S4" s="60"/>
    </row>
    <row r="5" spans="2:27" ht="13.95" customHeight="1" thickBot="1">
      <c r="B5" s="550"/>
      <c r="C5" s="551"/>
      <c r="D5" s="548"/>
      <c r="E5" s="549"/>
      <c r="F5" s="170"/>
      <c r="G5" s="170"/>
      <c r="H5" s="170"/>
      <c r="I5" s="552"/>
      <c r="J5" s="322" t="s">
        <v>71</v>
      </c>
      <c r="K5" s="323" t="str">
        <f>メイン!C6</f>
        <v>CASBEE-街区 2024年SDGs対応試行版</v>
      </c>
      <c r="L5" s="56"/>
      <c r="M5" s="322"/>
      <c r="N5" s="320"/>
      <c r="O5" s="324" t="str">
        <f>メイン!C5</f>
        <v>CASBEE-UD_2024SDGs試行版v1.0</v>
      </c>
      <c r="Q5" s="1733"/>
      <c r="R5" s="553" t="s">
        <v>74</v>
      </c>
      <c r="S5" s="60"/>
      <c r="U5" s="553" t="s">
        <v>75</v>
      </c>
    </row>
    <row r="6" spans="2:27" ht="5.4" customHeight="1" thickTop="1" thickBot="1">
      <c r="B6" s="554"/>
      <c r="J6" s="555"/>
      <c r="K6" s="555"/>
      <c r="L6" s="556"/>
      <c r="M6" s="84"/>
      <c r="N6" s="84"/>
      <c r="O6" s="84"/>
      <c r="S6" s="60"/>
    </row>
    <row r="7" spans="2:27" ht="15" customHeight="1" thickBot="1">
      <c r="B7" s="161" t="s">
        <v>72</v>
      </c>
      <c r="C7" s="112"/>
      <c r="D7" s="113"/>
      <c r="E7" s="112"/>
      <c r="F7" s="112"/>
      <c r="G7" s="112"/>
      <c r="H7" s="112"/>
      <c r="I7" s="112"/>
      <c r="J7" s="112"/>
      <c r="K7" s="112"/>
      <c r="L7" s="221" t="s">
        <v>73</v>
      </c>
      <c r="M7" s="61"/>
      <c r="N7" s="61"/>
      <c r="O7" s="62"/>
      <c r="R7" s="557" t="s">
        <v>78</v>
      </c>
      <c r="S7" s="720">
        <f>スコア!V7</f>
        <v>3.0476190476190474</v>
      </c>
      <c r="U7" s="340"/>
      <c r="V7" s="340" t="s">
        <v>79</v>
      </c>
      <c r="W7" s="340" t="s">
        <v>173</v>
      </c>
      <c r="X7" s="340">
        <v>4</v>
      </c>
      <c r="Y7" s="340">
        <v>2</v>
      </c>
      <c r="Z7" s="340" t="s">
        <v>144</v>
      </c>
      <c r="AA7" s="557" t="s">
        <v>174</v>
      </c>
    </row>
    <row r="8" spans="2:27" ht="15" customHeight="1">
      <c r="B8" s="162" t="s">
        <v>76</v>
      </c>
      <c r="C8" s="203"/>
      <c r="D8" s="428" t="str">
        <f>IF(メイン!C10="","",メイン!C10)</f>
        <v>Aプロジェクト</v>
      </c>
      <c r="E8" s="163"/>
      <c r="F8" s="163"/>
      <c r="G8" s="202"/>
      <c r="H8" s="256" t="s">
        <v>77</v>
      </c>
      <c r="I8" s="255"/>
      <c r="J8" s="424" t="str">
        <f>IF(メイン!C26="","",メイン!C26)</f>
        <v>第一種市街地再開発事業</v>
      </c>
      <c r="K8" s="274"/>
      <c r="L8" s="291"/>
      <c r="M8" s="291"/>
      <c r="N8" s="291"/>
      <c r="O8" s="292"/>
      <c r="R8" s="557" t="s">
        <v>175</v>
      </c>
      <c r="S8" s="720">
        <f>スコア!V99</f>
        <v>2.9012345679012341</v>
      </c>
      <c r="U8" s="340" t="s">
        <v>84</v>
      </c>
      <c r="V8" s="340" t="str">
        <f>スコア!B41</f>
        <v>Q-2 社会</v>
      </c>
      <c r="W8" s="340">
        <v>5</v>
      </c>
      <c r="X8" s="340">
        <v>4</v>
      </c>
      <c r="Y8" s="340">
        <v>2</v>
      </c>
      <c r="Z8" s="340">
        <f>V46</f>
        <v>3</v>
      </c>
      <c r="AA8" s="557">
        <v>3</v>
      </c>
    </row>
    <row r="9" spans="2:27" ht="15" customHeight="1">
      <c r="B9" s="21" t="s">
        <v>81</v>
      </c>
      <c r="C9" s="204"/>
      <c r="D9" s="429" t="str">
        <f>IF(メイン!C11="","",メイン!C11)</f>
        <v>東京都千代田区</v>
      </c>
      <c r="E9" s="20"/>
      <c r="F9" s="22"/>
      <c r="G9" s="125"/>
      <c r="H9" s="68" t="s">
        <v>82</v>
      </c>
      <c r="I9" s="20"/>
      <c r="J9" s="1734" t="str">
        <f>ROUND(メイン!C28,0)&amp;"%  ／ "&amp;ROUND(メイン!C29,0)&amp;"%"</f>
        <v>100%  ／ 760%</v>
      </c>
      <c r="K9" s="1735"/>
      <c r="L9" s="283"/>
      <c r="M9" s="283"/>
      <c r="N9" s="283"/>
      <c r="O9" s="284"/>
      <c r="R9" s="455" t="s">
        <v>89</v>
      </c>
      <c r="S9" s="455">
        <f>25*(S7-1)</f>
        <v>51.19047619047619</v>
      </c>
      <c r="U9" s="340" t="s">
        <v>90</v>
      </c>
      <c r="V9" s="340" t="str">
        <f>スコア!B74</f>
        <v>Q-3 経済</v>
      </c>
      <c r="W9" s="340">
        <v>5</v>
      </c>
      <c r="X9" s="340">
        <v>4</v>
      </c>
      <c r="Y9" s="340">
        <v>2</v>
      </c>
      <c r="Z9" s="340">
        <f>Y46</f>
        <v>3.1</v>
      </c>
      <c r="AA9" s="557">
        <v>3</v>
      </c>
    </row>
    <row r="10" spans="2:27" ht="15" customHeight="1">
      <c r="B10" s="21" t="s">
        <v>86</v>
      </c>
      <c r="C10" s="204"/>
      <c r="D10" s="271">
        <f>IF(メイン!C30="","",メイン!C30)</f>
        <v>5</v>
      </c>
      <c r="E10" s="430" t="s">
        <v>87</v>
      </c>
      <c r="F10" s="60"/>
      <c r="G10" s="60"/>
      <c r="H10" s="210" t="s">
        <v>88</v>
      </c>
      <c r="I10" s="63"/>
      <c r="J10" s="1736" t="str">
        <f>メイン!C31&amp;"ha"</f>
        <v>2.5ha</v>
      </c>
      <c r="K10" s="1737"/>
      <c r="L10" s="283"/>
      <c r="M10" s="283"/>
      <c r="N10" s="283"/>
      <c r="O10" s="284"/>
      <c r="R10" s="455" t="s">
        <v>94</v>
      </c>
      <c r="S10" s="455">
        <f>25*(5-S8)</f>
        <v>52.469135802469147</v>
      </c>
      <c r="U10" s="340" t="s">
        <v>176</v>
      </c>
      <c r="V10" s="340" t="str">
        <f>スコア!B127</f>
        <v>LR-3 周辺環境</v>
      </c>
      <c r="W10" s="340">
        <v>5</v>
      </c>
      <c r="X10" s="340">
        <v>4</v>
      </c>
      <c r="Y10" s="340">
        <v>2</v>
      </c>
      <c r="Z10" s="340">
        <f>Y57</f>
        <v>2.6</v>
      </c>
      <c r="AA10" s="557">
        <v>3</v>
      </c>
    </row>
    <row r="11" spans="2:27" ht="15" customHeight="1">
      <c r="B11" s="21" t="s">
        <v>92</v>
      </c>
      <c r="C11" s="205"/>
      <c r="D11" s="1718">
        <f>IF(メイン!C12="","",メイン!C12)</f>
        <v>45292</v>
      </c>
      <c r="E11" s="1719"/>
      <c r="F11" s="138">
        <f>メイン!E13</f>
        <v>0</v>
      </c>
      <c r="G11" s="211"/>
      <c r="H11" s="210" t="s">
        <v>93</v>
      </c>
      <c r="I11" s="213"/>
      <c r="J11" s="1720" t="str">
        <f>ROUND(メイン!C32,0)&amp;"㎡  ／ "&amp;ROUND(メイン!C33,0)&amp;"%"</f>
        <v>16000㎡  ／ 64%</v>
      </c>
      <c r="K11" s="1721"/>
      <c r="L11" s="283"/>
      <c r="M11" s="283"/>
      <c r="N11" s="283"/>
      <c r="O11" s="284"/>
      <c r="R11" s="455" t="s">
        <v>100</v>
      </c>
      <c r="S11" s="455">
        <f>S9/S10</f>
        <v>0.97563025210084009</v>
      </c>
      <c r="U11" s="340" t="s">
        <v>177</v>
      </c>
      <c r="V11" s="340" t="str">
        <f>スコア!B107</f>
        <v>LR-2 資源</v>
      </c>
      <c r="W11" s="340">
        <v>5</v>
      </c>
      <c r="X11" s="340">
        <v>4</v>
      </c>
      <c r="Y11" s="340">
        <v>2</v>
      </c>
      <c r="Z11" s="340">
        <f>V57</f>
        <v>3</v>
      </c>
      <c r="AA11" s="557">
        <v>3</v>
      </c>
    </row>
    <row r="12" spans="2:27" ht="15" customHeight="1">
      <c r="B12" s="21" t="s">
        <v>97</v>
      </c>
      <c r="C12" s="205"/>
      <c r="D12" s="427" t="s">
        <v>98</v>
      </c>
      <c r="E12" s="257" t="str">
        <f>IF(メイン!C15=0,"",メイン!C15)</f>
        <v>商業地域、防火地域</v>
      </c>
      <c r="F12" s="257"/>
      <c r="G12" s="265"/>
      <c r="H12" s="259" t="s">
        <v>99</v>
      </c>
      <c r="I12" s="260"/>
      <c r="J12" s="1727" t="str">
        <f>ROUND(メイン!C34,0)&amp;"㎡  ／ "&amp;ROUND(メイン!C35,0)&amp;"%"</f>
        <v>200000㎡  ／ 800%</v>
      </c>
      <c r="K12" s="1728"/>
      <c r="L12" s="283"/>
      <c r="M12" s="283"/>
      <c r="N12" s="283"/>
      <c r="O12" s="284"/>
      <c r="R12" s="455" t="s">
        <v>106</v>
      </c>
      <c r="S12" s="561">
        <f>ROUNDDOWN(S11,1)</f>
        <v>0.9</v>
      </c>
      <c r="U12" s="340" t="s">
        <v>178</v>
      </c>
      <c r="V12" s="340" t="str">
        <f>スコア!B100</f>
        <v>LR-1 エネルギー</v>
      </c>
      <c r="W12" s="340">
        <v>5</v>
      </c>
      <c r="X12" s="340">
        <v>4</v>
      </c>
      <c r="Y12" s="340">
        <v>2</v>
      </c>
      <c r="Z12" s="340">
        <f>S57</f>
        <v>3</v>
      </c>
      <c r="AA12" s="557">
        <v>3</v>
      </c>
    </row>
    <row r="13" spans="2:27" ht="15" customHeight="1">
      <c r="B13" s="724" t="s">
        <v>103</v>
      </c>
      <c r="C13" s="266"/>
      <c r="D13" s="301" t="str">
        <f>"（ "&amp;ROUND(メイン!$C$16,0)&amp;"%　／　"&amp;ROUND(メイン!$C$17,0)&amp;"% ）"</f>
        <v>（ 80%　／　800% ）</v>
      </c>
      <c r="E13" s="22"/>
      <c r="F13" s="269"/>
      <c r="G13" s="270"/>
      <c r="H13" s="210" t="s">
        <v>104</v>
      </c>
      <c r="I13" s="214"/>
      <c r="J13" s="433" t="str">
        <f>メイン!C40</f>
        <v>2023/X/X</v>
      </c>
      <c r="K13" s="258"/>
      <c r="L13" s="283"/>
      <c r="M13" s="286" t="s">
        <v>105</v>
      </c>
      <c r="N13" s="283"/>
      <c r="O13" s="284"/>
      <c r="R13" s="455" t="s">
        <v>110</v>
      </c>
      <c r="S13" s="562">
        <f>IF(AND($S$9&gt;=50,$S$11&gt;=3),1,IF(S12&lt;0.5,1,IF(S12&lt;1,2,IF(S12&lt;1.5,3,IF(S12&lt;3,4,4))))/5)</f>
        <v>0.4</v>
      </c>
      <c r="U13" s="340" t="s">
        <v>101</v>
      </c>
      <c r="V13" s="340" t="str">
        <f>スコア!B8</f>
        <v>Q-1 環境</v>
      </c>
      <c r="W13" s="340">
        <v>5</v>
      </c>
      <c r="X13" s="340">
        <v>4</v>
      </c>
      <c r="Y13" s="340">
        <v>2</v>
      </c>
      <c r="Z13" s="340">
        <f>IF(S46=0,1,S46)</f>
        <v>3</v>
      </c>
      <c r="AA13" s="557">
        <v>3</v>
      </c>
    </row>
    <row r="14" spans="2:27" ht="15" customHeight="1">
      <c r="B14" s="124"/>
      <c r="C14" s="206"/>
      <c r="D14" s="427" t="s">
        <v>107</v>
      </c>
      <c r="E14" s="257" t="str">
        <f>IF(メイン!D15=0,"",メイン!D15)</f>
        <v/>
      </c>
      <c r="F14" s="160"/>
      <c r="G14" s="275"/>
      <c r="H14" s="21" t="s">
        <v>108</v>
      </c>
      <c r="I14" s="326"/>
      <c r="J14" s="1729" t="str">
        <f>IF(メイン!C42="","","(1)　 "&amp;メイン!C42)</f>
        <v>(1)　 ■■　■■</v>
      </c>
      <c r="K14" s="1738"/>
      <c r="L14" s="283"/>
      <c r="M14" s="286"/>
      <c r="N14" s="283"/>
      <c r="O14" s="284"/>
      <c r="R14" s="455" t="s">
        <v>113</v>
      </c>
      <c r="S14" s="563">
        <f>1-S13</f>
        <v>0.6</v>
      </c>
    </row>
    <row r="15" spans="2:27" ht="15" customHeight="1">
      <c r="B15" s="124"/>
      <c r="C15" s="206"/>
      <c r="D15" s="301" t="str">
        <f>"（ "&amp;ROUND(メイン!$D$16,0)&amp;"%　／　"&amp;ROUND(メイン!$D$17,0)&amp;"% ）"</f>
        <v>（ 0%　／　0% ）</v>
      </c>
      <c r="E15" s="22"/>
      <c r="F15" s="269"/>
      <c r="G15" s="270"/>
      <c r="H15" s="60"/>
      <c r="I15" s="326"/>
      <c r="J15" s="1729" t="str">
        <f>IF(メイン!D42="","","(2)　 "&amp;メイン!D42)</f>
        <v>(2)　 ■■　■■</v>
      </c>
      <c r="K15" s="1730"/>
      <c r="L15" s="283"/>
      <c r="M15" s="287" t="s">
        <v>109</v>
      </c>
      <c r="N15" s="283"/>
      <c r="O15" s="284"/>
      <c r="S15" s="60"/>
    </row>
    <row r="16" spans="2:27" ht="15" customHeight="1">
      <c r="B16" s="124"/>
      <c r="C16" s="206"/>
      <c r="D16" s="427" t="s">
        <v>111</v>
      </c>
      <c r="E16" s="257" t="str">
        <f>IF(メイン!C19=0,"",メイン!C19)</f>
        <v/>
      </c>
      <c r="F16" s="160"/>
      <c r="G16" s="275"/>
      <c r="H16" s="210"/>
      <c r="I16" s="326"/>
      <c r="J16" s="1729" t="str">
        <f>IF(メイン!E42="","","(3)　 "&amp;メイン!E42)</f>
        <v>(3)　 ■■　■■</v>
      </c>
      <c r="K16" s="1730"/>
      <c r="L16" s="283"/>
      <c r="M16" s="287" t="s">
        <v>112</v>
      </c>
      <c r="N16" s="283"/>
      <c r="O16" s="284"/>
      <c r="S16" s="60"/>
      <c r="V16" s="63"/>
      <c r="Z16" s="63"/>
    </row>
    <row r="17" spans="2:32" ht="15" customHeight="1">
      <c r="B17" s="68"/>
      <c r="C17" s="207"/>
      <c r="D17" s="301" t="str">
        <f>"（ "&amp;ROUND(メイン!$C$20,0)&amp;"%　／　"&amp;ROUND(メイン!$C$21,0)&amp;"% ）"</f>
        <v>（ 0%　／　0% ）</v>
      </c>
      <c r="E17" s="22"/>
      <c r="F17" s="269"/>
      <c r="G17" s="270"/>
      <c r="H17" s="212"/>
      <c r="I17" s="326"/>
      <c r="J17" s="1729" t="str">
        <f>IF(メイン!C44="","","(4)　 "&amp;メイン!C44)</f>
        <v>(4)　 ■■　■■</v>
      </c>
      <c r="K17" s="1730"/>
      <c r="L17" s="283"/>
      <c r="M17" s="283"/>
      <c r="N17" s="283"/>
      <c r="O17" s="284"/>
      <c r="S17" s="60"/>
      <c r="T17" s="63"/>
      <c r="U17" s="141"/>
      <c r="V17" s="63"/>
      <c r="W17" s="63"/>
      <c r="X17" s="63"/>
      <c r="Y17" s="63"/>
      <c r="Z17" s="63"/>
      <c r="AA17" s="63"/>
      <c r="AB17" s="63"/>
    </row>
    <row r="18" spans="2:32" ht="15" customHeight="1">
      <c r="B18" s="21"/>
      <c r="C18" s="208"/>
      <c r="D18" s="427" t="s">
        <v>114</v>
      </c>
      <c r="E18" s="257" t="str">
        <f>IF(メイン!D19=0,"",メイン!D19)</f>
        <v/>
      </c>
      <c r="F18" s="160"/>
      <c r="G18" s="275"/>
      <c r="H18" s="60"/>
      <c r="I18" s="326"/>
      <c r="J18" s="1729" t="str">
        <f>IF(メイン!D44="","","(5)　 "&amp;メイン!D44)</f>
        <v>(5)　 ■■　■■</v>
      </c>
      <c r="K18" s="1730"/>
      <c r="L18" s="283"/>
      <c r="M18" s="283"/>
      <c r="N18" s="283"/>
      <c r="O18" s="284"/>
      <c r="R18" s="63"/>
      <c r="S18" s="63"/>
      <c r="T18" s="63"/>
      <c r="U18" s="63"/>
      <c r="V18" s="63"/>
      <c r="W18" s="63"/>
      <c r="X18" s="63"/>
      <c r="Y18" s="63"/>
      <c r="Z18" s="63"/>
      <c r="AA18" s="63"/>
      <c r="AB18" s="63"/>
    </row>
    <row r="19" spans="2:32" ht="15" customHeight="1">
      <c r="B19" s="201"/>
      <c r="C19" s="209"/>
      <c r="D19" s="301" t="str">
        <f>"（ "&amp;ROUND(メイン!$D$20,0)&amp;"%　／　"&amp;ROUND(メイン!$D$21,0)&amp;"% ）"</f>
        <v>（ 0%　／　0% ）</v>
      </c>
      <c r="E19" s="22"/>
      <c r="F19" s="269"/>
      <c r="G19" s="270"/>
      <c r="H19" s="215"/>
      <c r="I19" s="327"/>
      <c r="J19" s="1722" t="str">
        <f>IF(メイン!E44="","","(6)　 "&amp;メイン!E44)</f>
        <v>(6)　 ■■　■■</v>
      </c>
      <c r="K19" s="1723"/>
      <c r="L19" s="293"/>
      <c r="M19" s="294"/>
      <c r="N19" s="295"/>
      <c r="O19" s="296"/>
      <c r="R19" s="301"/>
      <c r="S19" s="430"/>
      <c r="T19" s="63"/>
      <c r="U19" s="63"/>
      <c r="V19" s="430"/>
      <c r="W19" s="64"/>
      <c r="X19" s="63"/>
      <c r="Y19" s="63"/>
      <c r="Z19" s="63"/>
      <c r="AA19" s="63"/>
      <c r="AB19" s="63"/>
    </row>
    <row r="20" spans="2:32" ht="15" customHeight="1">
      <c r="B20" s="272" t="s">
        <v>115</v>
      </c>
      <c r="C20" s="273"/>
      <c r="D20" s="301" t="str">
        <f>ROUND(メイン!C24,0)&amp;"%  ／ "&amp;ROUND(メイン!C25,0)&amp;"%"</f>
        <v>70%  ／ 445%</v>
      </c>
      <c r="E20" s="431"/>
      <c r="F20" s="130"/>
      <c r="G20" s="130"/>
      <c r="H20" s="215" t="s">
        <v>116</v>
      </c>
      <c r="I20" s="216"/>
      <c r="J20" s="425" t="str">
        <f>メイン!C45</f>
        <v>2023/X/X</v>
      </c>
      <c r="K20" s="267"/>
      <c r="L20" s="293"/>
      <c r="M20" s="294"/>
      <c r="N20" s="295"/>
      <c r="O20" s="296"/>
      <c r="R20" s="301"/>
      <c r="S20" s="430"/>
      <c r="T20" s="63"/>
      <c r="U20" s="63"/>
      <c r="V20" s="430"/>
      <c r="W20" s="64"/>
      <c r="X20" s="63"/>
      <c r="Y20" s="63"/>
      <c r="Z20" s="63"/>
      <c r="AA20" s="63"/>
      <c r="AB20" s="63"/>
    </row>
    <row r="21" spans="2:32" ht="15" customHeight="1" thickBot="1">
      <c r="B21" s="261" t="s">
        <v>117</v>
      </c>
      <c r="C21" s="262"/>
      <c r="D21" s="422" t="e">
        <f>#REF!</f>
        <v>#REF!</v>
      </c>
      <c r="E21" s="420" t="s">
        <v>118</v>
      </c>
      <c r="F21" s="419"/>
      <c r="G21" s="421"/>
      <c r="H21" s="222" t="s">
        <v>119</v>
      </c>
      <c r="I21" s="123"/>
      <c r="J21" s="426" t="str">
        <f>メイン!C46</f>
        <v>□□　□□</v>
      </c>
      <c r="K21" s="268"/>
      <c r="L21" s="297"/>
      <c r="M21" s="298"/>
      <c r="N21" s="299"/>
      <c r="O21" s="300"/>
      <c r="R21" s="301"/>
      <c r="S21" s="430"/>
      <c r="T21" s="63"/>
      <c r="U21" s="63"/>
      <c r="V21" s="430"/>
      <c r="W21" s="64"/>
      <c r="X21" s="63"/>
      <c r="Y21" s="63"/>
      <c r="Z21" s="63"/>
      <c r="AA21" s="63"/>
      <c r="AB21" s="63"/>
    </row>
    <row r="22" spans="2:32" ht="5.4" customHeight="1" thickBot="1">
      <c r="B22" s="565"/>
      <c r="C22" s="566"/>
      <c r="D22" s="565"/>
      <c r="E22" s="567"/>
      <c r="F22" s="567"/>
      <c r="G22" s="567"/>
      <c r="H22" s="567"/>
      <c r="I22" s="568"/>
      <c r="J22" s="569"/>
      <c r="K22" s="570"/>
      <c r="L22" s="567"/>
      <c r="M22" s="567"/>
      <c r="N22" s="567"/>
      <c r="O22" s="567"/>
      <c r="R22" s="301"/>
      <c r="S22" s="430"/>
      <c r="T22" s="63"/>
      <c r="U22" s="63"/>
      <c r="V22" s="430"/>
      <c r="W22" s="64"/>
      <c r="X22" s="63"/>
      <c r="Y22" s="63"/>
      <c r="Z22" s="63"/>
      <c r="AA22" s="63"/>
      <c r="AB22" s="63"/>
    </row>
    <row r="23" spans="2:32" ht="15" customHeight="1" thickBot="1">
      <c r="B23" s="104" t="s">
        <v>120</v>
      </c>
      <c r="C23" s="178"/>
      <c r="D23" s="263"/>
      <c r="E23" s="264"/>
      <c r="F23" s="264"/>
      <c r="G23" s="264"/>
      <c r="H23" s="571" t="s">
        <v>179</v>
      </c>
      <c r="I23" s="177"/>
      <c r="J23" s="179"/>
      <c r="K23" s="179"/>
      <c r="L23" s="1724" t="s">
        <v>180</v>
      </c>
      <c r="M23" s="1725"/>
      <c r="N23" s="1725"/>
      <c r="O23" s="1726"/>
      <c r="R23" s="455" t="s">
        <v>181</v>
      </c>
      <c r="S23" s="558" t="s">
        <v>125</v>
      </c>
      <c r="T23" s="558" t="s">
        <v>80</v>
      </c>
      <c r="U23" s="558" t="s">
        <v>126</v>
      </c>
      <c r="AB23" s="63"/>
    </row>
    <row r="24" spans="2:32" ht="15" customHeight="1">
      <c r="B24" s="124"/>
      <c r="C24" s="60"/>
      <c r="D24" s="60"/>
      <c r="E24" s="60"/>
      <c r="F24" s="60"/>
      <c r="G24" s="60"/>
      <c r="H24" s="572"/>
      <c r="I24" s="573"/>
      <c r="J24" s="567"/>
      <c r="K24" s="574"/>
      <c r="L24" s="124"/>
      <c r="M24" s="60"/>
      <c r="N24" s="60"/>
      <c r="O24" s="125"/>
      <c r="P24" s="60"/>
      <c r="Q24" s="60"/>
      <c r="R24" s="455" t="s">
        <v>130</v>
      </c>
      <c r="S24" s="559"/>
      <c r="T24" s="575">
        <f>S10</f>
        <v>52.469135802469147</v>
      </c>
      <c r="U24" s="559">
        <v>0</v>
      </c>
      <c r="V24" s="63"/>
      <c r="W24" s="558" t="s">
        <v>127</v>
      </c>
      <c r="X24" s="558"/>
      <c r="Y24" s="63"/>
      <c r="Z24" s="558" t="s">
        <v>128</v>
      </c>
      <c r="AA24" s="558"/>
      <c r="AB24" s="63"/>
      <c r="AC24" s="1739" t="s">
        <v>182</v>
      </c>
      <c r="AD24" s="1740"/>
      <c r="AE24" s="1741"/>
      <c r="AF24" s="653">
        <v>0.5</v>
      </c>
    </row>
    <row r="25" spans="2:32" ht="15" customHeight="1">
      <c r="B25" s="576"/>
      <c r="C25" s="577">
        <f>S12</f>
        <v>0.9</v>
      </c>
      <c r="D25" s="60"/>
      <c r="E25" s="60"/>
      <c r="F25" s="60"/>
      <c r="G25" s="60"/>
      <c r="H25" s="578"/>
      <c r="I25" s="320"/>
      <c r="J25" s="579"/>
      <c r="K25" s="580"/>
      <c r="L25" s="581"/>
      <c r="M25" s="60"/>
      <c r="N25" s="60"/>
      <c r="O25" s="125"/>
      <c r="P25" s="60"/>
      <c r="Q25" s="60"/>
      <c r="R25" s="455" t="s">
        <v>131</v>
      </c>
      <c r="S25" s="559"/>
      <c r="T25" s="575">
        <f>S9</f>
        <v>51.19047619047619</v>
      </c>
      <c r="U25" s="559">
        <v>0</v>
      </c>
      <c r="V25" s="63"/>
      <c r="W25" s="559">
        <v>50</v>
      </c>
      <c r="X25" s="559">
        <v>50</v>
      </c>
      <c r="Y25" s="63"/>
      <c r="Z25" s="559">
        <v>0</v>
      </c>
      <c r="AA25" s="559">
        <v>100</v>
      </c>
      <c r="AB25" s="63"/>
      <c r="AC25" s="1739" t="s">
        <v>183</v>
      </c>
      <c r="AD25" s="1740"/>
      <c r="AE25" s="1741"/>
      <c r="AF25" s="652">
        <f>IF(AF24="N/A",0,IF(AF24=1,1,IF(AF24&lt;1.5,1,IF(AF24&lt;2.5,2,IF(AF24&lt;3.5,3,IF(AF24&lt;4.5,4,5)))))/5)</f>
        <v>0.2</v>
      </c>
    </row>
    <row r="26" spans="2:32" ht="10.199999999999999" customHeight="1">
      <c r="B26" s="124"/>
      <c r="C26" s="60"/>
      <c r="D26" s="60"/>
      <c r="E26" s="60"/>
      <c r="F26" s="60"/>
      <c r="G26" s="60"/>
      <c r="H26" s="578"/>
      <c r="I26" s="60"/>
      <c r="J26" s="579"/>
      <c r="K26" s="580"/>
      <c r="L26" s="581"/>
      <c r="M26" s="60"/>
      <c r="N26" s="60"/>
      <c r="O26" s="125"/>
      <c r="P26" s="60"/>
      <c r="Q26" s="60"/>
      <c r="R26" s="559">
        <v>0</v>
      </c>
      <c r="S26" s="558">
        <f>T24</f>
        <v>52.469135802469147</v>
      </c>
      <c r="T26" s="582">
        <f>T24</f>
        <v>52.469135802469147</v>
      </c>
      <c r="U26" s="558">
        <v>0.1</v>
      </c>
      <c r="V26" s="63"/>
      <c r="W26" s="559">
        <v>0</v>
      </c>
      <c r="X26" s="559">
        <v>100</v>
      </c>
      <c r="Y26" s="63"/>
      <c r="Z26" s="559">
        <v>50</v>
      </c>
      <c r="AA26" s="559">
        <v>50</v>
      </c>
      <c r="AB26" s="63"/>
      <c r="AC26" s="1742" t="s">
        <v>184</v>
      </c>
      <c r="AD26" s="1743"/>
      <c r="AE26" s="1744"/>
      <c r="AF26" s="652">
        <f>1-AF25</f>
        <v>0.8</v>
      </c>
    </row>
    <row r="27" spans="2:32" ht="15" customHeight="1">
      <c r="B27" s="583"/>
      <c r="C27" s="584"/>
      <c r="D27" s="584"/>
      <c r="E27" s="584"/>
      <c r="F27" s="584"/>
      <c r="G27" s="584"/>
      <c r="H27" s="585"/>
      <c r="I27" s="586"/>
      <c r="J27" s="587"/>
      <c r="K27" s="588"/>
      <c r="L27" s="645"/>
      <c r="M27" s="646"/>
      <c r="N27" s="647"/>
      <c r="O27" s="648"/>
      <c r="P27" s="60"/>
      <c r="Q27" s="60"/>
      <c r="R27" s="559">
        <v>0</v>
      </c>
      <c r="S27" s="558">
        <v>0</v>
      </c>
      <c r="T27" s="558">
        <f>T25</f>
        <v>51.19047619047619</v>
      </c>
      <c r="U27" s="589">
        <f>T25</f>
        <v>51.19047619047619</v>
      </c>
      <c r="V27" s="63"/>
      <c r="W27" s="63"/>
      <c r="X27" s="63"/>
      <c r="Y27" s="63"/>
      <c r="Z27" s="63"/>
      <c r="AA27" s="63"/>
      <c r="AB27" s="63"/>
    </row>
    <row r="28" spans="2:32" ht="15" customHeight="1">
      <c r="B28" s="124"/>
      <c r="C28" s="60"/>
      <c r="D28" s="60"/>
      <c r="E28" s="60"/>
      <c r="F28" s="60"/>
      <c r="G28" s="60"/>
      <c r="H28" s="590" t="str">
        <f>U36</f>
        <v>標準計算</v>
      </c>
      <c r="I28" s="60"/>
      <c r="J28" s="579"/>
      <c r="K28" s="579"/>
      <c r="L28" s="124"/>
      <c r="M28" s="60"/>
      <c r="N28" s="60"/>
      <c r="O28" s="125"/>
      <c r="P28" s="60"/>
      <c r="Q28" s="60"/>
      <c r="S28" s="60"/>
      <c r="V28" s="63"/>
      <c r="W28" s="63"/>
      <c r="X28" s="63"/>
      <c r="Y28" s="63"/>
      <c r="Z28" s="63"/>
      <c r="AA28" s="63"/>
      <c r="AB28" s="63"/>
    </row>
    <row r="29" spans="2:32" ht="15" customHeight="1">
      <c r="B29" s="124"/>
      <c r="C29" s="60"/>
      <c r="D29" s="60"/>
      <c r="E29" s="60"/>
      <c r="F29" s="60"/>
      <c r="G29" s="60"/>
      <c r="H29" s="124"/>
      <c r="I29" s="60"/>
      <c r="J29" s="579"/>
      <c r="K29" s="580"/>
      <c r="L29" s="591"/>
      <c r="M29" s="592"/>
      <c r="N29" s="593"/>
      <c r="O29" s="594"/>
      <c r="P29" s="60"/>
      <c r="Q29" s="60"/>
      <c r="R29" s="595" t="s">
        <v>100</v>
      </c>
      <c r="S29" s="558" t="s">
        <v>132</v>
      </c>
      <c r="T29" s="596">
        <v>0</v>
      </c>
      <c r="U29" s="596">
        <f>100/6</f>
        <v>16.666666666666668</v>
      </c>
      <c r="V29" s="597">
        <f>U29*2</f>
        <v>33.333333333333336</v>
      </c>
      <c r="W29" s="596">
        <f>U29*3</f>
        <v>50</v>
      </c>
      <c r="X29" s="596">
        <f>U29*4</f>
        <v>66.666666666666671</v>
      </c>
      <c r="Y29" s="596">
        <f>U29*5</f>
        <v>83.333333333333343</v>
      </c>
      <c r="Z29" s="596">
        <v>100</v>
      </c>
      <c r="AA29" s="63"/>
      <c r="AB29" s="63"/>
      <c r="AC29" s="650"/>
      <c r="AD29" s="651" t="s">
        <v>185</v>
      </c>
    </row>
    <row r="30" spans="2:32" ht="15" customHeight="1">
      <c r="B30" s="124"/>
      <c r="C30" s="60"/>
      <c r="D30" s="60"/>
      <c r="E30" s="60"/>
      <c r="F30" s="60"/>
      <c r="G30" s="60"/>
      <c r="H30" s="124"/>
      <c r="I30" s="60"/>
      <c r="J30" s="579"/>
      <c r="K30" s="580"/>
      <c r="L30" s="591"/>
      <c r="M30" s="592"/>
      <c r="N30" s="593"/>
      <c r="O30" s="594"/>
      <c r="P30" s="60"/>
      <c r="Q30" s="60"/>
      <c r="R30" s="595"/>
      <c r="S30" s="558" t="s">
        <v>133</v>
      </c>
      <c r="T30" s="596">
        <v>100</v>
      </c>
      <c r="U30" s="596">
        <v>100</v>
      </c>
      <c r="V30" s="596">
        <v>100</v>
      </c>
      <c r="W30" s="596">
        <v>100</v>
      </c>
      <c r="X30" s="596">
        <v>100</v>
      </c>
      <c r="Y30" s="596">
        <v>100</v>
      </c>
      <c r="Z30" s="596">
        <v>100</v>
      </c>
      <c r="AA30" s="63"/>
      <c r="AB30" s="63"/>
      <c r="AC30" s="651" t="s">
        <v>186</v>
      </c>
      <c r="AD30" s="654">
        <v>3</v>
      </c>
    </row>
    <row r="31" spans="2:32" ht="15" customHeight="1">
      <c r="B31" s="124"/>
      <c r="C31" s="60"/>
      <c r="D31" s="60"/>
      <c r="E31" s="60"/>
      <c r="F31" s="60"/>
      <c r="G31" s="60"/>
      <c r="H31" s="124"/>
      <c r="I31" s="60"/>
      <c r="J31" s="579"/>
      <c r="K31" s="580"/>
      <c r="L31" s="591"/>
      <c r="M31" s="592"/>
      <c r="N31" s="593"/>
      <c r="O31" s="594"/>
      <c r="P31" s="60"/>
      <c r="Q31" s="60"/>
      <c r="R31" s="595">
        <v>3</v>
      </c>
      <c r="S31" s="558" t="s">
        <v>134</v>
      </c>
      <c r="T31" s="596">
        <v>50</v>
      </c>
      <c r="U31" s="596">
        <f t="shared" ref="U31:X34" si="0">U$29*$R31</f>
        <v>50</v>
      </c>
      <c r="V31" s="596">
        <f t="shared" si="0"/>
        <v>100</v>
      </c>
      <c r="W31" s="596">
        <v>100</v>
      </c>
      <c r="X31" s="596">
        <v>100</v>
      </c>
      <c r="Y31" s="596">
        <v>100</v>
      </c>
      <c r="Z31" s="596">
        <v>100</v>
      </c>
      <c r="AA31" s="63"/>
      <c r="AB31" s="63"/>
      <c r="AC31" s="651" t="s">
        <v>187</v>
      </c>
      <c r="AD31" s="654">
        <v>3</v>
      </c>
    </row>
    <row r="32" spans="2:32" ht="15" customHeight="1">
      <c r="B32" s="124"/>
      <c r="C32" s="60"/>
      <c r="D32" s="60"/>
      <c r="E32" s="60"/>
      <c r="F32" s="60"/>
      <c r="G32" s="60"/>
      <c r="H32" s="124"/>
      <c r="I32" s="60"/>
      <c r="J32" s="579"/>
      <c r="K32" s="580"/>
      <c r="L32" s="591"/>
      <c r="M32" s="592"/>
      <c r="N32" s="593"/>
      <c r="O32" s="594"/>
      <c r="P32" s="60"/>
      <c r="Q32" s="60"/>
      <c r="R32" s="595">
        <v>1.5</v>
      </c>
      <c r="S32" s="558" t="s">
        <v>136</v>
      </c>
      <c r="T32" s="596">
        <v>0</v>
      </c>
      <c r="U32" s="596">
        <f t="shared" si="0"/>
        <v>25</v>
      </c>
      <c r="V32" s="596">
        <f t="shared" si="0"/>
        <v>50</v>
      </c>
      <c r="W32" s="596">
        <f t="shared" si="0"/>
        <v>75</v>
      </c>
      <c r="X32" s="596">
        <f t="shared" si="0"/>
        <v>100</v>
      </c>
      <c r="Y32" s="596">
        <v>100</v>
      </c>
      <c r="Z32" s="596">
        <v>100</v>
      </c>
      <c r="AA32" s="63"/>
      <c r="AB32" s="63"/>
      <c r="AC32" s="651" t="s">
        <v>188</v>
      </c>
      <c r="AD32" s="654">
        <v>3</v>
      </c>
    </row>
    <row r="33" spans="2:30" ht="15" customHeight="1">
      <c r="B33" s="124"/>
      <c r="C33" s="60"/>
      <c r="D33" s="60"/>
      <c r="E33" s="60"/>
      <c r="F33" s="60"/>
      <c r="G33" s="60"/>
      <c r="H33" s="124"/>
      <c r="I33" s="60"/>
      <c r="J33" s="579"/>
      <c r="K33" s="580"/>
      <c r="L33" s="591"/>
      <c r="M33" s="592"/>
      <c r="N33" s="593"/>
      <c r="O33" s="594"/>
      <c r="P33" s="60"/>
      <c r="Q33" s="60"/>
      <c r="R33" s="595">
        <v>1</v>
      </c>
      <c r="S33" s="558" t="s">
        <v>139</v>
      </c>
      <c r="T33" s="596">
        <v>0</v>
      </c>
      <c r="U33" s="596">
        <f t="shared" si="0"/>
        <v>16.666666666666668</v>
      </c>
      <c r="V33" s="596">
        <f t="shared" si="0"/>
        <v>33.333333333333336</v>
      </c>
      <c r="W33" s="596">
        <f t="shared" si="0"/>
        <v>50</v>
      </c>
      <c r="X33" s="596">
        <f t="shared" si="0"/>
        <v>66.666666666666671</v>
      </c>
      <c r="Y33" s="596">
        <f>Y$29*$R33</f>
        <v>83.333333333333343</v>
      </c>
      <c r="Z33" s="596">
        <f>Z$29*$R33</f>
        <v>100</v>
      </c>
      <c r="AA33" s="63"/>
      <c r="AB33" s="63"/>
      <c r="AC33" s="651" t="s">
        <v>189</v>
      </c>
      <c r="AD33" s="654">
        <v>3</v>
      </c>
    </row>
    <row r="34" spans="2:30" ht="15" customHeight="1">
      <c r="B34" s="124"/>
      <c r="C34" s="60"/>
      <c r="D34" s="60"/>
      <c r="E34" s="60"/>
      <c r="F34" s="60"/>
      <c r="G34" s="60"/>
      <c r="H34" s="124"/>
      <c r="I34" s="60"/>
      <c r="J34" s="579"/>
      <c r="K34" s="580"/>
      <c r="L34" s="591"/>
      <c r="M34" s="592"/>
      <c r="N34" s="593"/>
      <c r="O34" s="594"/>
      <c r="P34" s="60"/>
      <c r="Q34" s="60"/>
      <c r="R34" s="595">
        <v>0.5</v>
      </c>
      <c r="S34" s="558" t="s">
        <v>143</v>
      </c>
      <c r="T34" s="596">
        <v>0</v>
      </c>
      <c r="U34" s="596">
        <f t="shared" si="0"/>
        <v>8.3333333333333339</v>
      </c>
      <c r="V34" s="596">
        <f t="shared" si="0"/>
        <v>16.666666666666668</v>
      </c>
      <c r="W34" s="596">
        <f t="shared" si="0"/>
        <v>25</v>
      </c>
      <c r="X34" s="596">
        <f t="shared" si="0"/>
        <v>33.333333333333336</v>
      </c>
      <c r="Y34" s="596">
        <f>Y$29*$R34</f>
        <v>41.666666666666671</v>
      </c>
      <c r="Z34" s="596">
        <f>Z$29*$R34</f>
        <v>50</v>
      </c>
      <c r="AA34" s="63"/>
      <c r="AB34" s="63"/>
      <c r="AC34" s="651" t="s">
        <v>190</v>
      </c>
      <c r="AD34" s="654">
        <v>3</v>
      </c>
    </row>
    <row r="35" spans="2:30" ht="15" customHeight="1">
      <c r="B35" s="124"/>
      <c r="C35" s="60"/>
      <c r="D35" s="60"/>
      <c r="E35" s="60"/>
      <c r="F35" s="60"/>
      <c r="G35" s="60"/>
      <c r="H35" s="578"/>
      <c r="I35" s="320"/>
      <c r="J35" s="579"/>
      <c r="K35" s="580"/>
      <c r="L35" s="591"/>
      <c r="M35" s="60"/>
      <c r="N35" s="60"/>
      <c r="O35" s="125"/>
      <c r="P35" s="60"/>
      <c r="Q35" s="60"/>
      <c r="R35" s="598"/>
      <c r="S35" s="141"/>
      <c r="T35" s="599"/>
      <c r="U35" s="599"/>
      <c r="V35" s="599"/>
      <c r="W35" s="599"/>
      <c r="X35" s="599"/>
      <c r="Y35" s="599"/>
      <c r="Z35" s="599"/>
      <c r="AA35" s="63"/>
      <c r="AB35" s="63"/>
      <c r="AC35" s="651" t="s">
        <v>191</v>
      </c>
      <c r="AD35" s="654">
        <v>3</v>
      </c>
    </row>
    <row r="36" spans="2:30" ht="15" customHeight="1">
      <c r="B36" s="124"/>
      <c r="C36" s="60"/>
      <c r="D36" s="60"/>
      <c r="E36" s="60"/>
      <c r="F36" s="60"/>
      <c r="G36" s="60"/>
      <c r="H36" s="600"/>
      <c r="I36" s="601"/>
      <c r="J36" s="601"/>
      <c r="K36" s="602"/>
      <c r="L36" s="591"/>
      <c r="M36" s="60"/>
      <c r="N36" s="181"/>
      <c r="O36" s="125"/>
      <c r="P36" s="60"/>
      <c r="Q36" s="60"/>
      <c r="R36" s="455" t="s">
        <v>192</v>
      </c>
      <c r="S36" s="562" t="e">
        <f>IF(T36&lt;=0.3,1,IF(T36&lt;=0.6,0.8,IF(T36&lt;=0.8,0.6,IF(T36&lt;=1,0.4,0.2))))</f>
        <v>#REF!</v>
      </c>
      <c r="T36" s="599" t="e">
        <f>IF(U36=W36,X42,X43)</f>
        <v>#REF!</v>
      </c>
      <c r="U36" s="603" t="s">
        <v>193</v>
      </c>
      <c r="V36" s="604" t="s">
        <v>194</v>
      </c>
      <c r="W36" s="730" t="s">
        <v>193</v>
      </c>
      <c r="X36" s="603" t="s">
        <v>195</v>
      </c>
      <c r="Y36" s="599"/>
      <c r="Z36" s="599"/>
      <c r="AA36" s="63"/>
      <c r="AB36" s="63"/>
      <c r="AC36" s="651" t="s">
        <v>196</v>
      </c>
      <c r="AD36" s="654">
        <v>3</v>
      </c>
    </row>
    <row r="37" spans="2:30" ht="15" customHeight="1">
      <c r="B37" s="124"/>
      <c r="C37" s="60"/>
      <c r="D37" s="60"/>
      <c r="E37" s="60"/>
      <c r="F37" s="60"/>
      <c r="G37" s="60"/>
      <c r="H37" s="1745" t="str">
        <f>IF(U36=W36,X36,X37)</f>
        <v>このグラフは、LR3中の「地球温暖化への配慮」の内容を、一般的な建物（参照値）と比べたライフサイクルCO2 排出量の目安で示したものです</v>
      </c>
      <c r="I37" s="1746"/>
      <c r="J37" s="1746"/>
      <c r="K37" s="1747"/>
      <c r="L37" s="591"/>
      <c r="M37" s="60"/>
      <c r="N37" s="605"/>
      <c r="O37" s="125"/>
      <c r="P37" s="60"/>
      <c r="Q37" s="60"/>
      <c r="R37" s="455" t="s">
        <v>113</v>
      </c>
      <c r="S37" s="563" t="e">
        <f>1-S36</f>
        <v>#REF!</v>
      </c>
      <c r="T37" s="599"/>
      <c r="U37" s="603" t="s">
        <v>197</v>
      </c>
      <c r="V37" s="599" t="str">
        <f>IF(U36=W37,V36,"")</f>
        <v/>
      </c>
      <c r="W37" s="603" t="s">
        <v>198</v>
      </c>
      <c r="X37" s="603" t="s">
        <v>199</v>
      </c>
      <c r="Y37" s="599"/>
      <c r="Z37" s="599"/>
      <c r="AA37" s="63"/>
      <c r="AB37" s="63"/>
      <c r="AC37" s="651" t="s">
        <v>200</v>
      </c>
      <c r="AD37" s="654">
        <v>3</v>
      </c>
    </row>
    <row r="38" spans="2:30" ht="15" customHeight="1">
      <c r="B38" s="124"/>
      <c r="C38" s="423"/>
      <c r="D38" s="60"/>
      <c r="E38" s="60"/>
      <c r="F38" s="60"/>
      <c r="G38" s="60"/>
      <c r="H38" s="1745"/>
      <c r="I38" s="1746"/>
      <c r="J38" s="1746"/>
      <c r="K38" s="1747"/>
      <c r="L38" s="124"/>
      <c r="M38" s="606"/>
      <c r="N38" s="60"/>
      <c r="O38" s="125"/>
      <c r="P38" s="60"/>
      <c r="Q38" s="60"/>
      <c r="S38" s="60"/>
      <c r="AA38" s="63"/>
      <c r="AB38" s="63"/>
      <c r="AC38" s="651" t="s">
        <v>201</v>
      </c>
      <c r="AD38" s="654">
        <v>3</v>
      </c>
    </row>
    <row r="39" spans="2:30" ht="15" customHeight="1" thickBot="1">
      <c r="B39" s="182"/>
      <c r="C39" s="123"/>
      <c r="D39" s="123"/>
      <c r="E39" s="123"/>
      <c r="F39" s="123"/>
      <c r="G39" s="123"/>
      <c r="H39" s="1748"/>
      <c r="I39" s="1749"/>
      <c r="J39" s="1749"/>
      <c r="K39" s="1750"/>
      <c r="L39" s="649" t="s">
        <v>202</v>
      </c>
      <c r="M39" s="607"/>
      <c r="N39" s="123"/>
      <c r="O39" s="126"/>
      <c r="P39" s="60"/>
      <c r="Q39" s="60"/>
      <c r="R39" s="608" t="s">
        <v>203</v>
      </c>
      <c r="S39" s="609" t="s">
        <v>204</v>
      </c>
      <c r="T39" s="609" t="s">
        <v>205</v>
      </c>
      <c r="U39" s="609" t="s">
        <v>206</v>
      </c>
      <c r="V39" s="609" t="s">
        <v>207</v>
      </c>
      <c r="W39" s="609" t="s">
        <v>208</v>
      </c>
      <c r="X39" s="609" t="s">
        <v>209</v>
      </c>
      <c r="Y39" s="557" t="s">
        <v>210</v>
      </c>
      <c r="AA39" s="603"/>
      <c r="AC39" s="651" t="s">
        <v>211</v>
      </c>
      <c r="AD39" s="654">
        <v>3</v>
      </c>
    </row>
    <row r="40" spans="2:30" ht="15" customHeight="1" thickBot="1">
      <c r="B40" s="104" t="s">
        <v>212</v>
      </c>
      <c r="C40" s="105"/>
      <c r="D40" s="106"/>
      <c r="E40" s="105"/>
      <c r="F40" s="105"/>
      <c r="G40" s="105"/>
      <c r="H40" s="107"/>
      <c r="I40" s="108"/>
      <c r="J40" s="105"/>
      <c r="K40" s="105"/>
      <c r="L40" s="105"/>
      <c r="M40" s="109"/>
      <c r="N40" s="109"/>
      <c r="O40" s="110"/>
      <c r="R40" s="557" t="s">
        <v>213</v>
      </c>
      <c r="S40" s="610" t="e">
        <f>#REF!</f>
        <v>#REF!</v>
      </c>
      <c r="T40" s="610" t="e">
        <f>#REF!</f>
        <v>#REF!</v>
      </c>
      <c r="U40" s="610" t="e">
        <f>#REF!</f>
        <v>#REF!</v>
      </c>
      <c r="V40" s="557"/>
      <c r="W40" s="557"/>
      <c r="X40" s="611">
        <v>1</v>
      </c>
      <c r="Y40" s="557" t="e">
        <f>IF(COUNTIF(S40:W40,Z41)&gt;0,Z41,SUM(S40:W40))</f>
        <v>#REF!</v>
      </c>
      <c r="AA40" s="612"/>
      <c r="AC40" s="651" t="s">
        <v>214</v>
      </c>
      <c r="AD40" s="654">
        <v>3</v>
      </c>
    </row>
    <row r="41" spans="2:30" ht="15" customHeight="1">
      <c r="B41" s="613" t="s">
        <v>215</v>
      </c>
      <c r="C41" s="614"/>
      <c r="D41" s="614"/>
      <c r="E41" s="615"/>
      <c r="F41" s="614"/>
      <c r="G41" s="614"/>
      <c r="H41" s="614"/>
      <c r="I41" s="614"/>
      <c r="J41" s="614"/>
      <c r="K41" s="616" t="s">
        <v>216</v>
      </c>
      <c r="L41" s="722">
        <f>スコア!R7</f>
        <v>3</v>
      </c>
      <c r="M41" s="665" t="s">
        <v>217</v>
      </c>
      <c r="N41" s="660"/>
      <c r="O41" s="661"/>
      <c r="R41" s="557" t="s">
        <v>218</v>
      </c>
      <c r="S41" s="610" t="e">
        <f>#REF!</f>
        <v>#REF!</v>
      </c>
      <c r="T41" s="610" t="e">
        <f>#REF!</f>
        <v>#REF!</v>
      </c>
      <c r="U41" s="610" t="e">
        <f>#REF!</f>
        <v>#REF!</v>
      </c>
      <c r="V41" s="557"/>
      <c r="W41" s="557"/>
      <c r="X41" s="611" t="e">
        <f>IF(OR(Y40=Z41,Y41=Z41),Z41,Y41/Y40)</f>
        <v>#REF!</v>
      </c>
      <c r="Y41" s="557" t="e">
        <f>IF(COUNTIF(S41:W41,Z41)&gt;0,Z41,SUM(S41:W41))</f>
        <v>#REF!</v>
      </c>
      <c r="Z41" s="60" t="s">
        <v>219</v>
      </c>
      <c r="AA41" s="612"/>
      <c r="AC41" s="651" t="s">
        <v>220</v>
      </c>
      <c r="AD41" s="654">
        <v>3</v>
      </c>
    </row>
    <row r="42" spans="2:30" ht="15" customHeight="1">
      <c r="B42" s="124"/>
      <c r="C42" s="553" t="str">
        <f>配慮!B7</f>
        <v>Q-1 環境</v>
      </c>
      <c r="D42" s="617"/>
      <c r="E42" s="617"/>
      <c r="F42" s="617"/>
      <c r="G42" s="694" t="str">
        <f>配慮!B8</f>
        <v>Q-2 社会</v>
      </c>
      <c r="I42" s="617"/>
      <c r="J42" s="63"/>
      <c r="K42" s="657" t="str">
        <f>配慮!B9</f>
        <v>Q-3 経済</v>
      </c>
      <c r="M42" s="662" t="str">
        <f>スコア!B152</f>
        <v>M マネジメント性能</v>
      </c>
      <c r="N42" s="63"/>
      <c r="O42" s="564"/>
      <c r="R42" s="557" t="s">
        <v>221</v>
      </c>
      <c r="S42" s="655"/>
      <c r="T42" s="655"/>
      <c r="U42" s="655"/>
      <c r="V42" s="618" t="e">
        <f>Y41</f>
        <v>#REF!</v>
      </c>
      <c r="W42" s="557"/>
      <c r="X42" s="611" t="e">
        <f>IF(OR(Y40=Z42,Y42=Z42),Z42,Y42/Y40)</f>
        <v>#REF!</v>
      </c>
      <c r="Y42" s="557" t="e">
        <f>IF(COUNTIF(S42:W42,Z42)&gt;0,Z42,SUM(S42:W42))</f>
        <v>#REF!</v>
      </c>
      <c r="Z42" s="60" t="s">
        <v>219</v>
      </c>
      <c r="AA42" s="612"/>
    </row>
    <row r="43" spans="2:30" ht="15" customHeight="1">
      <c r="B43" s="124"/>
      <c r="C43" s="75"/>
      <c r="D43" s="76"/>
      <c r="E43" s="659">
        <f>S46</f>
        <v>3</v>
      </c>
      <c r="F43" s="60"/>
      <c r="H43" s="60"/>
      <c r="I43" s="619"/>
      <c r="J43" s="617">
        <f>V46</f>
        <v>3</v>
      </c>
      <c r="L43" s="659">
        <f>Y46</f>
        <v>3.1</v>
      </c>
      <c r="M43" s="663"/>
      <c r="N43" s="619"/>
      <c r="O43" s="620">
        <f>AD46</f>
        <v>12</v>
      </c>
      <c r="R43" s="557" t="s">
        <v>222</v>
      </c>
      <c r="S43" s="655"/>
      <c r="T43" s="655"/>
      <c r="U43" s="655"/>
      <c r="V43" s="656"/>
      <c r="W43" s="621" t="e">
        <f>Y41</f>
        <v>#REF!</v>
      </c>
      <c r="X43" s="611" t="e">
        <f>IF(OR(Y40=Z43,Y43=Z43),Z43,Y43/Y40)</f>
        <v>#REF!</v>
      </c>
      <c r="Y43" s="557" t="e">
        <f>IF(COUNTIF(S43:W43,Z43)&gt;0,Z43,SUM(S43:W43))</f>
        <v>#REF!</v>
      </c>
      <c r="Z43" s="60" t="s">
        <v>219</v>
      </c>
      <c r="AA43" s="612"/>
    </row>
    <row r="44" spans="2:30" ht="15" customHeight="1">
      <c r="B44" s="124"/>
      <c r="C44" s="60"/>
      <c r="D44" s="60"/>
      <c r="E44" s="60"/>
      <c r="F44" s="60"/>
      <c r="L44" s="63"/>
      <c r="M44" s="664"/>
      <c r="N44" s="63"/>
      <c r="O44" s="564"/>
      <c r="S44" s="60"/>
      <c r="AA44" s="63"/>
      <c r="AB44" s="63"/>
    </row>
    <row r="45" spans="2:30" ht="15" customHeight="1">
      <c r="B45" s="124"/>
      <c r="C45" s="60"/>
      <c r="D45" s="60"/>
      <c r="E45" s="60"/>
      <c r="F45" s="60"/>
      <c r="L45" s="63"/>
      <c r="M45" s="664"/>
      <c r="N45" s="63"/>
      <c r="O45" s="564"/>
      <c r="R45" s="455"/>
      <c r="S45" s="455" t="s">
        <v>144</v>
      </c>
      <c r="T45" s="455" t="s">
        <v>223</v>
      </c>
      <c r="U45" s="455"/>
      <c r="V45" s="455" t="s">
        <v>144</v>
      </c>
      <c r="W45" s="455" t="s">
        <v>223</v>
      </c>
      <c r="X45" s="455"/>
      <c r="Y45" s="455" t="s">
        <v>144</v>
      </c>
      <c r="Z45" s="455" t="s">
        <v>223</v>
      </c>
      <c r="AA45" s="63"/>
      <c r="AB45" s="63"/>
      <c r="AC45" s="455"/>
      <c r="AD45" s="455" t="s">
        <v>224</v>
      </c>
    </row>
    <row r="46" spans="2:30" ht="15" customHeight="1">
      <c r="B46" s="124"/>
      <c r="C46" s="60"/>
      <c r="D46" s="60"/>
      <c r="E46" s="60"/>
      <c r="F46" s="60"/>
      <c r="L46" s="63"/>
      <c r="M46" s="664"/>
      <c r="N46" s="63"/>
      <c r="O46" s="564"/>
      <c r="R46" s="623" t="str">
        <f>C42</f>
        <v>Q-1 環境</v>
      </c>
      <c r="S46" s="716">
        <f>スコア!R8</f>
        <v>3</v>
      </c>
      <c r="T46" s="455">
        <f>スコア!V8</f>
        <v>3</v>
      </c>
      <c r="U46" s="658" t="str">
        <f>G42</f>
        <v>Q-2 社会</v>
      </c>
      <c r="V46" s="625">
        <f>スコア!R41</f>
        <v>3</v>
      </c>
      <c r="W46" s="715">
        <f>スコア!V41</f>
        <v>3</v>
      </c>
      <c r="X46" s="623" t="str">
        <f>K42</f>
        <v>Q-3 経済</v>
      </c>
      <c r="Y46" s="625">
        <f>スコア!R74</f>
        <v>3.1</v>
      </c>
      <c r="Z46" s="715">
        <f>スコア!V74</f>
        <v>3.1428571428571428</v>
      </c>
      <c r="AA46" s="63"/>
      <c r="AB46" s="63"/>
      <c r="AC46" s="558" t="str">
        <f>'結果 (2)'!M42</f>
        <v>M マネジメント性能</v>
      </c>
      <c r="AD46" s="718">
        <f>スコア!J152</f>
        <v>12</v>
      </c>
    </row>
    <row r="47" spans="2:30" ht="15" customHeight="1">
      <c r="B47" s="124"/>
      <c r="C47" s="60"/>
      <c r="D47" s="60"/>
      <c r="E47" s="60"/>
      <c r="F47" s="60"/>
      <c r="L47" s="63"/>
      <c r="M47" s="664"/>
      <c r="N47" s="63"/>
      <c r="O47" s="564"/>
      <c r="S47" s="60"/>
      <c r="AA47" s="63"/>
      <c r="AB47" s="63"/>
    </row>
    <row r="48" spans="2:30" ht="15" customHeight="1">
      <c r="B48" s="124"/>
      <c r="C48" s="60"/>
      <c r="D48" s="60"/>
      <c r="E48" s="60"/>
      <c r="F48" s="60"/>
      <c r="L48" s="63"/>
      <c r="M48" s="664"/>
      <c r="N48" s="63"/>
      <c r="O48" s="564"/>
      <c r="R48" s="455"/>
      <c r="S48" s="455" t="s">
        <v>144</v>
      </c>
      <c r="T48" s="455" t="s">
        <v>225</v>
      </c>
      <c r="U48" s="455"/>
      <c r="V48" s="455" t="s">
        <v>144</v>
      </c>
      <c r="W48" s="455" t="s">
        <v>225</v>
      </c>
      <c r="X48" s="455"/>
      <c r="Y48" s="626" t="s">
        <v>144</v>
      </c>
      <c r="Z48" s="455" t="s">
        <v>225</v>
      </c>
      <c r="AA48" s="63"/>
      <c r="AB48" s="63"/>
      <c r="AC48" s="455"/>
      <c r="AD48" s="455" t="s">
        <v>224</v>
      </c>
    </row>
    <row r="49" spans="1:30" ht="15" customHeight="1">
      <c r="B49" s="124"/>
      <c r="C49" s="60"/>
      <c r="D49" s="60"/>
      <c r="E49" s="60"/>
      <c r="F49" s="60"/>
      <c r="G49" s="627"/>
      <c r="H49" s="627"/>
      <c r="L49" s="63"/>
      <c r="M49" s="664"/>
      <c r="N49" s="63"/>
      <c r="O49" s="564"/>
      <c r="R49" s="628" t="s">
        <v>226</v>
      </c>
      <c r="S49" s="624">
        <f>スコア!R9</f>
        <v>3</v>
      </c>
      <c r="T49" s="455" t="str">
        <f>IF(S49=0,"N.A.","")</f>
        <v/>
      </c>
      <c r="U49" s="558" t="s">
        <v>227</v>
      </c>
      <c r="V49" s="625">
        <f>スコア!R42</f>
        <v>3</v>
      </c>
      <c r="W49" s="455" t="str">
        <f>IF(V49=0,"N.A.","")</f>
        <v/>
      </c>
      <c r="X49" s="628" t="s">
        <v>228</v>
      </c>
      <c r="Y49" s="625">
        <f>スコア!R75</f>
        <v>3</v>
      </c>
      <c r="Z49" s="455" t="str">
        <f>IF(Y49=0,"N.A.","")</f>
        <v/>
      </c>
      <c r="AA49" s="63"/>
      <c r="AB49" s="63"/>
      <c r="AC49" s="640" t="str">
        <f>スコア!C153</f>
        <v>エリアマネジメント</v>
      </c>
      <c r="AD49" s="719">
        <f>スコア!J153</f>
        <v>3</v>
      </c>
    </row>
    <row r="50" spans="1:30" ht="15" customHeight="1">
      <c r="B50" s="124"/>
      <c r="C50" s="60"/>
      <c r="D50" s="60"/>
      <c r="E50" s="60"/>
      <c r="F50" s="60"/>
      <c r="G50" s="627"/>
      <c r="H50" s="627"/>
      <c r="L50" s="63"/>
      <c r="M50" s="664"/>
      <c r="N50" s="63"/>
      <c r="O50" s="564"/>
      <c r="R50" s="628" t="s">
        <v>229</v>
      </c>
      <c r="S50" s="624">
        <f>スコア!R25</f>
        <v>3</v>
      </c>
      <c r="T50" s="455" t="str">
        <f>IF(S50=0,"N.A.","")</f>
        <v/>
      </c>
      <c r="U50" s="558" t="s">
        <v>230</v>
      </c>
      <c r="V50" s="625">
        <f>スコア!R50</f>
        <v>3</v>
      </c>
      <c r="W50" s="455" t="str">
        <f>IF(V50=0,"N.A.","")</f>
        <v/>
      </c>
      <c r="X50" s="692" t="s">
        <v>231</v>
      </c>
      <c r="Y50" s="625">
        <f>スコア!R85</f>
        <v>3.5</v>
      </c>
      <c r="Z50" s="455" t="str">
        <f>IF(Y50=0,"N.A.","")</f>
        <v/>
      </c>
      <c r="AA50" s="63"/>
      <c r="AB50" s="63"/>
      <c r="AC50" s="640" t="str">
        <f>スコア!L153</f>
        <v>エネルギーマネジメント</v>
      </c>
      <c r="AD50" s="719">
        <f>スコア!R153</f>
        <v>3</v>
      </c>
    </row>
    <row r="51" spans="1:30" ht="15" customHeight="1">
      <c r="B51" s="124"/>
      <c r="C51" s="60"/>
      <c r="D51" s="60"/>
      <c r="E51" s="60"/>
      <c r="F51" s="60"/>
      <c r="G51" s="81"/>
      <c r="H51" s="560"/>
      <c r="I51" s="629"/>
      <c r="J51" s="629"/>
      <c r="K51" s="630"/>
      <c r="L51" s="631"/>
      <c r="M51" s="664"/>
      <c r="N51" s="63"/>
      <c r="O51" s="564"/>
      <c r="R51" s="692" t="s">
        <v>232</v>
      </c>
      <c r="S51" s="624">
        <f>スコア!R39</f>
        <v>3</v>
      </c>
      <c r="T51" s="455" t="str">
        <f>IF(S51=0,"N.A.","")</f>
        <v/>
      </c>
      <c r="U51" s="558" t="s">
        <v>233</v>
      </c>
      <c r="V51" s="625">
        <f>スコア!R55</f>
        <v>3</v>
      </c>
      <c r="W51" s="455" t="str">
        <f>IF(V51=0,"N.A.","")</f>
        <v/>
      </c>
      <c r="X51" s="628" t="s">
        <v>234</v>
      </c>
      <c r="Y51" s="625">
        <f>スコア!R90</f>
        <v>3</v>
      </c>
      <c r="Z51" s="455" t="str">
        <f>IF(Y51=0,"N.A.","")</f>
        <v/>
      </c>
      <c r="AA51" s="63"/>
      <c r="AB51" s="63"/>
      <c r="AC51" s="640" t="str">
        <f>スコア!C158</f>
        <v>交通マネジメント</v>
      </c>
      <c r="AD51" s="719">
        <f>スコア!J158</f>
        <v>3</v>
      </c>
    </row>
    <row r="52" spans="1:30" ht="15" customHeight="1">
      <c r="A52" s="632"/>
      <c r="B52" s="633" t="s">
        <v>235</v>
      </c>
      <c r="C52" s="634"/>
      <c r="D52" s="635"/>
      <c r="E52" s="634"/>
      <c r="F52" s="634"/>
      <c r="G52" s="634"/>
      <c r="H52" s="614"/>
      <c r="I52" s="614"/>
      <c r="J52" s="614"/>
      <c r="K52" s="616" t="s">
        <v>236</v>
      </c>
      <c r="L52" s="723">
        <f>スコア!R99</f>
        <v>2.9</v>
      </c>
      <c r="M52" s="74"/>
      <c r="N52" s="63"/>
      <c r="O52" s="564"/>
      <c r="R52" s="692" t="s">
        <v>237</v>
      </c>
      <c r="S52" s="624">
        <f>スコア!R40</f>
        <v>3</v>
      </c>
      <c r="T52" s="455" t="str">
        <f>IF(S52=0,"N.A.","")</f>
        <v/>
      </c>
      <c r="U52" s="558" t="s">
        <v>238</v>
      </c>
      <c r="V52" s="625">
        <f>スコア!R60</f>
        <v>3</v>
      </c>
      <c r="W52" s="455" t="str">
        <f t="shared" ref="W52:W54" si="1">IF(V52=0,"N.A.","")</f>
        <v/>
      </c>
      <c r="X52" s="692" t="s">
        <v>239</v>
      </c>
      <c r="Y52" s="625">
        <f>スコア!R98</f>
        <v>3</v>
      </c>
      <c r="Z52" s="455" t="str">
        <f>IF(Y52=0,"N.A.","")</f>
        <v/>
      </c>
      <c r="AA52" s="63"/>
      <c r="AB52" s="63"/>
      <c r="AC52" s="640" t="str">
        <f>スコア!L158</f>
        <v>発展的マネジメント</v>
      </c>
      <c r="AD52" s="719">
        <f>スコア!R168</f>
        <v>3</v>
      </c>
    </row>
    <row r="53" spans="1:30" ht="15" customHeight="1">
      <c r="B53" s="71"/>
      <c r="C53" s="72" t="str">
        <f>配慮!B10</f>
        <v>LR-1 エネルギー</v>
      </c>
      <c r="D53" s="72"/>
      <c r="E53" s="636"/>
      <c r="F53" s="72"/>
      <c r="G53" s="72" t="str">
        <f>配慮!B11</f>
        <v>LR-2 資源</v>
      </c>
      <c r="I53" s="72"/>
      <c r="J53" s="72"/>
      <c r="K53" s="721" t="str">
        <f>配慮!B12</f>
        <v>LR-3 周辺環境</v>
      </c>
      <c r="L53" s="657"/>
      <c r="M53" s="662" t="str">
        <f>スコア!B167</f>
        <v>S スマート性能</v>
      </c>
      <c r="N53" s="63"/>
      <c r="O53" s="564"/>
      <c r="R53"/>
      <c r="S53"/>
      <c r="T53"/>
      <c r="U53" s="558" t="s">
        <v>240</v>
      </c>
      <c r="V53" s="625">
        <f>スコア!R68</f>
        <v>3</v>
      </c>
      <c r="W53" s="455" t="str">
        <f t="shared" si="1"/>
        <v/>
      </c>
      <c r="X53" s="63"/>
      <c r="Y53" s="63"/>
      <c r="Z53" s="63"/>
      <c r="AA53" s="63"/>
      <c r="AB53" s="63"/>
    </row>
    <row r="54" spans="1:30" ht="15" customHeight="1">
      <c r="B54" s="74"/>
      <c r="C54" s="75"/>
      <c r="D54" s="76"/>
      <c r="E54" s="619"/>
      <c r="F54" s="617">
        <f>S57</f>
        <v>3</v>
      </c>
      <c r="H54" s="60"/>
      <c r="J54" s="617">
        <f>V57</f>
        <v>3</v>
      </c>
      <c r="L54" s="659">
        <f>Y57</f>
        <v>2.6</v>
      </c>
      <c r="M54" s="664"/>
      <c r="N54" s="63"/>
      <c r="O54" s="620">
        <f>AD57</f>
        <v>9</v>
      </c>
      <c r="R54"/>
      <c r="S54"/>
      <c r="T54"/>
      <c r="U54" s="693" t="s">
        <v>241</v>
      </c>
      <c r="V54" s="625">
        <f>スコア!R72</f>
        <v>3</v>
      </c>
      <c r="W54" s="455" t="str">
        <f t="shared" si="1"/>
        <v/>
      </c>
      <c r="X54" s="63"/>
      <c r="Y54" s="63"/>
      <c r="Z54" s="63"/>
      <c r="AA54" s="63"/>
      <c r="AB54" s="63"/>
    </row>
    <row r="55" spans="1:30" ht="15" customHeight="1">
      <c r="B55" s="74"/>
      <c r="C55" s="79"/>
      <c r="D55" s="79"/>
      <c r="E55" s="80"/>
      <c r="F55" s="81"/>
      <c r="G55" s="81"/>
      <c r="H55" s="81"/>
      <c r="M55" s="664"/>
      <c r="N55" s="63"/>
      <c r="O55" s="564"/>
      <c r="S55" s="60"/>
      <c r="AA55" s="63"/>
      <c r="AB55" s="63"/>
    </row>
    <row r="56" spans="1:30" ht="15" customHeight="1">
      <c r="B56" s="74"/>
      <c r="C56" s="64"/>
      <c r="D56" s="83"/>
      <c r="I56" s="85"/>
      <c r="M56" s="664"/>
      <c r="N56" s="63"/>
      <c r="O56" s="564"/>
      <c r="R56" s="455"/>
      <c r="S56" s="455" t="s">
        <v>144</v>
      </c>
      <c r="T56" s="455" t="s">
        <v>223</v>
      </c>
      <c r="U56" s="455"/>
      <c r="V56" s="455" t="s">
        <v>144</v>
      </c>
      <c r="W56" s="455" t="s">
        <v>223</v>
      </c>
      <c r="X56" s="455"/>
      <c r="Y56" s="455" t="s">
        <v>144</v>
      </c>
      <c r="Z56" s="455" t="s">
        <v>223</v>
      </c>
      <c r="AA56" s="63"/>
      <c r="AB56" s="63"/>
      <c r="AC56" s="455"/>
      <c r="AD56" s="455" t="s">
        <v>224</v>
      </c>
    </row>
    <row r="57" spans="1:30" ht="15" customHeight="1">
      <c r="B57" s="74"/>
      <c r="I57" s="85"/>
      <c r="M57" s="74"/>
      <c r="O57" s="564"/>
      <c r="R57" s="558" t="str">
        <f>C53</f>
        <v>LR-1 エネルギー</v>
      </c>
      <c r="S57" s="625">
        <f>スコア!R100</f>
        <v>3</v>
      </c>
      <c r="T57" s="715">
        <f>スコア!V100</f>
        <v>3</v>
      </c>
      <c r="U57" s="558" t="str">
        <f>G53</f>
        <v>LR-2 資源</v>
      </c>
      <c r="V57" s="637">
        <f>スコア!R107</f>
        <v>3</v>
      </c>
      <c r="W57" s="715">
        <f>スコア!V107</f>
        <v>3.0555555555555554</v>
      </c>
      <c r="X57" s="558">
        <f>L53</f>
        <v>0</v>
      </c>
      <c r="Y57" s="625">
        <f>スコア!R127</f>
        <v>2.6</v>
      </c>
      <c r="Z57" s="715">
        <f>スコア!V127</f>
        <v>2.6481481481481479</v>
      </c>
      <c r="AA57" s="63"/>
      <c r="AB57" s="63"/>
      <c r="AC57" s="558" t="str">
        <f>'結果 (2)'!M53</f>
        <v>S スマート性能</v>
      </c>
      <c r="AD57" s="718">
        <f>スコア!J167</f>
        <v>9</v>
      </c>
    </row>
    <row r="58" spans="1:30" ht="15" customHeight="1">
      <c r="B58" s="88"/>
      <c r="I58" s="85"/>
      <c r="M58" s="74"/>
      <c r="O58" s="65"/>
      <c r="S58" s="60"/>
      <c r="Y58" s="638"/>
      <c r="AA58" s="63"/>
      <c r="AB58" s="63"/>
    </row>
    <row r="59" spans="1:30" ht="15" customHeight="1">
      <c r="B59" s="88"/>
      <c r="I59" s="85"/>
      <c r="M59" s="74"/>
      <c r="O59" s="65"/>
      <c r="R59" s="455"/>
      <c r="S59" s="455" t="s">
        <v>144</v>
      </c>
      <c r="T59" s="455" t="s">
        <v>225</v>
      </c>
      <c r="U59" s="455"/>
      <c r="V59" s="455" t="s">
        <v>144</v>
      </c>
      <c r="W59" s="455" t="s">
        <v>225</v>
      </c>
      <c r="X59" s="455"/>
      <c r="Y59" s="626" t="s">
        <v>144</v>
      </c>
      <c r="Z59" s="455" t="s">
        <v>225</v>
      </c>
      <c r="AA59" s="63"/>
      <c r="AB59" s="63"/>
      <c r="AC59" s="455"/>
      <c r="AD59" s="455" t="s">
        <v>224</v>
      </c>
    </row>
    <row r="60" spans="1:30" ht="15" customHeight="1">
      <c r="B60" s="88"/>
      <c r="I60" s="85"/>
      <c r="M60" s="74"/>
      <c r="O60" s="65"/>
      <c r="R60" s="693" t="s">
        <v>242</v>
      </c>
      <c r="S60" s="639">
        <f>スコア!R101</f>
        <v>3</v>
      </c>
      <c r="T60" s="455" t="str">
        <f>IF(S60=0,"N.A.","")</f>
        <v/>
      </c>
      <c r="U60" s="640" t="s">
        <v>243</v>
      </c>
      <c r="V60" s="625">
        <f>スコア!R108</f>
        <v>3</v>
      </c>
      <c r="W60" s="455" t="str">
        <f>IF(V60=0,"N.A.","")</f>
        <v/>
      </c>
      <c r="X60" s="693" t="s">
        <v>244</v>
      </c>
      <c r="Y60" s="625">
        <f>スコア!R128</f>
        <v>2</v>
      </c>
      <c r="Z60" s="455" t="str">
        <f>IF(Y60=0,"N.A.","")</f>
        <v/>
      </c>
      <c r="AA60" s="63"/>
      <c r="AB60" s="63"/>
      <c r="AC60" s="640" t="str">
        <f>スコア!C168</f>
        <v>環境のスマート化</v>
      </c>
      <c r="AD60" s="719">
        <f>スコア!J168</f>
        <v>3</v>
      </c>
    </row>
    <row r="61" spans="1:30" ht="15" customHeight="1">
      <c r="B61" s="88"/>
      <c r="I61" s="85"/>
      <c r="M61" s="74"/>
      <c r="O61" s="65"/>
      <c r="R61" s="693" t="s">
        <v>245</v>
      </c>
      <c r="S61" s="639">
        <f>スコア!R102</f>
        <v>3</v>
      </c>
      <c r="T61" s="455" t="str">
        <f>IF(S61=0,"N.A.","")</f>
        <v/>
      </c>
      <c r="U61" s="640" t="s">
        <v>246</v>
      </c>
      <c r="V61" s="625">
        <f>スコア!R111</f>
        <v>3.1</v>
      </c>
      <c r="W61" s="455" t="str">
        <f>IF(V61=0,"N.A.","")</f>
        <v/>
      </c>
      <c r="X61" s="693" t="s">
        <v>247</v>
      </c>
      <c r="Y61" s="625">
        <f>スコア!R129</f>
        <v>3</v>
      </c>
      <c r="Z61" s="455" t="str">
        <f>IF(Y61=0,"N.A.","")</f>
        <v/>
      </c>
      <c r="AA61" s="63"/>
      <c r="AB61" s="63"/>
      <c r="AC61" s="640" t="str">
        <f>スコア!C170</f>
        <v>社会のスマート化</v>
      </c>
      <c r="AD61" s="719">
        <f>スコア!J170</f>
        <v>3</v>
      </c>
    </row>
    <row r="62" spans="1:30" ht="15" customHeight="1" thickBot="1">
      <c r="B62" s="89"/>
      <c r="C62" s="90"/>
      <c r="D62" s="91"/>
      <c r="E62" s="90"/>
      <c r="F62" s="92"/>
      <c r="G62" s="92"/>
      <c r="H62" s="92"/>
      <c r="I62" s="93"/>
      <c r="J62" s="94"/>
      <c r="K62" s="94"/>
      <c r="L62" s="94"/>
      <c r="M62" s="649"/>
      <c r="N62" s="95"/>
      <c r="O62" s="96"/>
      <c r="R62" s="693" t="s">
        <v>248</v>
      </c>
      <c r="S62" s="639">
        <f>スコア!R103</f>
        <v>3</v>
      </c>
      <c r="T62" s="455" t="str">
        <f>IF(S62=0,"N.A.","")</f>
        <v/>
      </c>
      <c r="U62" s="447" t="s">
        <v>249</v>
      </c>
      <c r="V62" s="625">
        <f>スコア!R119</f>
        <v>3</v>
      </c>
      <c r="W62" s="455" t="str">
        <f>IF(V62=0,"N.A.","")</f>
        <v/>
      </c>
      <c r="X62" s="693" t="s">
        <v>250</v>
      </c>
      <c r="Y62" s="625">
        <f>スコア!R136</f>
        <v>2.9</v>
      </c>
      <c r="Z62" s="455" t="str">
        <f>IF(Y62=0,"N.A.","")</f>
        <v/>
      </c>
      <c r="AA62" s="63"/>
      <c r="AB62" s="63"/>
      <c r="AC62" s="640" t="str">
        <f>スコア!L168</f>
        <v>経済のスマート化</v>
      </c>
      <c r="AD62" s="719">
        <f>スコア!R168</f>
        <v>3</v>
      </c>
    </row>
    <row r="63" spans="1:30" ht="3.6" customHeight="1" thickBot="1">
      <c r="B63" s="641"/>
      <c r="C63" s="85"/>
      <c r="D63" s="642"/>
      <c r="R63" s="693" t="s">
        <v>251</v>
      </c>
      <c r="S63" s="639">
        <f>スコア!R104</f>
        <v>3</v>
      </c>
      <c r="T63" s="455" t="str">
        <f>IF(S63=0,"N.A.","")</f>
        <v/>
      </c>
      <c r="U63" s="63"/>
      <c r="V63" s="643"/>
      <c r="W63" s="643"/>
      <c r="X63" s="643"/>
      <c r="Y63" s="643"/>
      <c r="Z63" s="643"/>
      <c r="AA63" s="63"/>
      <c r="AB63" s="63"/>
    </row>
    <row r="64" spans="1:30" customFormat="1" ht="15" customHeight="1">
      <c r="B64" s="98" t="s">
        <v>164</v>
      </c>
      <c r="C64" s="99"/>
      <c r="D64" s="100"/>
      <c r="E64" s="99"/>
      <c r="F64" s="99"/>
      <c r="G64" s="99"/>
      <c r="H64" s="101"/>
      <c r="I64" s="102"/>
      <c r="J64" s="99"/>
      <c r="K64" s="99"/>
      <c r="L64" s="99"/>
      <c r="M64" s="103"/>
      <c r="N64" s="103"/>
      <c r="O64" s="183"/>
    </row>
    <row r="65" spans="2:15" customFormat="1" ht="15" customHeight="1">
      <c r="B65" s="184" t="str">
        <f>配慮!B6</f>
        <v>総合</v>
      </c>
      <c r="C65" s="185"/>
      <c r="D65" s="186"/>
      <c r="E65" s="185"/>
      <c r="F65" s="185"/>
      <c r="G65" s="185"/>
      <c r="H65" s="185"/>
      <c r="I65" s="185"/>
      <c r="J65" s="185"/>
      <c r="K65" s="187"/>
      <c r="L65" s="188" t="str">
        <f>配慮!B13</f>
        <v>その他</v>
      </c>
      <c r="M65" s="189"/>
      <c r="N65" s="189"/>
      <c r="O65" s="190"/>
    </row>
    <row r="66" spans="2:15" customFormat="1" ht="28.2" customHeight="1">
      <c r="B66" s="1754" t="str">
        <f>IF(配慮!C6="","",配慮!C6)</f>
        <v/>
      </c>
      <c r="C66" s="1755"/>
      <c r="D66" s="1755"/>
      <c r="E66" s="1755"/>
      <c r="F66" s="1755"/>
      <c r="G66" s="1755"/>
      <c r="H66" s="1755"/>
      <c r="I66" s="1755"/>
      <c r="J66" s="1755"/>
      <c r="K66" s="1756"/>
      <c r="L66" s="1757" t="str">
        <f>IF(配慮!C13="","",配慮!C13)</f>
        <v/>
      </c>
      <c r="M66" s="1757"/>
      <c r="N66" s="1757"/>
      <c r="O66" s="1758"/>
    </row>
    <row r="67" spans="2:15" customFormat="1" ht="15" customHeight="1">
      <c r="B67" s="191" t="str">
        <f>配慮!B7</f>
        <v>Q-1 環境</v>
      </c>
      <c r="C67" s="189"/>
      <c r="D67" s="189"/>
      <c r="E67" s="189"/>
      <c r="F67" s="189"/>
      <c r="G67" s="192"/>
      <c r="H67" s="276" t="str">
        <f>配慮!B8</f>
        <v>Q-2 社会</v>
      </c>
      <c r="I67" s="193"/>
      <c r="J67" s="193"/>
      <c r="K67" s="194"/>
      <c r="L67" s="277" t="str">
        <f>配慮!B9</f>
        <v>Q-3 経済</v>
      </c>
      <c r="M67" s="195"/>
      <c r="N67" s="196"/>
      <c r="O67" s="197"/>
    </row>
    <row r="68" spans="2:15" customFormat="1" ht="29.4" customHeight="1">
      <c r="B68" s="1765" t="str">
        <f>IF(配慮!C7="","",配慮!C7)</f>
        <v/>
      </c>
      <c r="C68" s="1757"/>
      <c r="D68" s="1757"/>
      <c r="E68" s="1757"/>
      <c r="F68" s="1757"/>
      <c r="G68" s="1766"/>
      <c r="H68" s="1767" t="str">
        <f>IF(配慮!C8="","",配慮!C8)</f>
        <v/>
      </c>
      <c r="I68" s="1757"/>
      <c r="J68" s="1757"/>
      <c r="K68" s="1766"/>
      <c r="L68" s="1767" t="str">
        <f>IF(配慮!C9="","",配慮!C9)</f>
        <v/>
      </c>
      <c r="M68" s="1757"/>
      <c r="N68" s="1757"/>
      <c r="O68" s="1758"/>
    </row>
    <row r="69" spans="2:15" customFormat="1" ht="15" customHeight="1">
      <c r="B69" s="191" t="str">
        <f>配慮!B10</f>
        <v>LR-1 エネルギー</v>
      </c>
      <c r="C69" s="198"/>
      <c r="D69" s="186"/>
      <c r="E69" s="186"/>
      <c r="F69" s="186"/>
      <c r="G69" s="199"/>
      <c r="H69" s="278" t="str">
        <f>配慮!B11</f>
        <v>LR-2 資源</v>
      </c>
      <c r="I69" s="189"/>
      <c r="J69" s="189"/>
      <c r="K69" s="192"/>
      <c r="L69" s="279" t="str">
        <f>配慮!B12</f>
        <v>LR-3 周辺環境</v>
      </c>
      <c r="M69" s="198"/>
      <c r="N69" s="186"/>
      <c r="O69" s="200"/>
    </row>
    <row r="70" spans="2:15" customFormat="1" ht="28.95" customHeight="1" thickBot="1">
      <c r="B70" s="1768" t="str">
        <f>IF(配慮!C10="","",配慮!C10)</f>
        <v/>
      </c>
      <c r="C70" s="1769"/>
      <c r="D70" s="1769"/>
      <c r="E70" s="1769"/>
      <c r="F70" s="1769"/>
      <c r="G70" s="1770"/>
      <c r="H70" s="1771" t="str">
        <f>IF(配慮!C11="","",配慮!C11)</f>
        <v/>
      </c>
      <c r="I70" s="1769"/>
      <c r="J70" s="1769"/>
      <c r="K70" s="1770"/>
      <c r="L70" s="1771" t="str">
        <f>IF(配慮!C12="","",配慮!C12)</f>
        <v/>
      </c>
      <c r="M70" s="1769"/>
      <c r="N70" s="1769"/>
      <c r="O70" s="1772"/>
    </row>
    <row r="71" spans="2:15" customFormat="1" ht="7.2" customHeight="1" thickBot="1"/>
    <row r="72" spans="2:15" customFormat="1" ht="15" customHeight="1">
      <c r="B72" s="98" t="s">
        <v>171</v>
      </c>
      <c r="C72" s="99"/>
      <c r="D72" s="100"/>
      <c r="E72" s="99"/>
      <c r="F72" s="99"/>
      <c r="G72" s="99"/>
      <c r="H72" s="101"/>
      <c r="I72" s="102"/>
      <c r="J72" s="99"/>
      <c r="K72" s="99"/>
      <c r="L72" s="99"/>
      <c r="M72" s="103"/>
      <c r="N72" s="103"/>
      <c r="O72" s="183"/>
    </row>
    <row r="73" spans="2:15" customFormat="1" ht="15" customHeight="1">
      <c r="B73" s="1751" t="s">
        <v>172</v>
      </c>
      <c r="C73" s="1752"/>
      <c r="D73" s="1752"/>
      <c r="E73" s="1752"/>
      <c r="F73" s="1752"/>
      <c r="G73" s="1752"/>
      <c r="H73" s="1752"/>
      <c r="I73" s="1752"/>
      <c r="J73" s="1752"/>
      <c r="K73" s="1752"/>
      <c r="L73" s="1752"/>
      <c r="M73" s="1752"/>
      <c r="N73" s="1752"/>
      <c r="O73" s="1753"/>
    </row>
    <row r="74" spans="2:15" customFormat="1" ht="13.95" customHeight="1">
      <c r="B74" s="1759" t="str">
        <f>IF(メイン!C37="","",メイン!C37)</f>
        <v>○○○</v>
      </c>
      <c r="C74" s="1760"/>
      <c r="D74" s="1760"/>
      <c r="E74" s="1760"/>
      <c r="F74" s="1760"/>
      <c r="G74" s="1760"/>
      <c r="H74" s="1760"/>
      <c r="I74" s="1760"/>
      <c r="J74" s="1760"/>
      <c r="K74" s="1760"/>
      <c r="L74" s="1760"/>
      <c r="M74" s="1760"/>
      <c r="N74" s="1760"/>
      <c r="O74" s="1761"/>
    </row>
    <row r="75" spans="2:15" customFormat="1" ht="13.95" customHeight="1" thickBot="1">
      <c r="B75" s="1762" t="str">
        <f>IF(メイン!C38="","",メイン!C38)</f>
        <v>○○○</v>
      </c>
      <c r="C75" s="1763"/>
      <c r="D75" s="1763"/>
      <c r="E75" s="1763"/>
      <c r="F75" s="1763"/>
      <c r="G75" s="1763"/>
      <c r="H75" s="1763"/>
      <c r="I75" s="1763"/>
      <c r="J75" s="1763"/>
      <c r="K75" s="1763"/>
      <c r="L75" s="1763"/>
      <c r="M75" s="1763"/>
      <c r="N75" s="1763"/>
      <c r="O75" s="1764"/>
    </row>
    <row r="76" spans="2:15" customFormat="1" ht="6" customHeight="1"/>
    <row r="77" spans="2:15" customFormat="1" ht="13.95" customHeight="1">
      <c r="B77" s="307" t="s">
        <v>252</v>
      </c>
    </row>
    <row r="78" spans="2:15" customFormat="1" ht="13.95" customHeight="1">
      <c r="B78" s="307" t="s">
        <v>253</v>
      </c>
    </row>
  </sheetData>
  <mergeCells count="28">
    <mergeCell ref="B74:O74"/>
    <mergeCell ref="B75:O75"/>
    <mergeCell ref="B68:G68"/>
    <mergeCell ref="H68:K68"/>
    <mergeCell ref="L68:O68"/>
    <mergeCell ref="B70:G70"/>
    <mergeCell ref="H70:K70"/>
    <mergeCell ref="L70:O70"/>
    <mergeCell ref="AC24:AE24"/>
    <mergeCell ref="AC25:AE25"/>
    <mergeCell ref="AC26:AE26"/>
    <mergeCell ref="H37:K39"/>
    <mergeCell ref="B73:O73"/>
    <mergeCell ref="B66:K66"/>
    <mergeCell ref="L66:O66"/>
    <mergeCell ref="Q2:Q5"/>
    <mergeCell ref="J9:K9"/>
    <mergeCell ref="J10:K10"/>
    <mergeCell ref="J14:K14"/>
    <mergeCell ref="J15:K15"/>
    <mergeCell ref="D11:E11"/>
    <mergeCell ref="J11:K11"/>
    <mergeCell ref="J19:K19"/>
    <mergeCell ref="L23:O23"/>
    <mergeCell ref="J12:K12"/>
    <mergeCell ref="J16:K16"/>
    <mergeCell ref="J17:K17"/>
    <mergeCell ref="J18:K18"/>
  </mergeCells>
  <phoneticPr fontId="3"/>
  <conditionalFormatting sqref="D11 E12 E14 E16 E18">
    <cfRule type="cellIs" dxfId="163" priority="1" stopIfTrue="1" operator="equal">
      <formula>0</formula>
    </cfRule>
  </conditionalFormatting>
  <conditionalFormatting sqref="H36:K36">
    <cfRule type="expression" dxfId="162" priority="3" stopIfTrue="1">
      <formula>$U$36=$W$37</formula>
    </cfRule>
  </conditionalFormatting>
  <conditionalFormatting sqref="I28:K35 H29:H35">
    <cfRule type="expression" dxfId="161" priority="2" stopIfTrue="1">
      <formula>$U$36=$W$37</formula>
    </cfRule>
  </conditionalFormatting>
  <hyperlinks>
    <hyperlink ref="Q2" location="メイン!A1" display="戻る" xr:uid="{EC466BCD-F0B3-4B44-B93A-29CE444179B9}"/>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AA216"/>
  <sheetViews>
    <sheetView showGridLines="0" zoomScaleNormal="100" zoomScaleSheetLayoutView="85" workbookViewId="0">
      <selection activeCell="D15" sqref="D15"/>
    </sheetView>
  </sheetViews>
  <sheetFormatPr defaultColWidth="9" defaultRowHeight="13.2"/>
  <cols>
    <col min="1" max="1" width="0.77734375" style="97" customWidth="1"/>
    <col min="2" max="2" width="2" style="97" customWidth="1"/>
    <col min="3" max="3" width="2.88671875" style="97" customWidth="1"/>
    <col min="4" max="4" width="14.21875" style="97" customWidth="1"/>
    <col min="5" max="5" width="11.77734375" style="97" customWidth="1"/>
    <col min="6" max="7" width="9.88671875" style="97" customWidth="1"/>
    <col min="8" max="12" width="10.88671875" style="97" customWidth="1"/>
    <col min="13" max="13" width="1.77734375" style="97" customWidth="1"/>
    <col min="14" max="19" width="7.88671875" style="165" hidden="1" customWidth="1"/>
    <col min="20" max="21" width="7.88671875" style="165" customWidth="1"/>
    <col min="22" max="26" width="8.88671875" style="165" customWidth="1"/>
    <col min="27" max="16384" width="9" style="97"/>
  </cols>
  <sheetData>
    <row r="1" spans="1:27" customFormat="1">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141"/>
    </row>
    <row r="6" spans="1:27" customFormat="1" ht="13.8" hidden="1">
      <c r="N6" s="451">
        <v>5</v>
      </c>
      <c r="O6" s="451" t="s">
        <v>329</v>
      </c>
      <c r="P6" s="451" t="s">
        <v>330</v>
      </c>
    </row>
    <row r="7" spans="1:27" customFormat="1" hidden="1">
      <c r="G7" s="97"/>
    </row>
    <row r="8" spans="1:27" customFormat="1" hidden="1"/>
    <row r="9" spans="1:27" s="8" customFormat="1" ht="18" thickBot="1">
      <c r="A9" s="672"/>
      <c r="B9" s="667" t="s">
        <v>1082</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1" customFormat="1" ht="15.6">
      <c r="B12" s="668" t="s">
        <v>1001</v>
      </c>
      <c r="C12" s="668"/>
      <c r="D12" s="674"/>
      <c r="H12" s="676"/>
      <c r="I12" s="97"/>
      <c r="J12" s="97"/>
      <c r="K12" s="97"/>
      <c r="L12" s="97"/>
      <c r="M12" s="97"/>
    </row>
    <row r="13" spans="1:27" s="51" customFormat="1" ht="15.6">
      <c r="C13" s="668" t="s">
        <v>1002</v>
      </c>
      <c r="D13" s="674"/>
      <c r="H13" s="679"/>
      <c r="I13" s="97"/>
      <c r="J13" s="97"/>
      <c r="K13" s="97"/>
      <c r="L13" s="97"/>
      <c r="M13" s="97"/>
    </row>
    <row r="14" spans="1:27" s="51" customFormat="1" ht="16.2" thickBot="1">
      <c r="B14" s="668"/>
      <c r="C14" s="668"/>
      <c r="D14" s="164" t="s">
        <v>1003</v>
      </c>
      <c r="E14" s="666"/>
      <c r="F14" s="677"/>
      <c r="G14" s="677"/>
      <c r="H14" s="677"/>
      <c r="I14" s="462"/>
      <c r="J14" s="666"/>
      <c r="K14" s="666"/>
      <c r="L14" s="678"/>
      <c r="M14" s="666"/>
      <c r="N14" s="63"/>
      <c r="O14" s="63"/>
    </row>
    <row r="15" spans="1:27" s="50" customFormat="1" ht="16.2" thickBot="1">
      <c r="B15" s="666"/>
      <c r="C15" s="666"/>
      <c r="D15" s="437">
        <v>3</v>
      </c>
      <c r="E15" s="456" t="s">
        <v>1227</v>
      </c>
      <c r="F15" s="456"/>
      <c r="G15" s="456"/>
      <c r="H15" s="456"/>
      <c r="I15" s="456"/>
      <c r="J15" s="456"/>
      <c r="K15" s="456"/>
      <c r="L15" s="457"/>
      <c r="M15" s="63"/>
      <c r="N15" s="451" t="s">
        <v>335</v>
      </c>
      <c r="O15" s="451" t="s">
        <v>336</v>
      </c>
    </row>
    <row r="16" spans="1:27" s="50" customFormat="1" ht="15.6">
      <c r="B16" s="666"/>
      <c r="C16" s="666"/>
      <c r="D16" s="438" t="str">
        <f>IF(ROUNDDOWN(D15,0)=$N$2,$P$2,$O$2)</f>
        <v>　レベル　1</v>
      </c>
      <c r="E16" s="463" t="s">
        <v>526</v>
      </c>
      <c r="F16" s="503"/>
      <c r="G16" s="503"/>
      <c r="H16" s="503"/>
      <c r="I16" s="503"/>
      <c r="J16" s="503"/>
      <c r="K16" s="503"/>
      <c r="L16" s="510"/>
      <c r="M16" s="666"/>
      <c r="N16" s="452">
        <v>1</v>
      </c>
      <c r="O16" s="453"/>
    </row>
    <row r="17" spans="1:15" s="50" customFormat="1" ht="15.6">
      <c r="B17" s="666"/>
      <c r="C17" s="666"/>
      <c r="D17" s="439" t="str">
        <f>IF(ROUNDDOWN(D15,0)=$N$3,$P$3,$O$3)</f>
        <v>　レベル　2</v>
      </c>
      <c r="E17" s="466" t="s">
        <v>413</v>
      </c>
      <c r="F17" s="504"/>
      <c r="G17" s="504"/>
      <c r="H17" s="504"/>
      <c r="I17" s="504"/>
      <c r="J17" s="504"/>
      <c r="K17" s="504"/>
      <c r="L17" s="511"/>
      <c r="M17" s="63"/>
      <c r="N17" s="452" t="s">
        <v>311</v>
      </c>
      <c r="O17" s="453"/>
    </row>
    <row r="18" spans="1:15" s="50" customFormat="1" ht="15.6">
      <c r="B18" s="666"/>
      <c r="C18" s="666"/>
      <c r="D18" s="439" t="str">
        <f>IF(ROUNDDOWN(D15,0)=$N$4,$P$4,$O$4)</f>
        <v>■レベル　3</v>
      </c>
      <c r="E18" s="466" t="s">
        <v>527</v>
      </c>
      <c r="F18" s="504"/>
      <c r="G18" s="504"/>
      <c r="H18" s="504"/>
      <c r="I18" s="504"/>
      <c r="J18" s="504"/>
      <c r="K18" s="504"/>
      <c r="L18" s="511"/>
      <c r="M18" s="666"/>
      <c r="N18" s="452">
        <v>3</v>
      </c>
      <c r="O18" s="453"/>
    </row>
    <row r="19" spans="1:15" s="50" customFormat="1" ht="15.6">
      <c r="B19" s="666"/>
      <c r="C19" s="666"/>
      <c r="D19" s="439" t="str">
        <f>IF(ROUNDDOWN(D15,0)=$N$5,$P$5,$O$5)</f>
        <v>　レベル　4</v>
      </c>
      <c r="E19" s="469" t="s">
        <v>413</v>
      </c>
      <c r="F19" s="505"/>
      <c r="G19" s="505"/>
      <c r="H19" s="505"/>
      <c r="I19" s="505"/>
      <c r="J19" s="505"/>
      <c r="K19" s="505"/>
      <c r="L19" s="512"/>
      <c r="M19" s="63"/>
      <c r="N19" s="452" t="s">
        <v>311</v>
      </c>
      <c r="O19" s="453"/>
    </row>
    <row r="20" spans="1:15" s="50" customFormat="1" ht="15.6">
      <c r="B20" s="666"/>
      <c r="C20" s="666"/>
      <c r="D20" s="440" t="str">
        <f>IF(ROUNDDOWN(D15,0)=$N$6,$P$6,$O$6)</f>
        <v>　レベル　5</v>
      </c>
      <c r="E20" s="472" t="s">
        <v>528</v>
      </c>
      <c r="F20" s="483"/>
      <c r="G20" s="483"/>
      <c r="H20" s="483"/>
      <c r="I20" s="483"/>
      <c r="J20" s="483"/>
      <c r="K20" s="483"/>
      <c r="L20" s="513"/>
      <c r="M20" s="666"/>
      <c r="N20" s="452">
        <v>5</v>
      </c>
      <c r="O20" s="453"/>
    </row>
    <row r="21" spans="1:15" s="50" customFormat="1" ht="15.6">
      <c r="B21" s="666"/>
      <c r="C21" s="666"/>
      <c r="D21" s="441" t="s">
        <v>340</v>
      </c>
      <c r="E21" s="1010"/>
      <c r="F21" s="497"/>
      <c r="G21" s="497"/>
      <c r="H21" s="681"/>
      <c r="I21"/>
      <c r="J21"/>
      <c r="K21"/>
      <c r="L21"/>
      <c r="M21" s="63"/>
      <c r="N21" s="452" t="s">
        <v>311</v>
      </c>
      <c r="O21" s="455"/>
    </row>
    <row r="22" spans="1:15" customFormat="1">
      <c r="F22" s="307"/>
    </row>
    <row r="23" spans="1:15" s="50" customFormat="1" ht="16.2" thickBot="1">
      <c r="A23" s="666"/>
      <c r="B23" s="670"/>
      <c r="C23" s="670"/>
      <c r="D23" s="164" t="s">
        <v>1004</v>
      </c>
      <c r="E23" s="666"/>
      <c r="F23" s="677"/>
      <c r="G23" s="677"/>
      <c r="H23" s="677"/>
      <c r="I23" s="462"/>
      <c r="J23" s="666"/>
      <c r="K23" s="666"/>
      <c r="L23" s="678"/>
      <c r="M23" s="666"/>
      <c r="N23" s="63"/>
      <c r="O23" s="63"/>
    </row>
    <row r="24" spans="1:15" s="50" customFormat="1" ht="16.2" thickBot="1">
      <c r="B24" s="666"/>
      <c r="C24" s="666"/>
      <c r="D24" s="437">
        <v>3</v>
      </c>
      <c r="E24" s="456" t="s">
        <v>1227</v>
      </c>
      <c r="F24" s="456"/>
      <c r="G24" s="456"/>
      <c r="H24" s="456"/>
      <c r="I24" s="456"/>
      <c r="J24" s="456"/>
      <c r="K24" s="456"/>
      <c r="L24" s="457"/>
      <c r="M24" s="63"/>
      <c r="N24" s="451" t="s">
        <v>335</v>
      </c>
      <c r="O24" s="451" t="s">
        <v>336</v>
      </c>
    </row>
    <row r="25" spans="1:15" s="50" customFormat="1" ht="28.2" customHeight="1">
      <c r="B25" s="666"/>
      <c r="C25" s="666"/>
      <c r="D25" s="438" t="str">
        <f>IF(ROUNDDOWN(D24,0)=$N$2,$P$2,$O$2)</f>
        <v>　レベル　1</v>
      </c>
      <c r="E25" s="1898" t="s">
        <v>529</v>
      </c>
      <c r="F25" s="1899"/>
      <c r="G25" s="1899"/>
      <c r="H25" s="1899"/>
      <c r="I25" s="1899"/>
      <c r="J25" s="1899"/>
      <c r="K25" s="1899"/>
      <c r="L25" s="1900"/>
      <c r="M25" s="666"/>
      <c r="N25" s="452">
        <v>1</v>
      </c>
      <c r="O25" s="453"/>
    </row>
    <row r="26" spans="1:15" s="50" customFormat="1" ht="15.6">
      <c r="B26" s="666"/>
      <c r="C26" s="666"/>
      <c r="D26" s="439" t="str">
        <f>IF(ROUNDDOWN(D24,0)=$N$3,$P$3,$O$3)</f>
        <v>　レベル　2</v>
      </c>
      <c r="E26" s="466" t="s">
        <v>413</v>
      </c>
      <c r="F26" s="504"/>
      <c r="G26" s="504"/>
      <c r="H26" s="504"/>
      <c r="I26" s="504"/>
      <c r="J26" s="504"/>
      <c r="K26" s="504"/>
      <c r="L26" s="511"/>
      <c r="M26" s="63"/>
      <c r="N26" s="452" t="s">
        <v>311</v>
      </c>
      <c r="O26" s="453"/>
    </row>
    <row r="27" spans="1:15" s="50" customFormat="1" ht="31.2" customHeight="1">
      <c r="B27" s="666"/>
      <c r="C27" s="666"/>
      <c r="D27" s="439" t="str">
        <f>IF(ROUNDDOWN(D24,0)=$N$4,$P$4,$O$4)</f>
        <v>■レベル　3</v>
      </c>
      <c r="E27" s="1880" t="s">
        <v>530</v>
      </c>
      <c r="F27" s="1881"/>
      <c r="G27" s="1881"/>
      <c r="H27" s="1881"/>
      <c r="I27" s="1881"/>
      <c r="J27" s="1881"/>
      <c r="K27" s="1881"/>
      <c r="L27" s="1882"/>
      <c r="M27" s="666"/>
      <c r="N27" s="452">
        <v>3</v>
      </c>
      <c r="O27" s="453"/>
    </row>
    <row r="28" spans="1:15" s="50" customFormat="1" ht="15.6">
      <c r="B28" s="666"/>
      <c r="C28" s="666"/>
      <c r="D28" s="439" t="str">
        <f>IF(ROUNDDOWN(D24,0)=$N$5,$P$5,$O$5)</f>
        <v>　レベル　4</v>
      </c>
      <c r="E28" s="469" t="s">
        <v>413</v>
      </c>
      <c r="F28" s="505"/>
      <c r="G28" s="505"/>
      <c r="H28" s="505"/>
      <c r="I28" s="505"/>
      <c r="J28" s="505"/>
      <c r="K28" s="505"/>
      <c r="L28" s="512"/>
      <c r="M28" s="63"/>
      <c r="N28" s="452" t="s">
        <v>311</v>
      </c>
      <c r="O28" s="453"/>
    </row>
    <row r="29" spans="1:15" s="50" customFormat="1" ht="27" customHeight="1">
      <c r="B29" s="666"/>
      <c r="C29" s="666"/>
      <c r="D29" s="440" t="str">
        <f>IF(ROUNDDOWN(D24,0)=$N$6,$P$6,$O$6)</f>
        <v>　レベル　5</v>
      </c>
      <c r="E29" s="1893" t="s">
        <v>531</v>
      </c>
      <c r="F29" s="1894"/>
      <c r="G29" s="1894"/>
      <c r="H29" s="1894"/>
      <c r="I29" s="1894"/>
      <c r="J29" s="1894"/>
      <c r="K29" s="1894"/>
      <c r="L29" s="1895"/>
      <c r="M29" s="666"/>
      <c r="N29" s="452">
        <v>5</v>
      </c>
      <c r="O29" s="453"/>
    </row>
    <row r="30" spans="1:15" s="50" customFormat="1" ht="15.6">
      <c r="B30" s="666"/>
      <c r="C30" s="666"/>
      <c r="D30" s="441" t="s">
        <v>340</v>
      </c>
      <c r="E30" s="1010"/>
      <c r="F30" s="487"/>
      <c r="G30" s="487"/>
      <c r="H30" s="731"/>
      <c r="I30"/>
      <c r="J30"/>
      <c r="K30"/>
      <c r="L30"/>
      <c r="M30" s="63"/>
      <c r="N30" s="452" t="s">
        <v>311</v>
      </c>
      <c r="O30" s="455"/>
    </row>
    <row r="31" spans="1:15" customFormat="1">
      <c r="F31" s="307"/>
    </row>
    <row r="32" spans="1:15" s="50" customFormat="1" ht="16.2" thickBot="1">
      <c r="A32" s="666"/>
      <c r="B32" s="670"/>
      <c r="C32" s="670"/>
      <c r="D32" s="164" t="s">
        <v>1005</v>
      </c>
      <c r="E32" s="666"/>
      <c r="F32" s="677"/>
      <c r="G32" s="677"/>
      <c r="H32" s="677"/>
      <c r="I32" s="462"/>
      <c r="J32" s="666"/>
      <c r="K32" s="666"/>
      <c r="L32" s="678"/>
      <c r="M32" s="666"/>
      <c r="N32" s="63"/>
      <c r="O32" s="63"/>
    </row>
    <row r="33" spans="1:15" s="50" customFormat="1" ht="16.2" thickBot="1">
      <c r="B33" s="666"/>
      <c r="C33" s="666"/>
      <c r="D33" s="437">
        <v>3</v>
      </c>
      <c r="E33" s="456" t="s">
        <v>1227</v>
      </c>
      <c r="F33" s="456"/>
      <c r="G33" s="456"/>
      <c r="H33" s="456"/>
      <c r="I33" s="456"/>
      <c r="J33" s="456"/>
      <c r="K33" s="456"/>
      <c r="L33" s="457"/>
      <c r="M33" s="63"/>
      <c r="N33" s="451" t="s">
        <v>335</v>
      </c>
      <c r="O33" s="451" t="s">
        <v>336</v>
      </c>
    </row>
    <row r="34" spans="1:15" s="50" customFormat="1" ht="15.6">
      <c r="B34" s="666"/>
      <c r="C34" s="666"/>
      <c r="D34" s="438" t="str">
        <f>IF(ROUNDDOWN(D33,0)=$N$2,$P$2,$O$2)</f>
        <v>　レベル　1</v>
      </c>
      <c r="E34" s="463" t="s">
        <v>532</v>
      </c>
      <c r="F34" s="503"/>
      <c r="G34" s="503"/>
      <c r="H34" s="503"/>
      <c r="I34" s="503"/>
      <c r="J34" s="503"/>
      <c r="K34" s="503"/>
      <c r="L34" s="510"/>
      <c r="M34" s="666"/>
      <c r="N34" s="452">
        <v>1</v>
      </c>
      <c r="O34" s="453"/>
    </row>
    <row r="35" spans="1:15" s="50" customFormat="1" ht="15.6">
      <c r="B35" s="666"/>
      <c r="C35" s="666"/>
      <c r="D35" s="439" t="str">
        <f>IF(ROUNDDOWN(D33,0)=$N$3,$P$3,$O$3)</f>
        <v>　レベル　2</v>
      </c>
      <c r="E35" s="466" t="s">
        <v>533</v>
      </c>
      <c r="F35" s="504"/>
      <c r="G35" s="504"/>
      <c r="H35" s="504"/>
      <c r="I35" s="504"/>
      <c r="J35" s="504"/>
      <c r="K35" s="504"/>
      <c r="L35" s="511"/>
      <c r="M35" s="63"/>
      <c r="N35" s="452">
        <v>2</v>
      </c>
      <c r="O35" s="453"/>
    </row>
    <row r="36" spans="1:15" s="50" customFormat="1" ht="27.6" customHeight="1">
      <c r="B36" s="666"/>
      <c r="C36" s="666"/>
      <c r="D36" s="439" t="str">
        <f>IF(ROUNDDOWN(D33,0)=$N$4,$P$4,$O$4)</f>
        <v>■レベル　3</v>
      </c>
      <c r="E36" s="1880" t="s">
        <v>534</v>
      </c>
      <c r="F36" s="1881"/>
      <c r="G36" s="1881"/>
      <c r="H36" s="1881"/>
      <c r="I36" s="1881"/>
      <c r="J36" s="1881"/>
      <c r="K36" s="1881"/>
      <c r="L36" s="1882"/>
      <c r="M36" s="666"/>
      <c r="N36" s="452">
        <v>3</v>
      </c>
      <c r="O36" s="453"/>
    </row>
    <row r="37" spans="1:15" s="50" customFormat="1" ht="15.6">
      <c r="B37" s="666"/>
      <c r="C37" s="666"/>
      <c r="D37" s="439" t="str">
        <f>IF(ROUNDDOWN(D33,0)=$N$5,$P$5,$O$5)</f>
        <v>　レベル　4</v>
      </c>
      <c r="E37" s="469" t="s">
        <v>413</v>
      </c>
      <c r="F37" s="505"/>
      <c r="G37" s="505"/>
      <c r="H37" s="505"/>
      <c r="I37" s="505"/>
      <c r="J37" s="505"/>
      <c r="K37" s="505"/>
      <c r="L37" s="512"/>
      <c r="M37" s="63"/>
      <c r="N37" s="452" t="s">
        <v>311</v>
      </c>
      <c r="O37" s="453"/>
    </row>
    <row r="38" spans="1:15" s="50" customFormat="1" ht="29.4" customHeight="1">
      <c r="B38" s="666"/>
      <c r="C38" s="666"/>
      <c r="D38" s="440" t="str">
        <f>IF(ROUNDDOWN(D33,0)=$N$6,$P$6,$O$6)</f>
        <v>　レベル　5</v>
      </c>
      <c r="E38" s="1893" t="s">
        <v>535</v>
      </c>
      <c r="F38" s="1894"/>
      <c r="G38" s="1894"/>
      <c r="H38" s="1894"/>
      <c r="I38" s="1894"/>
      <c r="J38" s="1894"/>
      <c r="K38" s="1894"/>
      <c r="L38" s="1895"/>
      <c r="M38" s="666"/>
      <c r="N38" s="452">
        <v>5</v>
      </c>
      <c r="O38" s="453"/>
    </row>
    <row r="39" spans="1:15" s="50" customFormat="1" ht="15.6">
      <c r="B39" s="666"/>
      <c r="C39" s="666"/>
      <c r="D39" s="441" t="s">
        <v>340</v>
      </c>
      <c r="E39" s="1010"/>
      <c r="F39" s="487"/>
      <c r="G39" s="487"/>
      <c r="H39" s="731"/>
      <c r="I39"/>
      <c r="J39"/>
      <c r="K39"/>
      <c r="L39"/>
      <c r="M39" s="63"/>
      <c r="N39" s="452" t="s">
        <v>311</v>
      </c>
      <c r="O39" s="455"/>
    </row>
    <row r="40" spans="1:15" customFormat="1">
      <c r="F40" s="307"/>
    </row>
    <row r="41" spans="1:15" s="51" customFormat="1" ht="15.6">
      <c r="C41" s="668" t="s">
        <v>1006</v>
      </c>
      <c r="D41" s="674"/>
      <c r="F41" s="138"/>
      <c r="H41" s="679"/>
      <c r="I41" s="97"/>
      <c r="J41" s="97"/>
      <c r="K41" s="97"/>
      <c r="L41" s="97"/>
      <c r="M41" s="97"/>
    </row>
    <row r="42" spans="1:15" s="50" customFormat="1" ht="16.2" thickBot="1">
      <c r="A42" s="666"/>
      <c r="B42" s="670"/>
      <c r="C42" s="670"/>
      <c r="D42" s="164" t="s">
        <v>1007</v>
      </c>
      <c r="E42" s="666"/>
      <c r="F42" s="677"/>
      <c r="G42" s="677"/>
      <c r="H42" s="677"/>
      <c r="I42" s="462"/>
      <c r="J42" s="666"/>
      <c r="K42" s="666"/>
      <c r="L42" s="678"/>
      <c r="M42" s="666"/>
      <c r="N42" s="63"/>
      <c r="O42" s="63"/>
    </row>
    <row r="43" spans="1:15" s="50" customFormat="1" ht="16.2" thickBot="1">
      <c r="B43" s="666"/>
      <c r="C43" s="666"/>
      <c r="D43" s="437">
        <v>3</v>
      </c>
      <c r="E43" s="456" t="s">
        <v>1227</v>
      </c>
      <c r="F43" s="456"/>
      <c r="G43" s="456"/>
      <c r="H43" s="456"/>
      <c r="I43" s="456"/>
      <c r="J43" s="456"/>
      <c r="K43" s="456"/>
      <c r="L43" s="457"/>
      <c r="M43" s="63"/>
      <c r="N43" s="451" t="s">
        <v>335</v>
      </c>
      <c r="O43" s="451" t="s">
        <v>336</v>
      </c>
    </row>
    <row r="44" spans="1:15" s="50" customFormat="1" ht="15.6">
      <c r="B44" s="666"/>
      <c r="C44" s="666"/>
      <c r="D44" s="438" t="str">
        <f>IF(ROUNDDOWN(D43,0)=$N$2,$P$2,$O$2)</f>
        <v>　レベル　1</v>
      </c>
      <c r="E44" s="463" t="s">
        <v>536</v>
      </c>
      <c r="F44" s="503"/>
      <c r="G44" s="503"/>
      <c r="H44" s="503"/>
      <c r="I44" s="503"/>
      <c r="J44" s="503"/>
      <c r="K44" s="503"/>
      <c r="L44" s="510"/>
      <c r="M44" s="666"/>
      <c r="N44" s="452">
        <v>1</v>
      </c>
      <c r="O44" s="453"/>
    </row>
    <row r="45" spans="1:15" s="50" customFormat="1" ht="15.6">
      <c r="B45" s="666"/>
      <c r="C45" s="666"/>
      <c r="D45" s="439" t="str">
        <f>IF(ROUNDDOWN(D43,0)=$N$3,$P$3,$O$3)</f>
        <v>　レベル　2</v>
      </c>
      <c r="E45" s="466" t="s">
        <v>413</v>
      </c>
      <c r="F45" s="504"/>
      <c r="G45" s="504"/>
      <c r="H45" s="504"/>
      <c r="I45" s="504"/>
      <c r="J45" s="504"/>
      <c r="K45" s="504"/>
      <c r="L45" s="511"/>
      <c r="M45" s="63"/>
      <c r="N45" s="452" t="s">
        <v>311</v>
      </c>
      <c r="O45" s="453"/>
    </row>
    <row r="46" spans="1:15" s="50" customFormat="1" ht="15.6">
      <c r="B46" s="666"/>
      <c r="C46" s="666"/>
      <c r="D46" s="439" t="str">
        <f>IF(ROUNDDOWN(D43,0)=$N$4,$P$4,$O$4)</f>
        <v>■レベル　3</v>
      </c>
      <c r="E46" s="466" t="s">
        <v>537</v>
      </c>
      <c r="F46" s="504"/>
      <c r="G46" s="504"/>
      <c r="H46" s="504"/>
      <c r="I46" s="504"/>
      <c r="J46" s="504"/>
      <c r="K46" s="504"/>
      <c r="L46" s="511"/>
      <c r="M46" s="666"/>
      <c r="N46" s="452">
        <v>3</v>
      </c>
      <c r="O46" s="453"/>
    </row>
    <row r="47" spans="1:15" s="50" customFormat="1" ht="15.6">
      <c r="B47" s="666"/>
      <c r="C47" s="666"/>
      <c r="D47" s="439" t="str">
        <f>IF(ROUNDDOWN(D43,0)=$N$5,$P$5,$O$5)</f>
        <v>　レベル　4</v>
      </c>
      <c r="E47" s="469" t="s">
        <v>413</v>
      </c>
      <c r="F47" s="505"/>
      <c r="G47" s="505"/>
      <c r="H47" s="505"/>
      <c r="I47" s="505"/>
      <c r="J47" s="505"/>
      <c r="K47" s="505"/>
      <c r="L47" s="512"/>
      <c r="M47" s="63"/>
      <c r="N47" s="452" t="s">
        <v>311</v>
      </c>
      <c r="O47" s="453"/>
    </row>
    <row r="48" spans="1:15" s="50" customFormat="1" ht="15.6">
      <c r="B48" s="666"/>
      <c r="C48" s="666"/>
      <c r="D48" s="440" t="str">
        <f>IF(ROUNDDOWN(D43,0)=$N$6,$P$6,$O$6)</f>
        <v>　レベル　5</v>
      </c>
      <c r="E48" s="472" t="s">
        <v>538</v>
      </c>
      <c r="F48" s="483"/>
      <c r="G48" s="483"/>
      <c r="H48" s="483"/>
      <c r="I48" s="483"/>
      <c r="J48" s="483"/>
      <c r="K48" s="483"/>
      <c r="L48" s="513"/>
      <c r="M48" s="666"/>
      <c r="N48" s="452">
        <v>5</v>
      </c>
      <c r="O48" s="453"/>
    </row>
    <row r="49" spans="1:25" s="50" customFormat="1" ht="15.6">
      <c r="B49" s="666"/>
      <c r="C49" s="666"/>
      <c r="D49" s="441" t="s">
        <v>340</v>
      </c>
      <c r="E49" s="1010"/>
      <c r="F49" s="497"/>
      <c r="G49" s="497"/>
      <c r="H49" s="681"/>
      <c r="I49"/>
      <c r="J49"/>
      <c r="K49"/>
      <c r="L49"/>
      <c r="M49" s="63"/>
      <c r="N49" s="452" t="s">
        <v>311</v>
      </c>
      <c r="O49" s="455"/>
    </row>
    <row r="50" spans="1:25" customFormat="1">
      <c r="F50" s="307"/>
    </row>
    <row r="51" spans="1:25" s="50" customFormat="1" ht="16.2" thickBot="1">
      <c r="B51" s="666"/>
      <c r="C51" s="666"/>
      <c r="D51" s="164" t="s">
        <v>1008</v>
      </c>
      <c r="E51" s="450"/>
      <c r="F51" s="498"/>
      <c r="G51" s="498"/>
      <c r="H51" s="498"/>
      <c r="I51" s="462"/>
      <c r="J51" s="450"/>
      <c r="K51" s="450"/>
      <c r="L51" s="450"/>
      <c r="M51" s="450"/>
      <c r="N51" s="450"/>
      <c r="O51" s="63"/>
      <c r="P51"/>
      <c r="Q51"/>
    </row>
    <row r="52" spans="1:25" s="50" customFormat="1" ht="16.2" thickBot="1">
      <c r="B52" s="666"/>
      <c r="C52" s="666"/>
      <c r="D52" s="1239">
        <f>IF(E60&gt;=O57,N57,IF(E60&gt;=O56,N56,IF(E60&gt;=O55,N55,IF(E60&gt;=O54,N54,N53))))</f>
        <v>3</v>
      </c>
      <c r="E52" s="456" t="s">
        <v>1227</v>
      </c>
      <c r="F52" s="456"/>
      <c r="G52" s="456"/>
      <c r="H52" s="456"/>
      <c r="I52" s="456"/>
      <c r="J52" s="456"/>
      <c r="K52" s="456"/>
      <c r="L52" s="457"/>
      <c r="M52" s="63"/>
      <c r="N52" s="451" t="s">
        <v>335</v>
      </c>
      <c r="O52" s="451" t="s">
        <v>336</v>
      </c>
    </row>
    <row r="53" spans="1:25" s="50" customFormat="1" ht="15.6">
      <c r="B53" s="666"/>
      <c r="C53" s="666"/>
      <c r="D53" s="438" t="str">
        <f>IF(ROUNDDOWN(D52,0)=$N$2,$P$2,$O$2)</f>
        <v>　レベル　1</v>
      </c>
      <c r="E53" s="463" t="s">
        <v>472</v>
      </c>
      <c r="F53" s="464"/>
      <c r="G53" s="464"/>
      <c r="H53" s="464"/>
      <c r="I53" s="464"/>
      <c r="J53" s="464"/>
      <c r="K53" s="464"/>
      <c r="L53" s="465"/>
      <c r="M53" s="666"/>
      <c r="N53" s="452">
        <v>1</v>
      </c>
      <c r="O53" s="451">
        <v>0</v>
      </c>
    </row>
    <row r="54" spans="1:25" s="50" customFormat="1" ht="15.6">
      <c r="B54" s="666"/>
      <c r="C54" s="666"/>
      <c r="D54" s="439" t="str">
        <f>IF(ROUNDDOWN(D52,0)=$N$3,$P$3,$O$3)</f>
        <v>　レベル　2</v>
      </c>
      <c r="E54" s="466" t="s">
        <v>413</v>
      </c>
      <c r="F54" s="467"/>
      <c r="G54" s="467"/>
      <c r="H54" s="467"/>
      <c r="I54" s="467"/>
      <c r="J54" s="467"/>
      <c r="K54" s="467"/>
      <c r="L54" s="468"/>
      <c r="M54" s="63"/>
      <c r="N54" s="452" t="s">
        <v>311</v>
      </c>
      <c r="O54" s="451" t="s">
        <v>311</v>
      </c>
    </row>
    <row r="55" spans="1:25" s="50" customFormat="1" ht="15.6">
      <c r="B55" s="666"/>
      <c r="C55" s="666"/>
      <c r="D55" s="439" t="str">
        <f>IF(ROUNDDOWN(D52,0)=$N$4,$P$4,$O$4)</f>
        <v>■レベル　3</v>
      </c>
      <c r="E55" s="466" t="s">
        <v>539</v>
      </c>
      <c r="F55" s="467"/>
      <c r="G55" s="467"/>
      <c r="H55" s="467"/>
      <c r="I55" s="467"/>
      <c r="J55" s="467"/>
      <c r="K55" s="467"/>
      <c r="L55" s="468"/>
      <c r="M55" s="666"/>
      <c r="N55" s="452">
        <v>3</v>
      </c>
      <c r="O55" s="451">
        <v>1</v>
      </c>
    </row>
    <row r="56" spans="1:25" s="50" customFormat="1" ht="15.6">
      <c r="B56" s="666"/>
      <c r="C56" s="666"/>
      <c r="D56" s="439" t="str">
        <f>IF(ROUNDDOWN(D52,0)=$N$5,$P$5,$O$5)</f>
        <v>　レベル　4</v>
      </c>
      <c r="E56" s="469" t="s">
        <v>493</v>
      </c>
      <c r="F56" s="470"/>
      <c r="G56" s="470"/>
      <c r="H56" s="470"/>
      <c r="I56" s="470"/>
      <c r="J56" s="470"/>
      <c r="K56" s="470"/>
      <c r="L56" s="471"/>
      <c r="M56" s="63"/>
      <c r="N56" s="452">
        <v>4</v>
      </c>
      <c r="O56" s="451">
        <v>2</v>
      </c>
    </row>
    <row r="57" spans="1:25" s="50" customFormat="1" ht="15.6">
      <c r="B57" s="666"/>
      <c r="C57" s="666"/>
      <c r="D57" s="440" t="str">
        <f>IF(ROUNDDOWN(D52,0)=$N$6,$P$6,$O$6)</f>
        <v>　レベル　5</v>
      </c>
      <c r="E57" s="472" t="s">
        <v>540</v>
      </c>
      <c r="F57" s="473"/>
      <c r="G57" s="473"/>
      <c r="H57" s="473"/>
      <c r="I57" s="473"/>
      <c r="J57" s="473"/>
      <c r="K57" s="473"/>
      <c r="L57" s="474"/>
      <c r="M57" s="666"/>
      <c r="N57" s="452">
        <v>5</v>
      </c>
      <c r="O57" s="451">
        <v>3</v>
      </c>
    </row>
    <row r="58" spans="1:25" s="50" customFormat="1" ht="15.6">
      <c r="B58" s="666"/>
      <c r="C58" s="666"/>
      <c r="D58" s="441" t="s">
        <v>340</v>
      </c>
      <c r="E58" s="1010"/>
      <c r="F58" s="497"/>
      <c r="G58" s="497"/>
      <c r="H58" s="681"/>
      <c r="I58"/>
      <c r="J58"/>
      <c r="K58"/>
      <c r="L58"/>
      <c r="M58" s="666"/>
      <c r="N58" s="452" t="s">
        <v>311</v>
      </c>
      <c r="O58" s="451"/>
    </row>
    <row r="59" spans="1:25" s="50" customFormat="1" ht="15.6">
      <c r="B59" s="666"/>
      <c r="C59" s="666"/>
      <c r="D59" s="441" t="s">
        <v>383</v>
      </c>
      <c r="E59" s="450"/>
      <c r="F59" s="498"/>
      <c r="G59" s="498"/>
      <c r="H59" s="498"/>
      <c r="I59" s="498"/>
      <c r="J59" s="450"/>
      <c r="K59" s="450"/>
      <c r="L59" s="450"/>
      <c r="M59" s="450"/>
    </row>
    <row r="60" spans="1:25" s="165" customFormat="1" ht="15" thickBot="1">
      <c r="A60" s="97"/>
      <c r="B60" s="51"/>
      <c r="C60" s="51"/>
      <c r="D60" s="175" t="s">
        <v>384</v>
      </c>
      <c r="E60" s="496">
        <f>COUNTIF(E61:E65,$R$3)</f>
        <v>1</v>
      </c>
      <c r="F60" s="1859" t="s">
        <v>828</v>
      </c>
      <c r="G60" s="1864"/>
      <c r="H60" s="1867" t="s">
        <v>829</v>
      </c>
      <c r="I60" s="1863"/>
      <c r="J60" s="1863"/>
      <c r="K60" s="1863"/>
      <c r="L60" s="1864"/>
      <c r="M60" s="450"/>
      <c r="N60"/>
      <c r="O60"/>
      <c r="P60"/>
      <c r="Q60"/>
      <c r="R60" s="141"/>
      <c r="S60" s="141"/>
      <c r="T60" s="141"/>
      <c r="U60" s="141"/>
      <c r="V60" s="141"/>
      <c r="W60" s="141"/>
      <c r="X60" s="97"/>
      <c r="Y60" s="97"/>
    </row>
    <row r="61" spans="1:25" s="165" customFormat="1" ht="41.4" customHeight="1">
      <c r="A61" s="97"/>
      <c r="B61" s="51"/>
      <c r="C61" s="51"/>
      <c r="D61" s="442" t="s">
        <v>299</v>
      </c>
      <c r="E61" s="443" t="s">
        <v>389</v>
      </c>
      <c r="F61" s="1891" t="s">
        <v>868</v>
      </c>
      <c r="G61" s="1890"/>
      <c r="H61" s="1889" t="s">
        <v>869</v>
      </c>
      <c r="I61" s="1889"/>
      <c r="J61" s="1889"/>
      <c r="K61" s="1889"/>
      <c r="L61" s="1890"/>
      <c r="M61" s="97"/>
      <c r="N61"/>
      <c r="O61"/>
      <c r="P61"/>
      <c r="Q61"/>
      <c r="R61" s="141"/>
      <c r="S61" s="141"/>
      <c r="T61" s="141"/>
      <c r="U61" s="141"/>
      <c r="V61" s="141"/>
      <c r="W61" s="141"/>
      <c r="X61" s="97"/>
      <c r="Y61" s="97"/>
    </row>
    <row r="62" spans="1:25" s="165" customFormat="1" ht="35.4" customHeight="1">
      <c r="A62" s="97"/>
      <c r="B62" s="51"/>
      <c r="C62" s="51"/>
      <c r="D62" s="442" t="s">
        <v>300</v>
      </c>
      <c r="E62" s="444"/>
      <c r="F62" s="1896" t="s">
        <v>870</v>
      </c>
      <c r="G62" s="1897"/>
      <c r="H62" s="1889" t="s">
        <v>871</v>
      </c>
      <c r="I62" s="1889"/>
      <c r="J62" s="1889"/>
      <c r="K62" s="1889"/>
      <c r="L62" s="1890"/>
      <c r="M62" s="97"/>
      <c r="N62"/>
      <c r="O62"/>
      <c r="P62"/>
      <c r="Q62"/>
      <c r="R62" s="141"/>
      <c r="S62" s="141"/>
      <c r="T62" s="141"/>
      <c r="U62" s="141"/>
      <c r="V62" s="141"/>
      <c r="W62" s="141"/>
      <c r="X62" s="97"/>
      <c r="Y62" s="97"/>
    </row>
    <row r="63" spans="1:25" s="165" customFormat="1" ht="35.4" customHeight="1">
      <c r="A63" s="97"/>
      <c r="B63" s="51"/>
      <c r="C63" s="51"/>
      <c r="D63" s="442" t="s">
        <v>301</v>
      </c>
      <c r="E63" s="444"/>
      <c r="F63" s="1891" t="s">
        <v>872</v>
      </c>
      <c r="G63" s="1890"/>
      <c r="H63" s="1889" t="s">
        <v>873</v>
      </c>
      <c r="I63" s="1889"/>
      <c r="J63" s="1889"/>
      <c r="K63" s="1889"/>
      <c r="L63" s="1890"/>
      <c r="M63" s="97"/>
      <c r="N63"/>
      <c r="O63"/>
      <c r="P63"/>
      <c r="Q63"/>
      <c r="R63" s="141"/>
      <c r="S63" s="141"/>
      <c r="T63" s="141"/>
      <c r="U63" s="141"/>
      <c r="V63" s="141"/>
      <c r="W63" s="141"/>
      <c r="X63" s="97"/>
      <c r="Y63" s="97"/>
    </row>
    <row r="64" spans="1:25" s="165" customFormat="1" ht="35.4" customHeight="1">
      <c r="A64" s="97"/>
      <c r="B64" s="51"/>
      <c r="C64" s="51"/>
      <c r="D64" s="442" t="s">
        <v>302</v>
      </c>
      <c r="E64" s="444"/>
      <c r="F64" s="1891" t="s">
        <v>874</v>
      </c>
      <c r="G64" s="1890"/>
      <c r="H64" s="1889" t="s">
        <v>875</v>
      </c>
      <c r="I64" s="1889"/>
      <c r="J64" s="1889"/>
      <c r="K64" s="1889"/>
      <c r="L64" s="1890"/>
      <c r="M64" s="97"/>
      <c r="N64"/>
      <c r="O64"/>
      <c r="P64"/>
      <c r="Q64"/>
      <c r="R64" s="141"/>
      <c r="S64" s="141"/>
      <c r="T64" s="141"/>
      <c r="U64" s="141"/>
      <c r="V64" s="141"/>
      <c r="W64" s="141"/>
      <c r="X64" s="97"/>
      <c r="Y64" s="97"/>
    </row>
    <row r="65" spans="1:25" s="165" customFormat="1" ht="35.4" customHeight="1" thickBot="1">
      <c r="A65" s="97"/>
      <c r="B65" s="51"/>
      <c r="C65" s="51"/>
      <c r="D65" s="442" t="s">
        <v>303</v>
      </c>
      <c r="E65" s="445"/>
      <c r="F65" s="1891" t="s">
        <v>876</v>
      </c>
      <c r="G65" s="1890"/>
      <c r="H65" s="1889" t="s">
        <v>877</v>
      </c>
      <c r="I65" s="1889"/>
      <c r="J65" s="1889"/>
      <c r="K65" s="1889"/>
      <c r="L65" s="1890"/>
      <c r="M65" s="97"/>
      <c r="N65"/>
      <c r="O65"/>
      <c r="P65"/>
      <c r="Q65"/>
      <c r="R65" s="141"/>
      <c r="S65" s="141"/>
      <c r="T65" s="141"/>
      <c r="U65" s="141"/>
      <c r="V65" s="141"/>
      <c r="W65" s="141"/>
      <c r="X65" s="97"/>
      <c r="Y65" s="97"/>
    </row>
    <row r="66" spans="1:25" customFormat="1">
      <c r="F66" s="307"/>
    </row>
    <row r="67" spans="1:25" s="50" customFormat="1" ht="16.2" thickBot="1">
      <c r="A67" s="666"/>
      <c r="B67" s="670"/>
      <c r="C67" s="670"/>
      <c r="D67" s="164" t="s">
        <v>1009</v>
      </c>
      <c r="E67" s="666"/>
      <c r="F67" s="677"/>
      <c r="G67" s="677"/>
      <c r="H67" s="677"/>
      <c r="I67" s="462"/>
      <c r="J67" s="666"/>
      <c r="K67" s="666"/>
      <c r="L67" s="678"/>
      <c r="M67" s="666"/>
      <c r="N67" s="63"/>
      <c r="O67" s="63"/>
    </row>
    <row r="68" spans="1:25" s="50" customFormat="1" ht="16.2" thickBot="1">
      <c r="B68" s="666"/>
      <c r="C68" s="666"/>
      <c r="D68" s="437">
        <v>3</v>
      </c>
      <c r="E68" s="456" t="s">
        <v>1227</v>
      </c>
      <c r="F68" s="456"/>
      <c r="G68" s="456"/>
      <c r="H68" s="456"/>
      <c r="I68" s="456"/>
      <c r="J68" s="456"/>
      <c r="K68" s="456"/>
      <c r="L68" s="457"/>
      <c r="M68" s="63"/>
      <c r="N68" s="451" t="s">
        <v>335</v>
      </c>
      <c r="O68" s="451" t="s">
        <v>336</v>
      </c>
    </row>
    <row r="69" spans="1:25" s="50" customFormat="1" ht="15.6">
      <c r="B69" s="666"/>
      <c r="C69" s="666"/>
      <c r="D69" s="438" t="str">
        <f>IF(ROUNDDOWN(D68,0)=$N$2,$P$2,$O$2)</f>
        <v>　レベル　1</v>
      </c>
      <c r="E69" s="463" t="s">
        <v>541</v>
      </c>
      <c r="F69" s="503"/>
      <c r="G69" s="503"/>
      <c r="H69" s="503"/>
      <c r="I69" s="503"/>
      <c r="J69" s="503"/>
      <c r="K69" s="503"/>
      <c r="L69" s="510"/>
      <c r="M69" s="666"/>
      <c r="N69" s="452">
        <v>1</v>
      </c>
      <c r="O69" s="453"/>
    </row>
    <row r="70" spans="1:25" s="50" customFormat="1" ht="15.6">
      <c r="B70" s="666"/>
      <c r="C70" s="666"/>
      <c r="D70" s="439" t="str">
        <f>IF(ROUNDDOWN(D68,0)=$N$3,$P$3,$O$3)</f>
        <v>　レベル　2</v>
      </c>
      <c r="E70" s="466" t="s">
        <v>413</v>
      </c>
      <c r="F70" s="504"/>
      <c r="G70" s="504"/>
      <c r="H70" s="504"/>
      <c r="I70" s="504"/>
      <c r="J70" s="504"/>
      <c r="K70" s="504"/>
      <c r="L70" s="511"/>
      <c r="M70" s="63"/>
      <c r="N70" s="452" t="s">
        <v>311</v>
      </c>
      <c r="O70" s="453"/>
    </row>
    <row r="71" spans="1:25" s="50" customFormat="1" ht="15.6">
      <c r="B71" s="666"/>
      <c r="C71" s="666"/>
      <c r="D71" s="439" t="str">
        <f>IF(ROUNDDOWN(D68,0)=$N$4,$P$4,$O$4)</f>
        <v>■レベル　3</v>
      </c>
      <c r="E71" s="466" t="s">
        <v>542</v>
      </c>
      <c r="F71" s="504"/>
      <c r="G71" s="504"/>
      <c r="H71" s="504"/>
      <c r="I71" s="504"/>
      <c r="J71" s="504"/>
      <c r="K71" s="504"/>
      <c r="L71" s="511"/>
      <c r="M71" s="666"/>
      <c r="N71" s="452">
        <v>3</v>
      </c>
      <c r="O71" s="453"/>
    </row>
    <row r="72" spans="1:25" s="50" customFormat="1" ht="15.6">
      <c r="B72" s="666"/>
      <c r="C72" s="666"/>
      <c r="D72" s="439" t="str">
        <f>IF(ROUNDDOWN(D68,0)=$N$5,$P$5,$O$5)</f>
        <v>　レベル　4</v>
      </c>
      <c r="E72" s="469" t="s">
        <v>543</v>
      </c>
      <c r="F72" s="505"/>
      <c r="G72" s="505"/>
      <c r="H72" s="505"/>
      <c r="I72" s="505"/>
      <c r="J72" s="505"/>
      <c r="K72" s="505"/>
      <c r="L72" s="512"/>
      <c r="M72" s="63"/>
      <c r="N72" s="452">
        <v>4</v>
      </c>
      <c r="O72" s="453"/>
    </row>
    <row r="73" spans="1:25" s="50" customFormat="1" ht="44.1" customHeight="1">
      <c r="B73" s="666"/>
      <c r="C73" s="666"/>
      <c r="D73" s="440" t="str">
        <f>IF(ROUNDDOWN(D68,0)=$N$6,$P$6,$O$6)</f>
        <v>　レベル　5</v>
      </c>
      <c r="E73" s="1893" t="s">
        <v>743</v>
      </c>
      <c r="F73" s="1894"/>
      <c r="G73" s="1894"/>
      <c r="H73" s="1894"/>
      <c r="I73" s="1894"/>
      <c r="J73" s="1894"/>
      <c r="K73" s="1894"/>
      <c r="L73" s="1895"/>
      <c r="M73" s="666"/>
      <c r="N73" s="452">
        <v>5</v>
      </c>
      <c r="O73" s="453"/>
    </row>
    <row r="74" spans="1:25" s="50" customFormat="1" ht="15.6">
      <c r="B74" s="666"/>
      <c r="C74" s="666"/>
      <c r="D74" s="441" t="s">
        <v>340</v>
      </c>
      <c r="E74" s="1010"/>
      <c r="F74" s="497"/>
      <c r="G74" s="497"/>
      <c r="H74" s="681"/>
      <c r="I74"/>
      <c r="J74"/>
      <c r="K74"/>
      <c r="L74"/>
      <c r="M74" s="63"/>
      <c r="N74" s="452" t="s">
        <v>311</v>
      </c>
      <c r="O74" s="455"/>
    </row>
    <row r="75" spans="1:25" customFormat="1">
      <c r="F75" s="307"/>
    </row>
    <row r="76" spans="1:25" s="51" customFormat="1" ht="16.2" thickBot="1">
      <c r="B76" s="668"/>
      <c r="C76" s="668"/>
      <c r="D76" s="164" t="s">
        <v>1010</v>
      </c>
      <c r="E76" s="666"/>
      <c r="F76" s="677"/>
      <c r="G76" s="677"/>
      <c r="H76" s="677"/>
      <c r="I76" s="462"/>
      <c r="J76" s="666"/>
      <c r="K76" s="666"/>
      <c r="L76" s="678"/>
      <c r="M76" s="666"/>
      <c r="N76" s="63"/>
      <c r="O76" s="63"/>
    </row>
    <row r="77" spans="1:25" s="50" customFormat="1" ht="16.2" thickBot="1">
      <c r="B77" s="666"/>
      <c r="C77" s="666"/>
      <c r="D77" s="437">
        <v>3</v>
      </c>
      <c r="E77" s="456" t="s">
        <v>1227</v>
      </c>
      <c r="F77" s="456"/>
      <c r="G77" s="456"/>
      <c r="H77" s="456"/>
      <c r="I77" s="456"/>
      <c r="J77" s="456"/>
      <c r="K77" s="456"/>
      <c r="L77" s="457"/>
      <c r="M77" s="63"/>
      <c r="N77" s="451" t="s">
        <v>335</v>
      </c>
      <c r="O77" s="451" t="s">
        <v>336</v>
      </c>
    </row>
    <row r="78" spans="1:25" s="50" customFormat="1" ht="15.6">
      <c r="B78" s="666"/>
      <c r="C78" s="666"/>
      <c r="D78" s="438" t="str">
        <f>IF(ROUNDDOWN(D77,0)=$N$2,$P$2,$O$2)</f>
        <v>　レベル　1</v>
      </c>
      <c r="E78" s="463" t="s">
        <v>544</v>
      </c>
      <c r="F78" s="503"/>
      <c r="G78" s="503"/>
      <c r="H78" s="503"/>
      <c r="I78" s="503"/>
      <c r="J78" s="503"/>
      <c r="K78" s="503"/>
      <c r="L78" s="510"/>
      <c r="M78" s="666"/>
      <c r="N78" s="452">
        <v>1</v>
      </c>
      <c r="O78" s="453"/>
    </row>
    <row r="79" spans="1:25" s="50" customFormat="1" ht="15.6">
      <c r="B79" s="666"/>
      <c r="C79" s="666"/>
      <c r="D79" s="439" t="str">
        <f>IF(ROUNDDOWN(D77,0)=$N$3,$P$3,$O$3)</f>
        <v>　レベル　2</v>
      </c>
      <c r="E79" s="466" t="s">
        <v>413</v>
      </c>
      <c r="F79" s="504"/>
      <c r="G79" s="504"/>
      <c r="H79" s="504"/>
      <c r="I79" s="504"/>
      <c r="J79" s="504"/>
      <c r="K79" s="504"/>
      <c r="L79" s="511"/>
      <c r="M79" s="63"/>
      <c r="N79" s="452" t="s">
        <v>311</v>
      </c>
      <c r="O79" s="453"/>
    </row>
    <row r="80" spans="1:25" s="50" customFormat="1" ht="15.6">
      <c r="B80" s="666"/>
      <c r="C80" s="666"/>
      <c r="D80" s="439" t="str">
        <f>IF(ROUNDDOWN(D77,0)=$N$4,$P$4,$O$4)</f>
        <v>■レベル　3</v>
      </c>
      <c r="E80" s="466" t="s">
        <v>545</v>
      </c>
      <c r="F80" s="504"/>
      <c r="G80" s="504"/>
      <c r="H80" s="504"/>
      <c r="I80" s="504"/>
      <c r="J80" s="504"/>
      <c r="K80" s="504"/>
      <c r="L80" s="511"/>
      <c r="M80" s="666"/>
      <c r="N80" s="452">
        <v>3</v>
      </c>
      <c r="O80" s="453"/>
    </row>
    <row r="81" spans="1:15" s="50" customFormat="1" ht="15.6">
      <c r="B81" s="666"/>
      <c r="C81" s="666"/>
      <c r="D81" s="439" t="str">
        <f>IF(ROUNDDOWN(D77,0)=$N$5,$P$5,$O$5)</f>
        <v>　レベル　4</v>
      </c>
      <c r="E81" s="469" t="s">
        <v>546</v>
      </c>
      <c r="F81" s="505"/>
      <c r="G81" s="505"/>
      <c r="H81" s="505"/>
      <c r="I81" s="505"/>
      <c r="J81" s="505"/>
      <c r="K81" s="505"/>
      <c r="L81" s="512"/>
      <c r="M81" s="63"/>
      <c r="N81" s="452">
        <v>4</v>
      </c>
      <c r="O81" s="453"/>
    </row>
    <row r="82" spans="1:15" s="50" customFormat="1" ht="15.6">
      <c r="B82" s="666"/>
      <c r="C82" s="666"/>
      <c r="D82" s="440" t="str">
        <f>IF(ROUNDDOWN(D77,0)=$N$6,$P$6,$O$6)</f>
        <v>　レベル　5</v>
      </c>
      <c r="E82" s="472" t="s">
        <v>547</v>
      </c>
      <c r="F82" s="483"/>
      <c r="G82" s="483"/>
      <c r="H82" s="483"/>
      <c r="I82" s="483"/>
      <c r="J82" s="483"/>
      <c r="K82" s="483"/>
      <c r="L82" s="513"/>
      <c r="M82" s="666"/>
      <c r="N82" s="452">
        <v>5</v>
      </c>
      <c r="O82" s="453"/>
    </row>
    <row r="83" spans="1:15" s="50" customFormat="1" ht="15.6">
      <c r="B83" s="666"/>
      <c r="C83" s="666"/>
      <c r="D83" s="441" t="s">
        <v>340</v>
      </c>
      <c r="E83" s="1010"/>
      <c r="F83" s="497"/>
      <c r="G83" s="497"/>
      <c r="H83" s="681"/>
      <c r="I83"/>
      <c r="J83"/>
      <c r="K83"/>
      <c r="L83"/>
      <c r="M83" s="63"/>
      <c r="N83" s="452" t="s">
        <v>311</v>
      </c>
      <c r="O83" s="455"/>
    </row>
    <row r="84" spans="1:15" customFormat="1">
      <c r="F84" s="307"/>
    </row>
    <row r="85" spans="1:15" s="51" customFormat="1" ht="15.6">
      <c r="B85" s="668" t="s">
        <v>1011</v>
      </c>
      <c r="C85" s="668"/>
      <c r="D85" s="674"/>
      <c r="F85" s="138"/>
      <c r="H85" s="679"/>
      <c r="I85" s="97"/>
      <c r="J85" s="97"/>
      <c r="K85" s="97"/>
      <c r="L85" s="97"/>
      <c r="M85" s="97"/>
    </row>
    <row r="86" spans="1:15" s="51" customFormat="1" ht="15.6">
      <c r="C86" s="668" t="s">
        <v>1012</v>
      </c>
      <c r="D86" s="674"/>
      <c r="F86" s="138"/>
      <c r="H86" s="679"/>
      <c r="I86" s="97"/>
      <c r="J86" s="97"/>
      <c r="K86" s="97"/>
      <c r="L86" s="97"/>
      <c r="M86" s="97"/>
    </row>
    <row r="87" spans="1:15" s="50" customFormat="1" ht="16.2" thickBot="1">
      <c r="A87" s="666"/>
      <c r="B87" s="670"/>
      <c r="C87" s="670"/>
      <c r="D87" s="164" t="s">
        <v>1013</v>
      </c>
      <c r="E87" s="666"/>
      <c r="F87" s="677"/>
      <c r="G87" s="677"/>
      <c r="H87" s="677"/>
      <c r="I87" s="462"/>
      <c r="J87" s="450"/>
      <c r="K87" s="450"/>
      <c r="L87" s="752" t="s">
        <v>1331</v>
      </c>
      <c r="M87" s="666"/>
      <c r="N87" s="63"/>
      <c r="O87" s="63"/>
    </row>
    <row r="88" spans="1:15" s="50" customFormat="1" ht="16.2" thickBot="1">
      <c r="B88" s="666"/>
      <c r="C88" s="666"/>
      <c r="D88" s="437">
        <v>3</v>
      </c>
      <c r="E88" s="456" t="s">
        <v>1227</v>
      </c>
      <c r="F88" s="456"/>
      <c r="G88" s="456"/>
      <c r="H88" s="456"/>
      <c r="I88" s="456"/>
      <c r="J88" s="456"/>
      <c r="K88" s="456"/>
      <c r="L88" s="457"/>
      <c r="M88" s="63"/>
      <c r="N88" s="451" t="s">
        <v>335</v>
      </c>
      <c r="O88" s="451" t="s">
        <v>336</v>
      </c>
    </row>
    <row r="89" spans="1:15" s="50" customFormat="1" ht="15.6">
      <c r="B89" s="666"/>
      <c r="C89" s="666"/>
      <c r="D89" s="438" t="str">
        <f>IF(ROUNDDOWN(D88,0)=$N$2,$P$2,$O$2)</f>
        <v>　レベル　1</v>
      </c>
      <c r="E89" s="463" t="s">
        <v>548</v>
      </c>
      <c r="F89" s="503"/>
      <c r="G89" s="503"/>
      <c r="H89" s="503"/>
      <c r="I89" s="503"/>
      <c r="J89" s="503"/>
      <c r="K89" s="503"/>
      <c r="L89" s="510"/>
      <c r="M89" s="666"/>
      <c r="N89" s="452">
        <v>1</v>
      </c>
      <c r="O89" s="453"/>
    </row>
    <row r="90" spans="1:15" s="50" customFormat="1" ht="15.6">
      <c r="B90" s="666"/>
      <c r="C90" s="666"/>
      <c r="D90" s="439" t="str">
        <f>IF(ROUNDDOWN(D88,0)=$N$3,$P$3,$O$3)</f>
        <v>　レベル　2</v>
      </c>
      <c r="E90" s="466" t="s">
        <v>549</v>
      </c>
      <c r="F90" s="504"/>
      <c r="G90" s="504"/>
      <c r="H90" s="504"/>
      <c r="I90" s="504"/>
      <c r="J90" s="504"/>
      <c r="K90" s="504"/>
      <c r="L90" s="511"/>
      <c r="M90" s="63"/>
      <c r="N90" s="452">
        <v>2</v>
      </c>
      <c r="O90" s="453"/>
    </row>
    <row r="91" spans="1:15" s="50" customFormat="1" ht="15.6">
      <c r="B91" s="666"/>
      <c r="C91" s="666"/>
      <c r="D91" s="439" t="str">
        <f>IF(ROUNDDOWN(D88,0)=$N$4,$P$4,$O$4)</f>
        <v>■レベル　3</v>
      </c>
      <c r="E91" s="466" t="s">
        <v>550</v>
      </c>
      <c r="F91" s="504"/>
      <c r="G91" s="504"/>
      <c r="H91" s="504"/>
      <c r="I91" s="504"/>
      <c r="J91" s="504"/>
      <c r="K91" s="504"/>
      <c r="L91" s="511"/>
      <c r="M91" s="666"/>
      <c r="N91" s="452">
        <v>3</v>
      </c>
      <c r="O91" s="453"/>
    </row>
    <row r="92" spans="1:15" s="50" customFormat="1" ht="15.6">
      <c r="B92" s="666"/>
      <c r="C92" s="666"/>
      <c r="D92" s="439" t="str">
        <f>IF(ROUNDDOWN(D88,0)=$N$5,$P$5,$O$5)</f>
        <v>　レベル　4</v>
      </c>
      <c r="E92" s="469" t="s">
        <v>551</v>
      </c>
      <c r="F92" s="505"/>
      <c r="G92" s="505"/>
      <c r="H92" s="505"/>
      <c r="I92" s="505"/>
      <c r="J92" s="505"/>
      <c r="K92" s="505"/>
      <c r="L92" s="512"/>
      <c r="M92" s="63"/>
      <c r="N92" s="452">
        <v>4</v>
      </c>
      <c r="O92" s="453"/>
    </row>
    <row r="93" spans="1:15" s="50" customFormat="1" ht="15.6">
      <c r="B93" s="666"/>
      <c r="C93" s="666"/>
      <c r="D93" s="440" t="str">
        <f>IF(ROUNDDOWN(D88,0)=$N$6,$P$6,$O$6)</f>
        <v>　レベル　5</v>
      </c>
      <c r="E93" s="472" t="s">
        <v>552</v>
      </c>
      <c r="F93" s="483"/>
      <c r="G93" s="483"/>
      <c r="H93" s="483"/>
      <c r="I93" s="483"/>
      <c r="J93" s="483"/>
      <c r="K93" s="483"/>
      <c r="L93" s="513"/>
      <c r="M93" s="666"/>
      <c r="N93" s="452">
        <v>5</v>
      </c>
      <c r="O93" s="453"/>
    </row>
    <row r="94" spans="1:15" s="50" customFormat="1" ht="15.6">
      <c r="B94" s="666"/>
      <c r="C94" s="666"/>
      <c r="D94" s="441" t="s">
        <v>340</v>
      </c>
      <c r="E94" s="1010"/>
      <c r="F94" s="497"/>
      <c r="G94" s="497"/>
      <c r="H94" s="681"/>
      <c r="I94" s="751" t="s">
        <v>713</v>
      </c>
      <c r="J94"/>
      <c r="K94"/>
      <c r="L94"/>
      <c r="M94" s="63"/>
      <c r="N94" s="454">
        <v>0</v>
      </c>
      <c r="O94" s="455"/>
    </row>
    <row r="95" spans="1:15" customFormat="1">
      <c r="F95" s="307"/>
    </row>
    <row r="96" spans="1:15" s="50" customFormat="1" ht="16.2" thickBot="1">
      <c r="A96" s="666"/>
      <c r="B96" s="670"/>
      <c r="C96" s="670"/>
      <c r="D96" s="164" t="s">
        <v>1014</v>
      </c>
      <c r="E96" s="666"/>
      <c r="F96" s="677"/>
      <c r="G96" s="677"/>
      <c r="H96" s="677"/>
      <c r="I96" s="462"/>
      <c r="J96" s="450"/>
      <c r="K96" s="450"/>
      <c r="L96" s="752" t="s">
        <v>1321</v>
      </c>
      <c r="M96" s="666"/>
      <c r="N96" s="63"/>
      <c r="O96" s="63"/>
    </row>
    <row r="97" spans="2:18" s="50" customFormat="1" ht="16.2" thickBot="1">
      <c r="B97" s="666"/>
      <c r="C97" s="666"/>
      <c r="D97" s="437">
        <v>3</v>
      </c>
      <c r="E97" s="456" t="s">
        <v>1227</v>
      </c>
      <c r="F97" s="456"/>
      <c r="G97" s="456"/>
      <c r="H97" s="456"/>
      <c r="I97" s="456"/>
      <c r="J97" s="456"/>
      <c r="K97" s="456"/>
      <c r="L97" s="457"/>
      <c r="M97" s="63"/>
      <c r="N97" s="451" t="s">
        <v>335</v>
      </c>
      <c r="O97" s="451" t="s">
        <v>336</v>
      </c>
    </row>
    <row r="98" spans="2:18" s="50" customFormat="1" ht="15.6">
      <c r="B98" s="666"/>
      <c r="C98" s="666"/>
      <c r="D98" s="438" t="str">
        <f>IF(ROUNDDOWN(D97,0)=$N$2,$P$2,$O$2)</f>
        <v>　レベル　1</v>
      </c>
      <c r="E98" s="463" t="s">
        <v>548</v>
      </c>
      <c r="F98" s="503"/>
      <c r="G98" s="503"/>
      <c r="H98" s="503"/>
      <c r="I98" s="503"/>
      <c r="J98" s="503"/>
      <c r="K98" s="503"/>
      <c r="L98" s="510"/>
      <c r="M98" s="666"/>
      <c r="N98" s="452">
        <v>1</v>
      </c>
      <c r="O98" s="453"/>
    </row>
    <row r="99" spans="2:18" s="50" customFormat="1" ht="15.6">
      <c r="B99" s="666"/>
      <c r="C99" s="666"/>
      <c r="D99" s="439" t="str">
        <f>IF(ROUNDDOWN(D97,0)=$N$3,$P$3,$O$3)</f>
        <v>　レベル　2</v>
      </c>
      <c r="E99" s="466" t="s">
        <v>549</v>
      </c>
      <c r="F99" s="504"/>
      <c r="G99" s="504"/>
      <c r="H99" s="504"/>
      <c r="I99" s="504"/>
      <c r="J99" s="504"/>
      <c r="K99" s="504"/>
      <c r="L99" s="511"/>
      <c r="M99" s="63"/>
      <c r="N99" s="452">
        <v>2</v>
      </c>
      <c r="O99" s="453"/>
    </row>
    <row r="100" spans="2:18" s="50" customFormat="1" ht="15.6">
      <c r="B100" s="666"/>
      <c r="C100" s="666"/>
      <c r="D100" s="439" t="str">
        <f>IF(ROUNDDOWN(D97,0)=$N$4,$P$4,$O$4)</f>
        <v>■レベル　3</v>
      </c>
      <c r="E100" s="466" t="s">
        <v>550</v>
      </c>
      <c r="F100" s="504"/>
      <c r="G100" s="504"/>
      <c r="H100" s="504"/>
      <c r="I100" s="504"/>
      <c r="J100" s="504"/>
      <c r="K100" s="504"/>
      <c r="L100" s="511"/>
      <c r="M100" s="666"/>
      <c r="N100" s="452">
        <v>3</v>
      </c>
      <c r="O100" s="453"/>
    </row>
    <row r="101" spans="2:18" s="50" customFormat="1" ht="15.6">
      <c r="B101" s="666"/>
      <c r="C101" s="666"/>
      <c r="D101" s="439" t="str">
        <f>IF(ROUNDDOWN(D97,0)=$N$5,$P$5,$O$5)</f>
        <v>　レベル　4</v>
      </c>
      <c r="E101" s="469" t="s">
        <v>551</v>
      </c>
      <c r="F101" s="505"/>
      <c r="G101" s="505"/>
      <c r="H101" s="505"/>
      <c r="I101" s="505"/>
      <c r="J101" s="505"/>
      <c r="K101" s="505"/>
      <c r="L101" s="512"/>
      <c r="M101" s="63"/>
      <c r="N101" s="452">
        <v>4</v>
      </c>
      <c r="O101" s="453"/>
    </row>
    <row r="102" spans="2:18" s="50" customFormat="1" ht="15.6">
      <c r="B102" s="666"/>
      <c r="C102" s="666"/>
      <c r="D102" s="440" t="str">
        <f>IF(ROUNDDOWN(D97,0)=$N$6,$P$6,$O$6)</f>
        <v>　レベル　5</v>
      </c>
      <c r="E102" s="472" t="s">
        <v>552</v>
      </c>
      <c r="F102" s="483"/>
      <c r="G102" s="483"/>
      <c r="H102" s="483"/>
      <c r="I102" s="483"/>
      <c r="J102" s="483"/>
      <c r="K102" s="483"/>
      <c r="L102" s="513"/>
      <c r="M102" s="666"/>
      <c r="N102" s="452">
        <v>5</v>
      </c>
      <c r="O102" s="453"/>
    </row>
    <row r="103" spans="2:18" s="50" customFormat="1" ht="15.6">
      <c r="B103" s="666"/>
      <c r="C103" s="666"/>
      <c r="D103" s="441" t="s">
        <v>340</v>
      </c>
      <c r="E103" s="1010"/>
      <c r="F103" s="497"/>
      <c r="G103" s="497"/>
      <c r="H103" s="681"/>
      <c r="I103" s="751" t="s">
        <v>713</v>
      </c>
      <c r="J103"/>
      <c r="K103"/>
      <c r="L103"/>
      <c r="M103" s="63"/>
      <c r="N103" s="454">
        <v>0</v>
      </c>
      <c r="O103" s="455"/>
    </row>
    <row r="104" spans="2:18" customFormat="1">
      <c r="F104" s="307"/>
    </row>
    <row r="105" spans="2:18" s="51" customFormat="1" ht="16.2" thickBot="1">
      <c r="C105" s="668" t="s">
        <v>1015</v>
      </c>
      <c r="D105" s="164"/>
      <c r="E105" s="450"/>
      <c r="F105" s="498"/>
      <c r="G105" s="498"/>
      <c r="H105" s="498"/>
      <c r="I105" s="462"/>
      <c r="J105" s="450"/>
      <c r="K105" s="450"/>
      <c r="L105" s="752" t="s">
        <v>1270</v>
      </c>
      <c r="M105" s="450"/>
      <c r="N105" s="450"/>
      <c r="O105" s="63"/>
      <c r="P105" s="390"/>
      <c r="Q105" s="390"/>
      <c r="R105" s="390"/>
    </row>
    <row r="106" spans="2:18" s="50" customFormat="1" ht="16.2" thickBot="1">
      <c r="B106" s="666"/>
      <c r="C106" s="666"/>
      <c r="D106" s="1239">
        <f>IF(G113=O113,0,IF(E114&gt;=O111,N111,IF(E114&gt;=O110,N110,IF(E114&gt;=O109,N109,IF(E114&gt;=O108,N108,N107)))))</f>
        <v>4</v>
      </c>
      <c r="E106" s="456" t="s">
        <v>1227</v>
      </c>
      <c r="F106" s="456"/>
      <c r="G106" s="456"/>
      <c r="H106" s="456"/>
      <c r="I106" s="456"/>
      <c r="J106" s="456"/>
      <c r="K106" s="456"/>
      <c r="L106" s="457"/>
      <c r="M106" s="63"/>
      <c r="N106" s="451" t="s">
        <v>335</v>
      </c>
      <c r="O106" s="451" t="s">
        <v>336</v>
      </c>
    </row>
    <row r="107" spans="2:18" s="50" customFormat="1" ht="15.6">
      <c r="B107" s="666"/>
      <c r="C107" s="666"/>
      <c r="D107" s="438" t="str">
        <f>IF(ROUNDDOWN(D106,0)=$N$2,$P$2,$O$2)</f>
        <v>　レベル　1</v>
      </c>
      <c r="E107" s="463" t="s">
        <v>472</v>
      </c>
      <c r="F107" s="464"/>
      <c r="G107" s="464"/>
      <c r="H107" s="464"/>
      <c r="I107" s="464"/>
      <c r="J107" s="464"/>
      <c r="K107" s="464"/>
      <c r="L107" s="465"/>
      <c r="M107" s="666"/>
      <c r="N107" s="452">
        <v>1</v>
      </c>
      <c r="O107" s="451">
        <v>0</v>
      </c>
    </row>
    <row r="108" spans="2:18" s="50" customFormat="1" ht="15.6">
      <c r="B108" s="666"/>
      <c r="C108" s="666"/>
      <c r="D108" s="439" t="str">
        <f>IF(ROUNDDOWN(D106,0)=$N$3,$P$3,$O$3)</f>
        <v>　レベル　2</v>
      </c>
      <c r="E108" s="466" t="s">
        <v>413</v>
      </c>
      <c r="F108" s="467"/>
      <c r="G108" s="467"/>
      <c r="H108" s="467"/>
      <c r="I108" s="467"/>
      <c r="J108" s="467"/>
      <c r="K108" s="467"/>
      <c r="L108" s="468"/>
      <c r="M108" s="63"/>
      <c r="N108" s="452" t="s">
        <v>311</v>
      </c>
      <c r="O108" s="451" t="s">
        <v>311</v>
      </c>
    </row>
    <row r="109" spans="2:18" s="50" customFormat="1" ht="15.6">
      <c r="B109" s="666"/>
      <c r="C109" s="666"/>
      <c r="D109" s="439" t="str">
        <f>IF(ROUNDDOWN(D106,0)=$N$4,$P$4,$O$4)</f>
        <v>　レベル　3</v>
      </c>
      <c r="E109" s="466" t="s">
        <v>539</v>
      </c>
      <c r="F109" s="467"/>
      <c r="G109" s="467"/>
      <c r="H109" s="467"/>
      <c r="I109" s="467"/>
      <c r="J109" s="467"/>
      <c r="K109" s="467"/>
      <c r="L109" s="468"/>
      <c r="M109" s="666"/>
      <c r="N109" s="452">
        <v>3</v>
      </c>
      <c r="O109" s="451">
        <v>1</v>
      </c>
    </row>
    <row r="110" spans="2:18" s="50" customFormat="1" ht="15.6">
      <c r="B110" s="666"/>
      <c r="C110" s="666"/>
      <c r="D110" s="439" t="str">
        <f>IF(ROUNDDOWN(D106,0)=$N$5,$P$5,$O$5)</f>
        <v>■レベル　4</v>
      </c>
      <c r="E110" s="469" t="s">
        <v>493</v>
      </c>
      <c r="F110" s="470"/>
      <c r="G110" s="470"/>
      <c r="H110" s="470"/>
      <c r="I110" s="470"/>
      <c r="J110" s="470"/>
      <c r="K110" s="470"/>
      <c r="L110" s="471"/>
      <c r="M110" s="63"/>
      <c r="N110" s="452">
        <v>4</v>
      </c>
      <c r="O110" s="451">
        <v>2</v>
      </c>
    </row>
    <row r="111" spans="2:18" s="50" customFormat="1" ht="15.6">
      <c r="B111" s="666"/>
      <c r="C111" s="666"/>
      <c r="D111" s="440" t="str">
        <f>IF(ROUNDDOWN(D106,0)=$N$6,$P$6,$O$6)</f>
        <v>　レベル　5</v>
      </c>
      <c r="E111" s="472" t="s">
        <v>540</v>
      </c>
      <c r="F111" s="473"/>
      <c r="G111" s="473"/>
      <c r="H111" s="473"/>
      <c r="I111" s="473"/>
      <c r="J111" s="473"/>
      <c r="K111" s="473"/>
      <c r="L111" s="474"/>
      <c r="M111" s="666"/>
      <c r="N111" s="452">
        <v>5</v>
      </c>
      <c r="O111" s="451">
        <v>3</v>
      </c>
    </row>
    <row r="112" spans="2:18" s="50" customFormat="1" ht="15.6">
      <c r="B112" s="666"/>
      <c r="C112" s="666"/>
      <c r="D112" s="441" t="s">
        <v>340</v>
      </c>
      <c r="E112" s="1010"/>
      <c r="F112" s="497"/>
      <c r="G112" s="497"/>
      <c r="H112" s="681"/>
      <c r="I112" s="751" t="s">
        <v>713</v>
      </c>
      <c r="J112"/>
      <c r="K112"/>
      <c r="L112"/>
      <c r="M112" s="666"/>
      <c r="N112" s="454">
        <v>0</v>
      </c>
      <c r="O112" s="451"/>
    </row>
    <row r="113" spans="1:27" s="50" customFormat="1" ht="15.6">
      <c r="B113" s="666"/>
      <c r="C113" s="666"/>
      <c r="D113" s="441" t="s">
        <v>383</v>
      </c>
      <c r="F113" s="816" t="s">
        <v>971</v>
      </c>
      <c r="G113" s="817"/>
      <c r="H113" s="97"/>
      <c r="I113" s="97"/>
      <c r="J113" s="97"/>
      <c r="K113" s="97"/>
      <c r="L113" s="97"/>
      <c r="M113" s="97"/>
      <c r="N113" s="813"/>
      <c r="O113" s="813" t="s">
        <v>969</v>
      </c>
    </row>
    <row r="114" spans="1:27" s="165" customFormat="1" ht="15" thickBot="1">
      <c r="A114" s="97"/>
      <c r="B114" s="51"/>
      <c r="C114" s="51"/>
      <c r="D114" s="175" t="s">
        <v>384</v>
      </c>
      <c r="E114" s="496">
        <f>COUNTIF(E115:E118,$R$3)</f>
        <v>2</v>
      </c>
      <c r="F114" s="1859" t="s">
        <v>828</v>
      </c>
      <c r="G114" s="1864"/>
      <c r="H114" s="1867" t="s">
        <v>829</v>
      </c>
      <c r="I114" s="1863"/>
      <c r="J114" s="1863"/>
      <c r="K114" s="1863"/>
      <c r="L114" s="1864"/>
      <c r="M114" s="450"/>
      <c r="N114"/>
      <c r="O114"/>
      <c r="P114"/>
      <c r="Q114"/>
      <c r="R114"/>
      <c r="S114" s="141"/>
      <c r="T114" s="141"/>
      <c r="U114" s="141"/>
      <c r="V114" s="141"/>
      <c r="W114" s="141"/>
      <c r="X114" s="97"/>
      <c r="Y114" s="97"/>
    </row>
    <row r="115" spans="1:27" s="165" customFormat="1" ht="44.4" customHeight="1">
      <c r="A115" s="97"/>
      <c r="B115" s="51"/>
      <c r="C115" s="51"/>
      <c r="D115" s="442" t="s">
        <v>299</v>
      </c>
      <c r="E115" s="443"/>
      <c r="F115" s="1891" t="s">
        <v>878</v>
      </c>
      <c r="G115" s="1890"/>
      <c r="H115" s="1889" t="s">
        <v>879</v>
      </c>
      <c r="I115" s="1889"/>
      <c r="J115" s="1889"/>
      <c r="K115" s="1889"/>
      <c r="L115" s="1890"/>
      <c r="M115" s="97"/>
      <c r="N115"/>
      <c r="O115"/>
      <c r="P115"/>
      <c r="Q115"/>
      <c r="R115"/>
      <c r="S115" s="141"/>
      <c r="T115" s="141"/>
      <c r="U115" s="141"/>
      <c r="V115" s="141"/>
      <c r="W115" s="141"/>
      <c r="X115" s="97"/>
      <c r="Y115" s="97"/>
      <c r="Z115" s="141"/>
      <c r="AA115" s="141"/>
    </row>
    <row r="116" spans="1:27" s="165" customFormat="1" ht="31.95" customHeight="1">
      <c r="A116" s="97"/>
      <c r="B116" s="51"/>
      <c r="C116" s="51"/>
      <c r="D116" s="442" t="s">
        <v>300</v>
      </c>
      <c r="E116" s="444" t="s">
        <v>389</v>
      </c>
      <c r="F116" s="1891" t="s">
        <v>885</v>
      </c>
      <c r="G116" s="1890"/>
      <c r="H116" s="1889" t="s">
        <v>880</v>
      </c>
      <c r="I116" s="1889"/>
      <c r="J116" s="1889"/>
      <c r="K116" s="1889"/>
      <c r="L116" s="1890"/>
      <c r="M116" s="97"/>
      <c r="N116"/>
      <c r="O116"/>
      <c r="P116"/>
      <c r="Q116"/>
      <c r="R116"/>
      <c r="S116" s="141"/>
      <c r="T116" s="141"/>
      <c r="U116" s="141"/>
      <c r="V116" s="141"/>
      <c r="W116" s="141"/>
      <c r="X116" s="97"/>
      <c r="Y116" s="97"/>
      <c r="Z116" s="141"/>
      <c r="AA116" s="141"/>
    </row>
    <row r="117" spans="1:27" s="165" customFormat="1" ht="44.1" customHeight="1">
      <c r="A117" s="97"/>
      <c r="B117" s="51"/>
      <c r="C117" s="51"/>
      <c r="D117" s="442" t="s">
        <v>301</v>
      </c>
      <c r="E117" s="444" t="s">
        <v>389</v>
      </c>
      <c r="F117" s="1891" t="s">
        <v>881</v>
      </c>
      <c r="G117" s="1890"/>
      <c r="H117" s="1889" t="s">
        <v>882</v>
      </c>
      <c r="I117" s="1889"/>
      <c r="J117" s="1889"/>
      <c r="K117" s="1889"/>
      <c r="L117" s="1890"/>
      <c r="M117" s="97"/>
      <c r="N117"/>
      <c r="O117"/>
      <c r="P117"/>
      <c r="Q117"/>
      <c r="R117"/>
      <c r="S117" s="141"/>
      <c r="T117" s="141"/>
      <c r="U117" s="141"/>
      <c r="V117" s="141"/>
      <c r="W117" s="141"/>
      <c r="X117" s="97"/>
      <c r="Y117" s="97"/>
      <c r="Z117" s="141"/>
      <c r="AA117" s="141"/>
    </row>
    <row r="118" spans="1:27" s="165" customFormat="1" ht="31.95" customHeight="1" thickBot="1">
      <c r="A118" s="97"/>
      <c r="B118" s="51"/>
      <c r="C118" s="51"/>
      <c r="D118" s="442" t="s">
        <v>711</v>
      </c>
      <c r="E118" s="445"/>
      <c r="F118" s="1891" t="s">
        <v>883</v>
      </c>
      <c r="G118" s="1890"/>
      <c r="H118" s="1889" t="s">
        <v>884</v>
      </c>
      <c r="I118" s="1889"/>
      <c r="J118" s="1889"/>
      <c r="K118" s="1889"/>
      <c r="L118" s="1890"/>
      <c r="M118" s="97"/>
      <c r="N118"/>
      <c r="O118"/>
      <c r="P118"/>
      <c r="Q118"/>
      <c r="R118"/>
      <c r="S118" s="141"/>
      <c r="T118" s="141"/>
      <c r="U118" s="141"/>
      <c r="V118" s="141"/>
      <c r="W118" s="141"/>
      <c r="X118" s="97"/>
      <c r="Y118" s="97"/>
      <c r="Z118" s="141"/>
      <c r="AA118" s="141"/>
    </row>
    <row r="119" spans="1:27" customFormat="1">
      <c r="F119" s="307"/>
    </row>
    <row r="120" spans="1:27" s="51" customFormat="1" ht="15.6">
      <c r="B120" s="668" t="s">
        <v>1016</v>
      </c>
      <c r="C120" s="668"/>
      <c r="D120" s="674"/>
      <c r="F120" s="138"/>
      <c r="H120" s="679"/>
      <c r="I120" s="97"/>
      <c r="J120" s="97"/>
      <c r="K120" s="97"/>
      <c r="L120" s="97"/>
      <c r="M120" s="97"/>
    </row>
    <row r="121" spans="1:27" s="50" customFormat="1" ht="15.6">
      <c r="A121" s="666"/>
      <c r="B121" s="51"/>
      <c r="C121" s="670" t="s">
        <v>1017</v>
      </c>
      <c r="D121" s="164"/>
      <c r="E121" s="666"/>
      <c r="F121" s="677"/>
      <c r="G121" s="666"/>
      <c r="H121" s="666"/>
      <c r="I121" s="666"/>
      <c r="J121" s="666"/>
      <c r="K121" s="666"/>
      <c r="L121" s="175"/>
      <c r="M121" s="666"/>
      <c r="N121" s="97"/>
    </row>
    <row r="122" spans="1:27" s="50" customFormat="1" ht="16.2" thickBot="1">
      <c r="A122" s="666"/>
      <c r="B122" s="670"/>
      <c r="C122" s="670"/>
      <c r="D122" s="164" t="s">
        <v>1018</v>
      </c>
      <c r="E122" s="450"/>
      <c r="F122" s="498"/>
      <c r="G122" s="498"/>
      <c r="H122" s="498"/>
      <c r="I122" s="462"/>
      <c r="J122" s="450"/>
      <c r="K122" s="450"/>
      <c r="L122" s="752" t="s">
        <v>1270</v>
      </c>
      <c r="M122" s="450"/>
      <c r="N122" s="450"/>
      <c r="O122" s="63"/>
    </row>
    <row r="123" spans="1:27" s="50" customFormat="1" ht="16.2" thickBot="1">
      <c r="B123" s="666"/>
      <c r="C123" s="666"/>
      <c r="D123" s="1239">
        <f>IF(G130=O130,0,IF(E131&gt;=O128,N128,IF(E131&gt;=O127,N127,IF(E131&gt;=O126,N126,IF(E131&gt;=O125,N125,N124)))))</f>
        <v>3</v>
      </c>
      <c r="E123" s="456" t="s">
        <v>1227</v>
      </c>
      <c r="F123" s="456"/>
      <c r="G123" s="456"/>
      <c r="H123" s="456"/>
      <c r="I123" s="456"/>
      <c r="J123" s="456"/>
      <c r="K123" s="456"/>
      <c r="L123" s="457"/>
      <c r="M123" s="63"/>
      <c r="N123" s="451" t="s">
        <v>335</v>
      </c>
      <c r="O123" s="451" t="s">
        <v>336</v>
      </c>
    </row>
    <row r="124" spans="1:27" s="50" customFormat="1" ht="15.6">
      <c r="B124" s="666"/>
      <c r="C124" s="666"/>
      <c r="D124" s="438" t="str">
        <f>IF(ROUNDDOWN(D123,0)=$N$2,$P$2,$O$2)</f>
        <v>　レベル　1</v>
      </c>
      <c r="E124" s="463" t="s">
        <v>472</v>
      </c>
      <c r="F124" s="464"/>
      <c r="G124" s="464"/>
      <c r="H124" s="464"/>
      <c r="I124" s="464"/>
      <c r="J124" s="464"/>
      <c r="K124" s="464"/>
      <c r="L124" s="465"/>
      <c r="M124" s="666"/>
      <c r="N124" s="452">
        <v>1</v>
      </c>
      <c r="O124" s="451">
        <v>0</v>
      </c>
    </row>
    <row r="125" spans="1:27" s="50" customFormat="1" ht="15.6">
      <c r="B125" s="666"/>
      <c r="C125" s="666"/>
      <c r="D125" s="439" t="str">
        <f>IF(ROUNDDOWN(D123,0)=$N$3,$P$3,$O$3)</f>
        <v>　レベル　2</v>
      </c>
      <c r="E125" s="466" t="s">
        <v>539</v>
      </c>
      <c r="F125" s="467"/>
      <c r="G125" s="467"/>
      <c r="H125" s="467"/>
      <c r="I125" s="467"/>
      <c r="J125" s="467"/>
      <c r="K125" s="467"/>
      <c r="L125" s="468"/>
      <c r="M125" s="63"/>
      <c r="N125" s="452">
        <v>2</v>
      </c>
      <c r="O125" s="451">
        <v>1</v>
      </c>
    </row>
    <row r="126" spans="1:27" s="50" customFormat="1" ht="15.6">
      <c r="B126" s="666"/>
      <c r="C126" s="666"/>
      <c r="D126" s="439" t="str">
        <f>IF(ROUNDDOWN(D123,0)=$N$4,$P$4,$O$4)</f>
        <v>■レベル　3</v>
      </c>
      <c r="E126" s="466" t="s">
        <v>493</v>
      </c>
      <c r="F126" s="467"/>
      <c r="G126" s="467"/>
      <c r="H126" s="467"/>
      <c r="I126" s="467"/>
      <c r="J126" s="467"/>
      <c r="K126" s="467"/>
      <c r="L126" s="468"/>
      <c r="M126" s="666"/>
      <c r="N126" s="452">
        <v>3</v>
      </c>
      <c r="O126" s="451">
        <v>2</v>
      </c>
    </row>
    <row r="127" spans="1:27" s="50" customFormat="1" ht="15.6">
      <c r="B127" s="666"/>
      <c r="C127" s="666"/>
      <c r="D127" s="439" t="str">
        <f>IF(ROUNDDOWN(D123,0)=$N$5,$P$5,$O$5)</f>
        <v>　レベル　4</v>
      </c>
      <c r="E127" s="469" t="s">
        <v>494</v>
      </c>
      <c r="F127" s="470"/>
      <c r="G127" s="470"/>
      <c r="H127" s="470"/>
      <c r="I127" s="470"/>
      <c r="J127" s="470"/>
      <c r="K127" s="470"/>
      <c r="L127" s="471"/>
      <c r="M127" s="63"/>
      <c r="N127" s="452">
        <v>4</v>
      </c>
      <c r="O127" s="451">
        <v>3</v>
      </c>
    </row>
    <row r="128" spans="1:27" s="50" customFormat="1" ht="15.6">
      <c r="B128" s="666"/>
      <c r="C128" s="666"/>
      <c r="D128" s="440" t="str">
        <f>IF(ROUNDDOWN(D123,0)=$N$6,$P$6,$O$6)</f>
        <v>　レベル　5</v>
      </c>
      <c r="E128" s="472" t="s">
        <v>553</v>
      </c>
      <c r="F128" s="473"/>
      <c r="G128" s="473"/>
      <c r="H128" s="473"/>
      <c r="I128" s="473"/>
      <c r="J128" s="473"/>
      <c r="K128" s="473"/>
      <c r="L128" s="474"/>
      <c r="M128" s="666"/>
      <c r="N128" s="452">
        <v>5</v>
      </c>
      <c r="O128" s="451">
        <v>4</v>
      </c>
    </row>
    <row r="129" spans="1:27" s="50" customFormat="1" ht="15.6">
      <c r="B129" s="666"/>
      <c r="C129" s="666"/>
      <c r="D129" s="441" t="s">
        <v>340</v>
      </c>
      <c r="E129" s="1010"/>
      <c r="F129" s="497"/>
      <c r="G129" s="497"/>
      <c r="H129" s="681"/>
      <c r="I129" s="751" t="s">
        <v>713</v>
      </c>
      <c r="J129"/>
      <c r="K129"/>
      <c r="L129"/>
      <c r="M129" s="666"/>
      <c r="N129" s="454">
        <v>0</v>
      </c>
      <c r="O129" s="451"/>
    </row>
    <row r="130" spans="1:27" s="50" customFormat="1" ht="15.6">
      <c r="B130" s="666"/>
      <c r="C130" s="666"/>
      <c r="D130" s="441" t="s">
        <v>383</v>
      </c>
      <c r="F130" s="816" t="s">
        <v>971</v>
      </c>
      <c r="G130" s="817"/>
      <c r="H130" s="97"/>
      <c r="I130" s="97"/>
      <c r="J130" s="97"/>
      <c r="K130" s="97"/>
      <c r="L130" s="97"/>
      <c r="M130" s="97"/>
      <c r="N130" s="813"/>
      <c r="O130" s="813" t="s">
        <v>969</v>
      </c>
      <c r="P130"/>
      <c r="Q130"/>
    </row>
    <row r="131" spans="1:27" s="165" customFormat="1" ht="15" thickBot="1">
      <c r="A131" s="97"/>
      <c r="B131" s="51"/>
      <c r="C131" s="51"/>
      <c r="D131" s="175" t="s">
        <v>384</v>
      </c>
      <c r="E131" s="475">
        <f>COUNTIF(E132:E137,$R$3)</f>
        <v>2</v>
      </c>
      <c r="F131" s="1859" t="s">
        <v>828</v>
      </c>
      <c r="G131" s="1864"/>
      <c r="H131" s="1867" t="s">
        <v>829</v>
      </c>
      <c r="I131" s="1863"/>
      <c r="J131" s="1863"/>
      <c r="K131" s="1863"/>
      <c r="L131" s="1864"/>
      <c r="M131" s="450"/>
      <c r="N131"/>
      <c r="O131"/>
      <c r="P131"/>
      <c r="Q131"/>
      <c r="R131" s="141"/>
      <c r="S131" s="141"/>
      <c r="T131" s="141"/>
      <c r="U131" s="141"/>
      <c r="V131" s="141"/>
      <c r="W131" s="141"/>
      <c r="X131" s="141"/>
      <c r="Y131" s="141"/>
      <c r="Z131" s="97"/>
      <c r="AA131" s="97"/>
    </row>
    <row r="132" spans="1:27" s="165" customFormat="1" ht="41.4" customHeight="1">
      <c r="A132" s="97"/>
      <c r="B132" s="51"/>
      <c r="C132" s="51"/>
      <c r="D132" s="442" t="s">
        <v>299</v>
      </c>
      <c r="E132" s="443"/>
      <c r="F132" s="1891" t="s">
        <v>895</v>
      </c>
      <c r="G132" s="1890"/>
      <c r="H132" s="1901" t="s">
        <v>886</v>
      </c>
      <c r="I132" s="1901"/>
      <c r="J132" s="1901"/>
      <c r="K132" s="1901"/>
      <c r="L132" s="1902"/>
      <c r="M132" s="97"/>
      <c r="N132"/>
      <c r="O132"/>
      <c r="P132"/>
      <c r="Q132"/>
      <c r="R132" s="141"/>
      <c r="S132" s="141"/>
      <c r="T132" s="141"/>
      <c r="U132" s="141"/>
      <c r="V132" s="141"/>
      <c r="W132" s="141"/>
      <c r="X132" s="141"/>
      <c r="Y132" s="141"/>
      <c r="Z132" s="97"/>
      <c r="AA132" s="97"/>
    </row>
    <row r="133" spans="1:27" s="165" customFormat="1" ht="29.4" customHeight="1">
      <c r="A133" s="97"/>
      <c r="B133" s="51"/>
      <c r="C133" s="51"/>
      <c r="D133" s="442" t="s">
        <v>300</v>
      </c>
      <c r="E133" s="444"/>
      <c r="F133" s="1891" t="s">
        <v>896</v>
      </c>
      <c r="G133" s="1890"/>
      <c r="H133" s="1889" t="s">
        <v>887</v>
      </c>
      <c r="I133" s="1889"/>
      <c r="J133" s="1889"/>
      <c r="K133" s="1889"/>
      <c r="L133" s="1890"/>
      <c r="M133" s="97"/>
      <c r="N133"/>
      <c r="O133"/>
      <c r="P133"/>
      <c r="Q133"/>
      <c r="R133" s="141"/>
      <c r="S133" s="141"/>
      <c r="T133" s="141"/>
      <c r="U133" s="141"/>
      <c r="V133" s="141"/>
      <c r="W133" s="141"/>
      <c r="X133" s="141"/>
      <c r="Y133" s="141"/>
      <c r="Z133" s="97"/>
      <c r="AA133" s="97"/>
    </row>
    <row r="134" spans="1:27" s="165" customFormat="1" ht="29.4" customHeight="1">
      <c r="A134" s="97"/>
      <c r="B134" s="51"/>
      <c r="C134" s="51"/>
      <c r="D134" s="442" t="s">
        <v>301</v>
      </c>
      <c r="E134" s="444" t="s">
        <v>389</v>
      </c>
      <c r="F134" s="1891" t="s">
        <v>888</v>
      </c>
      <c r="G134" s="1890"/>
      <c r="H134" s="1889" t="s">
        <v>889</v>
      </c>
      <c r="I134" s="1889"/>
      <c r="J134" s="1889"/>
      <c r="K134" s="1889"/>
      <c r="L134" s="1890"/>
      <c r="M134" s="97"/>
      <c r="N134"/>
      <c r="O134"/>
      <c r="P134"/>
      <c r="Q134"/>
      <c r="R134" s="141"/>
      <c r="S134" s="141"/>
      <c r="T134" s="141"/>
      <c r="U134" s="141"/>
      <c r="V134" s="141"/>
      <c r="W134" s="141"/>
      <c r="X134" s="141"/>
      <c r="Y134" s="141"/>
      <c r="Z134" s="97"/>
      <c r="AA134" s="97"/>
    </row>
    <row r="135" spans="1:27" s="165" customFormat="1" ht="29.4" customHeight="1">
      <c r="A135" s="97"/>
      <c r="B135" s="51"/>
      <c r="C135" s="51"/>
      <c r="D135" s="442" t="s">
        <v>302</v>
      </c>
      <c r="E135" s="444"/>
      <c r="F135" s="1891" t="s">
        <v>897</v>
      </c>
      <c r="G135" s="1890"/>
      <c r="H135" s="1889" t="s">
        <v>890</v>
      </c>
      <c r="I135" s="1889"/>
      <c r="J135" s="1889"/>
      <c r="K135" s="1889"/>
      <c r="L135" s="1890"/>
      <c r="M135" s="97"/>
      <c r="N135"/>
      <c r="O135"/>
      <c r="P135"/>
      <c r="Q135"/>
      <c r="R135" s="141"/>
      <c r="S135" s="141"/>
      <c r="T135" s="141"/>
      <c r="U135" s="141"/>
      <c r="V135" s="141"/>
      <c r="W135" s="141"/>
      <c r="X135" s="141"/>
      <c r="Y135" s="141"/>
      <c r="Z135" s="97"/>
      <c r="AA135" s="97"/>
    </row>
    <row r="136" spans="1:27" s="165" customFormat="1" ht="29.4" customHeight="1">
      <c r="A136" s="97"/>
      <c r="B136" s="51"/>
      <c r="C136" s="51"/>
      <c r="D136" s="442" t="s">
        <v>303</v>
      </c>
      <c r="E136" s="444" t="s">
        <v>389</v>
      </c>
      <c r="F136" s="1891" t="s">
        <v>891</v>
      </c>
      <c r="G136" s="1890"/>
      <c r="H136" s="1889" t="s">
        <v>892</v>
      </c>
      <c r="I136" s="1889"/>
      <c r="J136" s="1889"/>
      <c r="K136" s="1889"/>
      <c r="L136" s="1890"/>
      <c r="M136" s="97"/>
      <c r="N136"/>
      <c r="O136"/>
      <c r="P136"/>
      <c r="Q136"/>
      <c r="R136" s="141"/>
      <c r="S136" s="141"/>
      <c r="T136" s="141"/>
      <c r="U136" s="141"/>
      <c r="V136" s="141"/>
      <c r="W136" s="141"/>
      <c r="X136" s="141"/>
      <c r="Y136" s="141"/>
      <c r="Z136" s="97"/>
      <c r="AA136" s="97"/>
    </row>
    <row r="137" spans="1:27" s="165" customFormat="1" ht="29.4" customHeight="1" thickBot="1">
      <c r="A137" s="97"/>
      <c r="B137" s="51"/>
      <c r="C137" s="51"/>
      <c r="D137" s="442" t="s">
        <v>304</v>
      </c>
      <c r="E137" s="445"/>
      <c r="F137" s="1891" t="s">
        <v>893</v>
      </c>
      <c r="G137" s="1890"/>
      <c r="H137" s="1889" t="s">
        <v>894</v>
      </c>
      <c r="I137" s="1889"/>
      <c r="J137" s="1889"/>
      <c r="K137" s="1889"/>
      <c r="L137" s="1890"/>
      <c r="M137" s="97"/>
      <c r="N137"/>
      <c r="O137"/>
      <c r="P137"/>
      <c r="Q137"/>
      <c r="R137" s="141"/>
      <c r="S137" s="141"/>
      <c r="T137" s="141"/>
      <c r="U137" s="141"/>
      <c r="V137" s="141"/>
      <c r="W137" s="141"/>
      <c r="X137" s="141"/>
      <c r="Y137" s="141"/>
      <c r="Z137" s="97"/>
      <c r="AA137" s="97"/>
    </row>
    <row r="138" spans="1:27" customFormat="1">
      <c r="F138" s="307"/>
    </row>
    <row r="139" spans="1:27" s="50" customFormat="1" ht="16.2" thickBot="1">
      <c r="A139" s="666"/>
      <c r="B139" s="670"/>
      <c r="C139" s="670"/>
      <c r="D139" s="164" t="s">
        <v>1019</v>
      </c>
      <c r="E139" s="666"/>
      <c r="F139" s="677"/>
      <c r="G139" s="677"/>
      <c r="H139" s="677"/>
      <c r="I139" s="462"/>
      <c r="J139" s="666"/>
      <c r="K139" s="666"/>
      <c r="L139" s="752" t="s">
        <v>1270</v>
      </c>
      <c r="M139" s="666"/>
      <c r="N139" s="63"/>
      <c r="O139" s="63"/>
    </row>
    <row r="140" spans="1:27" s="50" customFormat="1" ht="16.2" thickBot="1">
      <c r="B140" s="666"/>
      <c r="C140" s="666"/>
      <c r="D140" s="437">
        <v>3</v>
      </c>
      <c r="E140" s="456" t="s">
        <v>1227</v>
      </c>
      <c r="F140" s="456"/>
      <c r="G140" s="456"/>
      <c r="H140" s="456"/>
      <c r="I140" s="456"/>
      <c r="J140" s="456"/>
      <c r="K140" s="456"/>
      <c r="L140" s="457"/>
      <c r="M140" s="63"/>
      <c r="N140" s="451" t="s">
        <v>335</v>
      </c>
      <c r="O140" s="451" t="s">
        <v>336</v>
      </c>
    </row>
    <row r="141" spans="1:27" s="50" customFormat="1" ht="15.6">
      <c r="B141" s="666"/>
      <c r="C141" s="666"/>
      <c r="D141" s="438" t="str">
        <f>IF(ROUNDDOWN(D140,0)=$N$2,$P$2,$O$2)</f>
        <v>　レベル　1</v>
      </c>
      <c r="E141" s="463" t="s">
        <v>554</v>
      </c>
      <c r="F141" s="503"/>
      <c r="G141" s="503"/>
      <c r="H141" s="503"/>
      <c r="I141" s="503"/>
      <c r="J141" s="503"/>
      <c r="K141" s="503"/>
      <c r="L141" s="510"/>
      <c r="M141" s="666"/>
      <c r="N141" s="452">
        <v>1</v>
      </c>
      <c r="O141" s="453"/>
    </row>
    <row r="142" spans="1:27" s="50" customFormat="1" ht="15.6">
      <c r="B142" s="666"/>
      <c r="C142" s="666"/>
      <c r="D142" s="439" t="str">
        <f>IF(ROUNDDOWN(D140,0)=$N$3,$P$3,$O$3)</f>
        <v>　レベル　2</v>
      </c>
      <c r="E142" s="466" t="s">
        <v>413</v>
      </c>
      <c r="F142" s="504"/>
      <c r="G142" s="504"/>
      <c r="H142" s="504"/>
      <c r="I142" s="504"/>
      <c r="J142" s="504"/>
      <c r="K142" s="504"/>
      <c r="L142" s="511"/>
      <c r="M142" s="63"/>
      <c r="N142" s="452" t="s">
        <v>311</v>
      </c>
      <c r="O142" s="453"/>
    </row>
    <row r="143" spans="1:27" s="50" customFormat="1" ht="15.6">
      <c r="B143" s="666"/>
      <c r="C143" s="666"/>
      <c r="D143" s="439" t="str">
        <f>IF(ROUNDDOWN(D140,0)=$N$4,$P$4,$O$4)</f>
        <v>■レベル　3</v>
      </c>
      <c r="E143" s="466" t="s">
        <v>555</v>
      </c>
      <c r="F143" s="504"/>
      <c r="G143" s="504"/>
      <c r="H143" s="504"/>
      <c r="I143" s="504"/>
      <c r="J143" s="504"/>
      <c r="K143" s="504"/>
      <c r="L143" s="511"/>
      <c r="M143" s="666"/>
      <c r="N143" s="452">
        <v>3</v>
      </c>
      <c r="O143" s="453"/>
    </row>
    <row r="144" spans="1:27" s="50" customFormat="1" ht="15.6">
      <c r="B144" s="666"/>
      <c r="C144" s="666"/>
      <c r="D144" s="439" t="str">
        <f>IF(ROUNDDOWN(D140,0)=$N$5,$P$5,$O$5)</f>
        <v>　レベル　4</v>
      </c>
      <c r="E144" s="469" t="s">
        <v>413</v>
      </c>
      <c r="F144" s="505"/>
      <c r="G144" s="505"/>
      <c r="H144" s="505"/>
      <c r="I144" s="505"/>
      <c r="J144" s="505"/>
      <c r="K144" s="505"/>
      <c r="L144" s="512"/>
      <c r="M144" s="63"/>
      <c r="N144" s="452" t="s">
        <v>311</v>
      </c>
      <c r="O144" s="453"/>
    </row>
    <row r="145" spans="1:25" s="50" customFormat="1" ht="15.6">
      <c r="B145" s="666"/>
      <c r="C145" s="666"/>
      <c r="D145" s="440" t="str">
        <f>IF(ROUNDDOWN(D140,0)=$N$6,$P$6,$O$6)</f>
        <v>　レベル　5</v>
      </c>
      <c r="E145" s="472" t="s">
        <v>556</v>
      </c>
      <c r="F145" s="483"/>
      <c r="G145" s="483"/>
      <c r="H145" s="483"/>
      <c r="I145" s="483"/>
      <c r="J145" s="483"/>
      <c r="K145" s="483"/>
      <c r="L145" s="513"/>
      <c r="M145" s="666"/>
      <c r="N145" s="452">
        <v>5</v>
      </c>
      <c r="O145" s="453"/>
    </row>
    <row r="146" spans="1:25" s="50" customFormat="1" ht="15.6">
      <c r="B146" s="666"/>
      <c r="C146" s="666"/>
      <c r="D146" s="441" t="s">
        <v>340</v>
      </c>
      <c r="E146" s="1010"/>
      <c r="F146" s="497"/>
      <c r="G146" s="497"/>
      <c r="H146" s="681"/>
      <c r="I146"/>
      <c r="J146"/>
      <c r="K146"/>
      <c r="L146"/>
      <c r="M146" s="63"/>
      <c r="N146" s="454">
        <v>0</v>
      </c>
      <c r="O146" s="455"/>
    </row>
    <row r="147" spans="1:25" customFormat="1">
      <c r="F147" s="307"/>
    </row>
    <row r="148" spans="1:25" s="51" customFormat="1" ht="15.6">
      <c r="C148" s="668" t="s">
        <v>1020</v>
      </c>
      <c r="D148" s="674"/>
      <c r="F148" s="138"/>
      <c r="H148" s="679"/>
      <c r="I148" s="97"/>
      <c r="J148" s="97"/>
      <c r="K148" s="97"/>
      <c r="L148" s="97"/>
      <c r="M148" s="97"/>
    </row>
    <row r="149" spans="1:25" s="51" customFormat="1" ht="15.6">
      <c r="B149" s="668"/>
      <c r="C149" s="668"/>
      <c r="D149" s="164" t="s">
        <v>1021</v>
      </c>
      <c r="E149" s="666"/>
      <c r="F149" s="677"/>
      <c r="G149" s="666"/>
      <c r="H149" s="666"/>
      <c r="I149" s="462"/>
      <c r="J149" s="666"/>
      <c r="K149" s="666"/>
      <c r="L149" s="678"/>
      <c r="M149" s="666"/>
      <c r="N149" s="63"/>
      <c r="O149" s="63"/>
    </row>
    <row r="150" spans="1:25" s="51" customFormat="1" ht="16.2" thickBot="1">
      <c r="B150" s="668"/>
      <c r="C150" s="668"/>
      <c r="D150" s="1212" t="s">
        <v>1216</v>
      </c>
      <c r="E150" s="456" t="s">
        <v>1227</v>
      </c>
      <c r="F150" s="456"/>
      <c r="G150" s="456"/>
      <c r="H150" s="456"/>
      <c r="I150" s="456"/>
      <c r="J150" s="456"/>
      <c r="K150" s="456"/>
      <c r="L150" s="457"/>
      <c r="M150" s="63"/>
      <c r="N150"/>
      <c r="O150"/>
      <c r="P150"/>
      <c r="Q150"/>
    </row>
    <row r="151" spans="1:25" s="50" customFormat="1" ht="16.2" thickBot="1">
      <c r="B151" s="666"/>
      <c r="C151" s="666"/>
      <c r="D151" s="1239">
        <f>E151*G151/100+I151*K151/100</f>
        <v>3</v>
      </c>
      <c r="E151" s="1239">
        <f>IF(E159&gt;=O156,N156,IF(E159&gt;=O155,N155,IF(E159&gt;=O154,N154,IF(E159&gt;=O153,N153,N152))))</f>
        <v>5</v>
      </c>
      <c r="F151" s="458" t="s">
        <v>557</v>
      </c>
      <c r="G151" s="458">
        <f>メイン!C23</f>
        <v>0</v>
      </c>
      <c r="H151" s="458" t="s">
        <v>16</v>
      </c>
      <c r="I151" s="1239">
        <f>IF(E159&gt;=P156,N156,IF(E159&gt;=P155,N155,IF(E159&gt;=P154,N154,IF(E159&gt;=P153,N153,N152))))</f>
        <v>3</v>
      </c>
      <c r="J151" s="458" t="s">
        <v>558</v>
      </c>
      <c r="K151" s="456">
        <f>メイン!D23</f>
        <v>100</v>
      </c>
      <c r="L151" s="458" t="s">
        <v>16</v>
      </c>
      <c r="M151" s="63"/>
      <c r="N151" s="451" t="s">
        <v>335</v>
      </c>
      <c r="O151" s="340" t="s">
        <v>557</v>
      </c>
      <c r="P151" s="340" t="s">
        <v>558</v>
      </c>
      <c r="Q151"/>
    </row>
    <row r="152" spans="1:25" s="50" customFormat="1" ht="15.6">
      <c r="B152" s="666"/>
      <c r="C152" s="666"/>
      <c r="D152" s="438" t="str">
        <f>IF(ROUNDDOWN(D151,0)=$N$2,$P$2,$O$2)</f>
        <v>　レベル　1</v>
      </c>
      <c r="E152" s="438" t="str">
        <f>IF(ROUNDDOWN(E151,0)=$N$2,$P$2,$O$2)</f>
        <v>　レベル　1</v>
      </c>
      <c r="F152" s="463" t="s">
        <v>337</v>
      </c>
      <c r="G152" s="464"/>
      <c r="H152" s="464"/>
      <c r="I152" s="438" t="str">
        <f>IF(ROUNDDOWN(I151,0)=$N$2,$P$2,$O$2)</f>
        <v>　レベル　1</v>
      </c>
      <c r="J152" s="503" t="s">
        <v>1285</v>
      </c>
      <c r="K152" s="464"/>
      <c r="L152" s="465"/>
      <c r="M152" s="57"/>
      <c r="N152" s="452">
        <v>1</v>
      </c>
      <c r="O152" s="453" t="s">
        <v>311</v>
      </c>
      <c r="P152" s="453">
        <v>0</v>
      </c>
      <c r="Q152" s="6"/>
    </row>
    <row r="153" spans="1:25" s="50" customFormat="1" ht="15.6">
      <c r="B153" s="666"/>
      <c r="C153" s="666"/>
      <c r="D153" s="439" t="str">
        <f>IF(ROUNDDOWN(D151,0)=$N$3,$P$3,$O$3)</f>
        <v>　レベル　2</v>
      </c>
      <c r="E153" s="439" t="str">
        <f>IF(ROUNDDOWN(E151,0)=$N$3,$P$3,$O$3)</f>
        <v>　レベル　2</v>
      </c>
      <c r="F153" s="466" t="s">
        <v>337</v>
      </c>
      <c r="G153" s="467"/>
      <c r="H153" s="467"/>
      <c r="I153" s="439" t="str">
        <f>IF(ROUNDDOWN(I151,0)=$N$3,$P$3,$O$3)</f>
        <v>　レベル　2</v>
      </c>
      <c r="J153" s="504" t="s">
        <v>1286</v>
      </c>
      <c r="K153" s="467"/>
      <c r="L153" s="468"/>
      <c r="M153" s="63"/>
      <c r="N153" s="452">
        <v>2</v>
      </c>
      <c r="O153" s="453" t="s">
        <v>311</v>
      </c>
      <c r="P153" s="453">
        <v>1</v>
      </c>
    </row>
    <row r="154" spans="1:25" s="50" customFormat="1" ht="15.6">
      <c r="B154" s="666"/>
      <c r="C154" s="666"/>
      <c r="D154" s="439" t="str">
        <f>IF(ROUNDDOWN(D151,0)=$N$4,$P$4,$O$4)</f>
        <v>■レベル　3</v>
      </c>
      <c r="E154" s="439" t="str">
        <f>IF(ROUNDDOWN(E151,0)=$N$4,$P$4,$O$4)</f>
        <v>　レベル　3</v>
      </c>
      <c r="F154" s="466" t="s">
        <v>898</v>
      </c>
      <c r="G154" s="467"/>
      <c r="H154" s="467"/>
      <c r="I154" s="439" t="str">
        <f>IF(ROUNDDOWN(I151,0)=$N$4,$P$4,$O$4)</f>
        <v>■レベル　3</v>
      </c>
      <c r="J154" s="504" t="s">
        <v>1287</v>
      </c>
      <c r="K154" s="467"/>
      <c r="L154" s="468"/>
      <c r="M154" s="57"/>
      <c r="N154" s="452">
        <v>3</v>
      </c>
      <c r="O154" s="453">
        <v>0</v>
      </c>
      <c r="P154" s="453">
        <v>2</v>
      </c>
    </row>
    <row r="155" spans="1:25" s="50" customFormat="1" ht="15.6">
      <c r="B155" s="666"/>
      <c r="C155" s="666"/>
      <c r="D155" s="439" t="str">
        <f>IF(ROUNDDOWN(D151,0)=$N$5,$P$5,$O$5)</f>
        <v>　レベル　4</v>
      </c>
      <c r="E155" s="439" t="str">
        <f>IF(ROUNDDOWN(E151,0)=$N$5,$P$5,$O$5)</f>
        <v>　レベル　4</v>
      </c>
      <c r="F155" s="469" t="s">
        <v>899</v>
      </c>
      <c r="G155" s="470"/>
      <c r="H155" s="470"/>
      <c r="I155" s="439" t="str">
        <f>IF(ROUNDDOWN(I151,0)=$N$5,$P$5,$O$5)</f>
        <v>　レベル　4</v>
      </c>
      <c r="J155" s="505" t="s">
        <v>1288</v>
      </c>
      <c r="K155" s="470"/>
      <c r="L155" s="471"/>
      <c r="M155" s="63"/>
      <c r="N155" s="452">
        <v>4</v>
      </c>
      <c r="O155" s="453">
        <v>1</v>
      </c>
      <c r="P155" s="453">
        <v>3</v>
      </c>
    </row>
    <row r="156" spans="1:25" s="50" customFormat="1" ht="15.6">
      <c r="B156" s="666"/>
      <c r="C156" s="666"/>
      <c r="D156" s="440" t="str">
        <f>IF(ROUNDDOWN(D151,0)=$N$6,$P$6,$O$6)</f>
        <v>　レベル　5</v>
      </c>
      <c r="E156" s="440" t="str">
        <f>IF(ROUNDDOWN(E151,0)=$N$6,$P$6,$O$6)</f>
        <v>■レベル　5</v>
      </c>
      <c r="F156" s="472" t="s">
        <v>900</v>
      </c>
      <c r="G156" s="473"/>
      <c r="H156" s="473"/>
      <c r="I156" s="440" t="str">
        <f>IF(ROUNDDOWN(I151,0)=$N$6,$P$6,$O$6)</f>
        <v>　レベル　5</v>
      </c>
      <c r="J156" s="483" t="s">
        <v>1289</v>
      </c>
      <c r="K156" s="473"/>
      <c r="L156" s="474"/>
      <c r="M156" s="57"/>
      <c r="N156" s="452">
        <v>5</v>
      </c>
      <c r="O156" s="453">
        <v>2</v>
      </c>
      <c r="P156" s="453">
        <v>4</v>
      </c>
    </row>
    <row r="157" spans="1:25" s="50" customFormat="1" ht="15.6">
      <c r="B157" s="666"/>
      <c r="C157" s="666"/>
      <c r="D157" s="441" t="s">
        <v>340</v>
      </c>
      <c r="E157" s="1010"/>
      <c r="F157" s="497"/>
      <c r="G157" s="497"/>
      <c r="H157" s="681"/>
      <c r="I157"/>
      <c r="J157"/>
      <c r="K157"/>
      <c r="L157"/>
      <c r="M157" s="57"/>
      <c r="N157" s="452" t="s">
        <v>311</v>
      </c>
      <c r="O157" s="455"/>
      <c r="P157" s="455"/>
    </row>
    <row r="158" spans="1:25" s="50" customFormat="1" ht="15.6">
      <c r="B158" s="666"/>
      <c r="C158" s="666"/>
      <c r="D158" s="441" t="s">
        <v>383</v>
      </c>
      <c r="E158" s="450"/>
      <c r="F158" s="498"/>
      <c r="G158" s="450"/>
      <c r="H158" s="450"/>
      <c r="I158" s="450"/>
      <c r="J158" s="450"/>
      <c r="K158" s="450"/>
      <c r="L158" s="450"/>
      <c r="M158" s="450"/>
      <c r="Q158" s="63"/>
    </row>
    <row r="159" spans="1:25" s="165" customFormat="1" ht="15" thickBot="1">
      <c r="A159" s="97"/>
      <c r="B159" s="51"/>
      <c r="C159" s="51"/>
      <c r="D159" s="175" t="s">
        <v>384</v>
      </c>
      <c r="E159" s="475">
        <f>COUNTIF(E160:E165,$R$3)</f>
        <v>2</v>
      </c>
      <c r="F159" s="1859" t="s">
        <v>828</v>
      </c>
      <c r="G159" s="1861"/>
      <c r="H159" s="1860" t="s">
        <v>829</v>
      </c>
      <c r="I159" s="1860"/>
      <c r="J159" s="1860"/>
      <c r="K159" s="1860"/>
      <c r="L159" s="1861"/>
      <c r="M159" s="450"/>
      <c r="N159"/>
      <c r="O159"/>
      <c r="P159"/>
      <c r="Q159"/>
      <c r="R159" s="141"/>
      <c r="S159" s="141"/>
      <c r="T159" s="141"/>
      <c r="U159" s="141"/>
      <c r="V159" s="141"/>
      <c r="W159" s="141"/>
      <c r="X159" s="97"/>
      <c r="Y159" s="97"/>
    </row>
    <row r="160" spans="1:25" s="165" customFormat="1" ht="32.4" customHeight="1">
      <c r="A160" s="97"/>
      <c r="B160" s="51"/>
      <c r="C160" s="51"/>
      <c r="D160" s="442" t="s">
        <v>299</v>
      </c>
      <c r="E160" s="443" t="s">
        <v>389</v>
      </c>
      <c r="F160" s="1891" t="s">
        <v>901</v>
      </c>
      <c r="G160" s="1889"/>
      <c r="H160" s="1903" t="s">
        <v>902</v>
      </c>
      <c r="I160" s="1889"/>
      <c r="J160" s="1889"/>
      <c r="K160" s="1889"/>
      <c r="L160" s="1890"/>
      <c r="M160"/>
      <c r="N160"/>
      <c r="O160"/>
      <c r="P160"/>
      <c r="Q160"/>
      <c r="R160" s="141"/>
      <c r="S160" s="141"/>
      <c r="T160" s="141"/>
      <c r="U160" s="141"/>
      <c r="V160" s="141"/>
      <c r="W160" s="141"/>
      <c r="X160" s="97"/>
      <c r="Y160" s="97"/>
    </row>
    <row r="161" spans="1:27" s="165" customFormat="1" ht="32.4" customHeight="1">
      <c r="A161" s="97"/>
      <c r="B161" s="51"/>
      <c r="C161" s="51"/>
      <c r="D161" s="442" t="s">
        <v>300</v>
      </c>
      <c r="E161" s="444"/>
      <c r="F161" s="1891" t="s">
        <v>903</v>
      </c>
      <c r="G161" s="1889"/>
      <c r="H161" s="1903" t="s">
        <v>904</v>
      </c>
      <c r="I161" s="1889"/>
      <c r="J161" s="1889"/>
      <c r="K161" s="1889"/>
      <c r="L161" s="1890"/>
      <c r="M161"/>
      <c r="N161"/>
      <c r="O161"/>
      <c r="P161"/>
      <c r="Q161"/>
      <c r="R161" s="141"/>
      <c r="S161" s="141"/>
      <c r="T161" s="141"/>
      <c r="U161" s="141"/>
      <c r="V161" s="141"/>
      <c r="W161" s="141"/>
      <c r="X161" s="97"/>
      <c r="Y161" s="97"/>
    </row>
    <row r="162" spans="1:27" s="165" customFormat="1" ht="32.4" customHeight="1">
      <c r="A162" s="97"/>
      <c r="B162" s="51"/>
      <c r="C162" s="51"/>
      <c r="D162" s="442" t="s">
        <v>301</v>
      </c>
      <c r="E162" s="444"/>
      <c r="F162" s="1891" t="s">
        <v>905</v>
      </c>
      <c r="G162" s="1889"/>
      <c r="H162" s="1903" t="s">
        <v>906</v>
      </c>
      <c r="I162" s="1889"/>
      <c r="J162" s="1889"/>
      <c r="K162" s="1889"/>
      <c r="L162" s="1890"/>
      <c r="M162"/>
      <c r="N162"/>
      <c r="O162"/>
      <c r="P162"/>
      <c r="Q162"/>
      <c r="R162" s="141"/>
      <c r="S162" s="141"/>
      <c r="T162" s="141"/>
      <c r="U162" s="141"/>
      <c r="V162" s="141"/>
      <c r="W162" s="141"/>
      <c r="X162" s="97"/>
      <c r="Y162" s="97"/>
    </row>
    <row r="163" spans="1:27" s="165" customFormat="1" ht="32.4" customHeight="1">
      <c r="A163" s="97"/>
      <c r="B163" s="51"/>
      <c r="C163" s="51"/>
      <c r="D163" s="442" t="s">
        <v>302</v>
      </c>
      <c r="E163" s="444" t="s">
        <v>389</v>
      </c>
      <c r="F163" s="1891" t="s">
        <v>907</v>
      </c>
      <c r="G163" s="1889"/>
      <c r="H163" s="1903" t="s">
        <v>908</v>
      </c>
      <c r="I163" s="1889"/>
      <c r="J163" s="1889"/>
      <c r="K163" s="1889"/>
      <c r="L163" s="1890"/>
      <c r="M163"/>
      <c r="N163"/>
      <c r="O163"/>
      <c r="P163"/>
      <c r="Q163"/>
      <c r="R163" s="141"/>
      <c r="S163" s="141"/>
      <c r="T163" s="141"/>
      <c r="U163" s="141"/>
      <c r="V163" s="141"/>
      <c r="W163" s="141"/>
      <c r="X163" s="97"/>
      <c r="Y163" s="97"/>
    </row>
    <row r="164" spans="1:27" s="165" customFormat="1" ht="32.4" customHeight="1">
      <c r="A164" s="97"/>
      <c r="B164" s="51"/>
      <c r="C164" s="51"/>
      <c r="D164" s="442" t="s">
        <v>303</v>
      </c>
      <c r="E164" s="444"/>
      <c r="F164" s="1886" t="s">
        <v>909</v>
      </c>
      <c r="G164" s="1876"/>
      <c r="H164" s="1903" t="s">
        <v>910</v>
      </c>
      <c r="I164" s="1889"/>
      <c r="J164" s="1889"/>
      <c r="K164" s="1889"/>
      <c r="L164" s="1890"/>
      <c r="M164"/>
      <c r="N164"/>
      <c r="O164"/>
      <c r="P164"/>
      <c r="Q164"/>
      <c r="R164" s="141"/>
      <c r="S164" s="141"/>
      <c r="T164" s="141"/>
      <c r="U164" s="141"/>
      <c r="V164" s="141"/>
      <c r="W164" s="141"/>
      <c r="X164" s="97"/>
      <c r="Y164" s="97"/>
    </row>
    <row r="165" spans="1:27" s="165" customFormat="1" ht="32.4" customHeight="1" thickBot="1">
      <c r="A165" s="97"/>
      <c r="B165" s="51"/>
      <c r="C165" s="51"/>
      <c r="D165" s="442" t="s">
        <v>304</v>
      </c>
      <c r="E165" s="445"/>
      <c r="F165" s="1891" t="s">
        <v>893</v>
      </c>
      <c r="G165" s="1889"/>
      <c r="H165" s="1903" t="s">
        <v>894</v>
      </c>
      <c r="I165" s="1889"/>
      <c r="J165" s="1889"/>
      <c r="K165" s="1889"/>
      <c r="L165" s="1890"/>
      <c r="M165"/>
      <c r="N165"/>
      <c r="O165"/>
      <c r="P165"/>
      <c r="Q165"/>
      <c r="R165" s="141"/>
      <c r="S165" s="141"/>
      <c r="T165" s="141"/>
      <c r="U165" s="141"/>
      <c r="V165" s="141"/>
      <c r="W165" s="141"/>
      <c r="X165" s="97"/>
      <c r="Y165" s="97"/>
      <c r="Z165" s="141"/>
      <c r="AA165" s="141"/>
    </row>
    <row r="166" spans="1:27" customFormat="1">
      <c r="F166" s="307"/>
    </row>
    <row r="167" spans="1:27" s="50" customFormat="1" ht="16.2" thickBot="1">
      <c r="A167" s="666"/>
      <c r="B167" s="670"/>
      <c r="C167" s="670"/>
      <c r="D167" s="164" t="s">
        <v>1022</v>
      </c>
      <c r="E167" s="450"/>
      <c r="F167" s="498"/>
      <c r="G167" s="498"/>
      <c r="H167" s="498"/>
      <c r="I167" s="462"/>
      <c r="J167" s="450"/>
      <c r="K167" s="450"/>
      <c r="L167" s="450"/>
      <c r="M167" s="450"/>
      <c r="N167" s="450"/>
      <c r="O167" s="63"/>
      <c r="P167"/>
      <c r="Q167"/>
    </row>
    <row r="168" spans="1:27" s="50" customFormat="1" ht="16.2" thickBot="1">
      <c r="B168" s="666"/>
      <c r="C168" s="666"/>
      <c r="D168" s="1239">
        <f>IF(E176&gt;=O173,N173,IF(E176&gt;=O172,N172,IF(E176&gt;=O171,N171,IF(E176&gt;=O170,N170,N169))))</f>
        <v>3</v>
      </c>
      <c r="E168" s="456" t="s">
        <v>1227</v>
      </c>
      <c r="F168" s="456"/>
      <c r="G168" s="456"/>
      <c r="H168" s="456"/>
      <c r="I168" s="456"/>
      <c r="J168" s="456"/>
      <c r="K168" s="456"/>
      <c r="L168" s="457"/>
      <c r="M168" s="63"/>
      <c r="N168" s="451" t="s">
        <v>335</v>
      </c>
      <c r="O168" s="451" t="s">
        <v>336</v>
      </c>
      <c r="P168"/>
      <c r="Q168"/>
    </row>
    <row r="169" spans="1:27" s="50" customFormat="1" ht="15.6">
      <c r="B169" s="666"/>
      <c r="C169" s="666"/>
      <c r="D169" s="438" t="str">
        <f>IF(ROUNDDOWN(D168,0)=$N$2,$P$2,$O$2)</f>
        <v>　レベル　1</v>
      </c>
      <c r="E169" s="1235" t="s">
        <v>898</v>
      </c>
      <c r="F169" s="464"/>
      <c r="G169" s="464"/>
      <c r="H169" s="464"/>
      <c r="I169" s="464"/>
      <c r="J169" s="464"/>
      <c r="K169" s="464"/>
      <c r="L169" s="465"/>
      <c r="M169" s="666"/>
      <c r="N169" s="452">
        <v>1</v>
      </c>
      <c r="O169" s="451">
        <v>0</v>
      </c>
      <c r="P169"/>
      <c r="Q169"/>
    </row>
    <row r="170" spans="1:27" s="50" customFormat="1" ht="15.6">
      <c r="B170" s="666"/>
      <c r="C170" s="666"/>
      <c r="D170" s="439" t="str">
        <f>IF(ROUNDDOWN(D168,0)=$N$3,$P$3,$O$3)</f>
        <v>　レベル　2</v>
      </c>
      <c r="E170" s="1232" t="s">
        <v>519</v>
      </c>
      <c r="F170" s="467"/>
      <c r="G170" s="467"/>
      <c r="H170" s="467"/>
      <c r="I170" s="467"/>
      <c r="J170" s="467"/>
      <c r="K170" s="467"/>
      <c r="L170" s="468"/>
      <c r="M170" s="63"/>
      <c r="N170" s="452">
        <v>2</v>
      </c>
      <c r="O170" s="451">
        <v>1</v>
      </c>
      <c r="P170"/>
      <c r="Q170"/>
    </row>
    <row r="171" spans="1:27" s="50" customFormat="1" ht="15.6">
      <c r="B171" s="666"/>
      <c r="C171" s="666"/>
      <c r="D171" s="439" t="str">
        <f>IF(ROUNDDOWN(D168,0)=$N$4,$P$4,$O$4)</f>
        <v>■レベル　3</v>
      </c>
      <c r="E171" s="1232" t="s">
        <v>1322</v>
      </c>
      <c r="F171" s="467"/>
      <c r="G171" s="467"/>
      <c r="H171" s="467"/>
      <c r="I171" s="467"/>
      <c r="J171" s="467"/>
      <c r="K171" s="467"/>
      <c r="L171" s="468"/>
      <c r="M171" s="666"/>
      <c r="N171" s="452">
        <v>3</v>
      </c>
      <c r="O171" s="451">
        <v>2</v>
      </c>
      <c r="P171"/>
      <c r="Q171"/>
    </row>
    <row r="172" spans="1:27" s="50" customFormat="1" ht="15.6">
      <c r="B172" s="666"/>
      <c r="C172" s="666"/>
      <c r="D172" s="439" t="str">
        <f>IF(ROUNDDOWN(D168,0)=$N$5,$P$5,$O$5)</f>
        <v>　レベル　4</v>
      </c>
      <c r="E172" s="1232" t="s">
        <v>1323</v>
      </c>
      <c r="F172" s="470"/>
      <c r="G172" s="470"/>
      <c r="H172" s="470"/>
      <c r="I172" s="470"/>
      <c r="J172" s="470"/>
      <c r="K172" s="470"/>
      <c r="L172" s="471"/>
      <c r="M172" s="63"/>
      <c r="N172" s="452">
        <v>4</v>
      </c>
      <c r="O172" s="451">
        <v>4</v>
      </c>
      <c r="P172"/>
      <c r="Q172"/>
    </row>
    <row r="173" spans="1:27" s="50" customFormat="1" ht="15.6">
      <c r="B173" s="666"/>
      <c r="C173" s="666"/>
      <c r="D173" s="440" t="str">
        <f>IF(ROUNDDOWN(D168,0)=$N$6,$P$6,$O$6)</f>
        <v>　レベル　5</v>
      </c>
      <c r="E173" s="1234" t="s">
        <v>911</v>
      </c>
      <c r="F173" s="473"/>
      <c r="G173" s="473"/>
      <c r="H173" s="473"/>
      <c r="I173" s="473"/>
      <c r="J173" s="473"/>
      <c r="K173" s="473"/>
      <c r="L173" s="474"/>
      <c r="M173" s="666"/>
      <c r="N173" s="452">
        <v>5</v>
      </c>
      <c r="O173" s="451">
        <v>6</v>
      </c>
      <c r="P173"/>
      <c r="Q173"/>
    </row>
    <row r="174" spans="1:27" s="50" customFormat="1" ht="15.6">
      <c r="B174" s="666"/>
      <c r="C174" s="666"/>
      <c r="D174" s="441" t="s">
        <v>340</v>
      </c>
      <c r="E174" s="1010"/>
      <c r="F174" s="497"/>
      <c r="G174" s="497"/>
      <c r="H174" s="681"/>
      <c r="I174"/>
      <c r="J174"/>
      <c r="K174"/>
      <c r="L174"/>
      <c r="M174" s="666"/>
      <c r="N174" s="452" t="s">
        <v>311</v>
      </c>
      <c r="O174" s="451"/>
      <c r="P174"/>
      <c r="Q174"/>
    </row>
    <row r="175" spans="1:27" s="50" customFormat="1" ht="15.6">
      <c r="B175" s="666"/>
      <c r="C175" s="666"/>
      <c r="D175" s="441" t="s">
        <v>383</v>
      </c>
      <c r="E175" s="450"/>
      <c r="F175" s="498"/>
      <c r="G175" s="498"/>
      <c r="H175" s="498"/>
      <c r="I175" s="498"/>
      <c r="J175" s="450"/>
      <c r="K175" s="450"/>
      <c r="L175" s="450"/>
      <c r="M175" s="450"/>
      <c r="P175"/>
      <c r="Q175"/>
    </row>
    <row r="176" spans="1:27" s="165" customFormat="1" ht="15" thickBot="1">
      <c r="A176" s="97"/>
      <c r="B176" s="51"/>
      <c r="C176" s="51"/>
      <c r="D176" s="175" t="s">
        <v>384</v>
      </c>
      <c r="E176" s="475">
        <f>COUNTIF(E177:E186,$R$3)</f>
        <v>2</v>
      </c>
      <c r="F176" s="804" t="s">
        <v>828</v>
      </c>
      <c r="G176" s="1867" t="s">
        <v>829</v>
      </c>
      <c r="H176" s="1863"/>
      <c r="I176" s="1863"/>
      <c r="J176" s="1863"/>
      <c r="K176" s="1863"/>
      <c r="L176" s="1864"/>
      <c r="M176" s="450"/>
      <c r="N176"/>
      <c r="O176"/>
      <c r="P176"/>
      <c r="Q176"/>
      <c r="R176" s="141"/>
      <c r="S176" s="141"/>
      <c r="T176" s="141"/>
      <c r="U176" s="141"/>
      <c r="V176" s="141"/>
      <c r="W176" s="141"/>
      <c r="X176" s="141"/>
      <c r="Y176" s="141"/>
      <c r="Z176" s="97"/>
      <c r="AA176" s="97"/>
    </row>
    <row r="177" spans="1:27" s="165" customFormat="1" ht="18" customHeight="1">
      <c r="A177" s="97"/>
      <c r="B177" s="51"/>
      <c r="C177" s="51"/>
      <c r="D177" s="442" t="s">
        <v>299</v>
      </c>
      <c r="E177" s="443" t="s">
        <v>389</v>
      </c>
      <c r="F177" s="800" t="s">
        <v>838</v>
      </c>
      <c r="G177" s="1904" t="s">
        <v>912</v>
      </c>
      <c r="H177" s="1904"/>
      <c r="I177" s="1904"/>
      <c r="J177" s="1904"/>
      <c r="K177" s="1904"/>
      <c r="L177" s="1905"/>
      <c r="M177" s="97"/>
      <c r="N177"/>
      <c r="O177"/>
      <c r="P177"/>
      <c r="Q177"/>
      <c r="R177" s="141"/>
      <c r="S177" s="141"/>
      <c r="T177" s="141"/>
      <c r="U177" s="141"/>
      <c r="V177" s="141"/>
      <c r="W177" s="141"/>
      <c r="X177" s="141"/>
      <c r="Y177" s="141"/>
      <c r="Z177" s="97"/>
      <c r="AA177" s="97"/>
    </row>
    <row r="178" spans="1:27" s="165" customFormat="1" ht="18" customHeight="1">
      <c r="A178" s="97"/>
      <c r="B178" s="51"/>
      <c r="C178" s="51"/>
      <c r="D178" s="442" t="s">
        <v>300</v>
      </c>
      <c r="E178" s="444"/>
      <c r="F178" s="800" t="s">
        <v>840</v>
      </c>
      <c r="G178" s="1904" t="s">
        <v>913</v>
      </c>
      <c r="H178" s="1904"/>
      <c r="I178" s="1904"/>
      <c r="J178" s="1904"/>
      <c r="K178" s="1904"/>
      <c r="L178" s="1905"/>
      <c r="M178" s="97"/>
      <c r="N178"/>
      <c r="O178"/>
      <c r="P178"/>
      <c r="Q178"/>
      <c r="R178" s="141"/>
      <c r="S178" s="141"/>
      <c r="T178" s="141"/>
      <c r="U178" s="141"/>
      <c r="V178" s="141"/>
      <c r="W178" s="141"/>
      <c r="X178" s="141"/>
      <c r="Y178" s="141"/>
      <c r="Z178" s="97"/>
      <c r="AA178" s="97"/>
    </row>
    <row r="179" spans="1:27" s="165" customFormat="1" ht="18" customHeight="1">
      <c r="A179" s="97"/>
      <c r="B179" s="51"/>
      <c r="C179" s="51"/>
      <c r="D179" s="442" t="s">
        <v>301</v>
      </c>
      <c r="E179" s="444" t="s">
        <v>389</v>
      </c>
      <c r="F179" s="800" t="s">
        <v>842</v>
      </c>
      <c r="G179" s="1904" t="s">
        <v>914</v>
      </c>
      <c r="H179" s="1904"/>
      <c r="I179" s="1904"/>
      <c r="J179" s="1904"/>
      <c r="K179" s="1904"/>
      <c r="L179" s="1905"/>
      <c r="M179" s="97"/>
      <c r="N179"/>
      <c r="O179"/>
      <c r="P179"/>
      <c r="Q179"/>
      <c r="R179" s="141"/>
      <c r="S179" s="141"/>
      <c r="T179" s="141"/>
      <c r="U179" s="141"/>
      <c r="V179" s="141"/>
      <c r="W179" s="141"/>
      <c r="X179" s="141"/>
      <c r="Y179" s="141"/>
      <c r="Z179" s="97"/>
      <c r="AA179" s="97"/>
    </row>
    <row r="180" spans="1:27" s="165" customFormat="1" ht="18" customHeight="1">
      <c r="A180" s="97"/>
      <c r="B180" s="51"/>
      <c r="C180" s="51"/>
      <c r="D180" s="442" t="s">
        <v>302</v>
      </c>
      <c r="E180" s="444"/>
      <c r="F180" s="800" t="s">
        <v>844</v>
      </c>
      <c r="G180" s="1904" t="s">
        <v>915</v>
      </c>
      <c r="H180" s="1904"/>
      <c r="I180" s="1904"/>
      <c r="J180" s="1904"/>
      <c r="K180" s="1904"/>
      <c r="L180" s="1905"/>
      <c r="M180" s="97"/>
      <c r="N180"/>
      <c r="O180"/>
      <c r="P180"/>
      <c r="Q180"/>
      <c r="R180" s="141"/>
      <c r="S180" s="141"/>
      <c r="T180" s="141"/>
      <c r="U180" s="141"/>
      <c r="V180" s="141"/>
      <c r="W180" s="141"/>
      <c r="X180" s="141"/>
      <c r="Y180" s="141"/>
      <c r="Z180" s="97"/>
      <c r="AA180" s="97"/>
    </row>
    <row r="181" spans="1:27" s="165" customFormat="1" ht="18" customHeight="1">
      <c r="A181" s="97"/>
      <c r="B181" s="51"/>
      <c r="C181" s="51"/>
      <c r="D181" s="442" t="s">
        <v>303</v>
      </c>
      <c r="E181" s="444"/>
      <c r="F181" s="800" t="s">
        <v>864</v>
      </c>
      <c r="G181" s="1904" t="s">
        <v>916</v>
      </c>
      <c r="H181" s="1904"/>
      <c r="I181" s="1904"/>
      <c r="J181" s="1904"/>
      <c r="K181" s="1904"/>
      <c r="L181" s="1905"/>
      <c r="M181" s="97"/>
      <c r="N181"/>
      <c r="O181"/>
      <c r="P181"/>
      <c r="Q181"/>
      <c r="R181" s="141"/>
      <c r="S181" s="141"/>
      <c r="T181" s="141"/>
      <c r="U181" s="141"/>
      <c r="V181" s="141"/>
      <c r="W181" s="141"/>
      <c r="X181" s="141"/>
      <c r="Y181" s="141"/>
      <c r="Z181" s="97"/>
      <c r="AA181" s="97"/>
    </row>
    <row r="182" spans="1:27" s="165" customFormat="1" ht="18" customHeight="1">
      <c r="A182" s="97"/>
      <c r="B182" s="51"/>
      <c r="C182" s="51"/>
      <c r="D182" s="442" t="s">
        <v>304</v>
      </c>
      <c r="E182" s="444"/>
      <c r="F182" s="800" t="s">
        <v>866</v>
      </c>
      <c r="G182" s="1904" t="s">
        <v>917</v>
      </c>
      <c r="H182" s="1904"/>
      <c r="I182" s="1904"/>
      <c r="J182" s="1904"/>
      <c r="K182" s="1904"/>
      <c r="L182" s="1905"/>
      <c r="M182" s="97"/>
      <c r="N182"/>
      <c r="O182"/>
      <c r="P182"/>
      <c r="Q182"/>
      <c r="R182" s="141"/>
      <c r="S182" s="141"/>
      <c r="T182" s="141"/>
      <c r="U182" s="141"/>
      <c r="V182" s="141"/>
      <c r="W182" s="141"/>
      <c r="X182" s="141"/>
      <c r="Y182" s="141"/>
      <c r="Z182" s="97"/>
      <c r="AA182" s="97"/>
    </row>
    <row r="183" spans="1:27" s="165" customFormat="1" ht="18" customHeight="1">
      <c r="A183" s="97"/>
      <c r="B183" s="51"/>
      <c r="C183" s="51"/>
      <c r="D183" s="442" t="s">
        <v>305</v>
      </c>
      <c r="E183" s="444"/>
      <c r="F183" s="800" t="s">
        <v>918</v>
      </c>
      <c r="G183" s="1904" t="s">
        <v>919</v>
      </c>
      <c r="H183" s="1904"/>
      <c r="I183" s="1904"/>
      <c r="J183" s="1904"/>
      <c r="K183" s="1904"/>
      <c r="L183" s="1905"/>
      <c r="M183" s="97"/>
      <c r="N183"/>
      <c r="O183"/>
      <c r="P183"/>
      <c r="Q183"/>
      <c r="R183" s="141"/>
      <c r="S183" s="141"/>
      <c r="T183" s="141"/>
      <c r="U183" s="141"/>
      <c r="V183" s="141"/>
      <c r="W183" s="141"/>
      <c r="X183" s="141"/>
      <c r="Y183" s="141"/>
      <c r="Z183" s="97"/>
      <c r="AA183" s="97"/>
    </row>
    <row r="184" spans="1:27" s="165" customFormat="1" ht="18" customHeight="1" thickBot="1">
      <c r="A184" s="97"/>
      <c r="B184" s="51"/>
      <c r="C184" s="51"/>
      <c r="D184" s="442" t="s">
        <v>306</v>
      </c>
      <c r="E184" s="445"/>
      <c r="F184" s="800" t="s">
        <v>920</v>
      </c>
      <c r="G184" s="1904" t="s">
        <v>921</v>
      </c>
      <c r="H184" s="1904"/>
      <c r="I184" s="1904"/>
      <c r="J184" s="1904"/>
      <c r="K184" s="1904"/>
      <c r="L184" s="1905"/>
      <c r="M184" s="97"/>
      <c r="N184"/>
      <c r="O184"/>
      <c r="P184"/>
      <c r="Q184"/>
      <c r="R184" s="141"/>
      <c r="S184" s="141"/>
      <c r="T184" s="141"/>
      <c r="U184" s="141"/>
      <c r="V184" s="141"/>
      <c r="W184" s="141"/>
      <c r="X184" s="141"/>
      <c r="Y184" s="141"/>
      <c r="Z184" s="97"/>
      <c r="AA184" s="97"/>
    </row>
    <row r="185" spans="1:27" s="165" customFormat="1" ht="18" hidden="1" customHeight="1">
      <c r="A185" s="97"/>
      <c r="B185" s="51"/>
      <c r="C185" s="51"/>
      <c r="D185" s="442" t="s">
        <v>307</v>
      </c>
      <c r="E185" s="806"/>
      <c r="F185" s="476"/>
      <c r="G185" s="477"/>
      <c r="H185" s="477"/>
      <c r="I185" s="477"/>
      <c r="J185" s="477"/>
      <c r="K185" s="477"/>
      <c r="L185" s="478"/>
      <c r="M185" s="97"/>
      <c r="N185"/>
      <c r="O185"/>
      <c r="P185"/>
      <c r="Q185"/>
      <c r="R185" s="141"/>
      <c r="S185" s="141"/>
      <c r="T185" s="141"/>
      <c r="U185" s="141"/>
      <c r="V185" s="141"/>
      <c r="W185" s="141"/>
      <c r="X185" s="141"/>
      <c r="Y185" s="141"/>
      <c r="Z185" s="97"/>
      <c r="AA185" s="97"/>
    </row>
    <row r="186" spans="1:27" s="165" customFormat="1" ht="18" hidden="1" customHeight="1" thickBot="1">
      <c r="A186" s="97"/>
      <c r="B186" s="51"/>
      <c r="C186" s="51"/>
      <c r="D186" s="442" t="s">
        <v>308</v>
      </c>
      <c r="E186" s="445"/>
      <c r="F186" s="476"/>
      <c r="G186" s="477"/>
      <c r="H186" s="477"/>
      <c r="I186" s="477"/>
      <c r="J186" s="477"/>
      <c r="K186" s="477"/>
      <c r="L186" s="478"/>
      <c r="M186" s="97"/>
      <c r="N186"/>
      <c r="O186"/>
      <c r="P186"/>
      <c r="Q186"/>
      <c r="R186" s="141"/>
      <c r="S186" s="141"/>
      <c r="T186" s="141"/>
      <c r="U186" s="141"/>
      <c r="V186" s="141"/>
      <c r="W186" s="141"/>
      <c r="X186" s="141"/>
      <c r="Y186" s="141"/>
      <c r="Z186" s="97"/>
      <c r="AA186" s="97"/>
    </row>
    <row r="187" spans="1:27" customFormat="1">
      <c r="F187" s="307"/>
    </row>
    <row r="188" spans="1:27" s="51" customFormat="1" ht="16.2" thickBot="1">
      <c r="C188" s="668" t="s">
        <v>1023</v>
      </c>
      <c r="D188" s="164"/>
      <c r="E188" s="666"/>
      <c r="F188" s="677"/>
      <c r="G188" s="677"/>
      <c r="H188" s="677"/>
      <c r="I188" s="462"/>
      <c r="J188" s="666"/>
      <c r="K188" s="666"/>
      <c r="L188" s="678"/>
      <c r="M188" s="666"/>
      <c r="N188" s="63"/>
      <c r="O188" s="63"/>
    </row>
    <row r="189" spans="1:27" s="50" customFormat="1" ht="16.2" thickBot="1">
      <c r="B189" s="666"/>
      <c r="C189" s="666"/>
      <c r="D189" s="437">
        <v>3</v>
      </c>
      <c r="E189" s="456" t="s">
        <v>1227</v>
      </c>
      <c r="F189" s="456"/>
      <c r="G189" s="456"/>
      <c r="H189" s="456"/>
      <c r="I189" s="456"/>
      <c r="J189" s="456"/>
      <c r="K189" s="456"/>
      <c r="L189" s="457"/>
      <c r="M189" s="63"/>
      <c r="N189" s="451" t="s">
        <v>335</v>
      </c>
      <c r="O189" s="451" t="s">
        <v>336</v>
      </c>
    </row>
    <row r="190" spans="1:27" s="50" customFormat="1" ht="15.6">
      <c r="B190" s="666"/>
      <c r="C190" s="666"/>
      <c r="D190" s="438" t="str">
        <f>IF(ROUNDDOWN(D189,0)=$N$2,$P$2,$O$2)</f>
        <v>　レベル　1</v>
      </c>
      <c r="E190" s="463" t="s">
        <v>559</v>
      </c>
      <c r="F190" s="503"/>
      <c r="G190" s="503"/>
      <c r="H190" s="503"/>
      <c r="I190" s="503"/>
      <c r="J190" s="503"/>
      <c r="K190" s="503"/>
      <c r="L190" s="510"/>
      <c r="M190" s="666"/>
      <c r="N190" s="452">
        <v>1</v>
      </c>
      <c r="O190" s="453"/>
    </row>
    <row r="191" spans="1:27" s="50" customFormat="1" ht="15.6">
      <c r="B191" s="666"/>
      <c r="C191" s="666"/>
      <c r="D191" s="439" t="str">
        <f>IF(ROUNDDOWN(D189,0)=$N$3,$P$3,$O$3)</f>
        <v>　レベル　2</v>
      </c>
      <c r="E191" s="466" t="s">
        <v>413</v>
      </c>
      <c r="F191" s="504"/>
      <c r="G191" s="504"/>
      <c r="H191" s="504"/>
      <c r="I191" s="504"/>
      <c r="J191" s="504"/>
      <c r="K191" s="504"/>
      <c r="L191" s="511"/>
      <c r="M191" s="63"/>
      <c r="N191" s="452" t="s">
        <v>311</v>
      </c>
      <c r="O191" s="453"/>
    </row>
    <row r="192" spans="1:27" s="50" customFormat="1" ht="15.6">
      <c r="B192" s="666"/>
      <c r="C192" s="666"/>
      <c r="D192" s="439" t="str">
        <f>IF(ROUNDDOWN(D189,0)=$N$4,$P$4,$O$4)</f>
        <v>■レベル　3</v>
      </c>
      <c r="E192" s="466" t="s">
        <v>560</v>
      </c>
      <c r="F192" s="504"/>
      <c r="G192" s="504"/>
      <c r="H192" s="504"/>
      <c r="I192" s="504"/>
      <c r="J192" s="504"/>
      <c r="K192" s="504"/>
      <c r="L192" s="511"/>
      <c r="M192" s="666"/>
      <c r="N192" s="452">
        <v>3</v>
      </c>
      <c r="O192" s="453"/>
    </row>
    <row r="193" spans="1:25" s="50" customFormat="1" ht="28.2" customHeight="1">
      <c r="B193" s="666"/>
      <c r="C193" s="666"/>
      <c r="D193" s="439" t="str">
        <f>IF(ROUNDDOWN(D189,0)=$N$5,$P$5,$O$5)</f>
        <v>　レベル　4</v>
      </c>
      <c r="E193" s="1883" t="s">
        <v>561</v>
      </c>
      <c r="F193" s="1908"/>
      <c r="G193" s="1908"/>
      <c r="H193" s="1908"/>
      <c r="I193" s="1908"/>
      <c r="J193" s="1908"/>
      <c r="K193" s="1908"/>
      <c r="L193" s="1909"/>
      <c r="M193" s="63"/>
      <c r="N193" s="452">
        <v>4</v>
      </c>
      <c r="O193" s="453"/>
    </row>
    <row r="194" spans="1:25" s="50" customFormat="1" ht="28.2" customHeight="1">
      <c r="B194" s="666"/>
      <c r="C194" s="666"/>
      <c r="D194" s="440" t="str">
        <f>IF(ROUNDDOWN(D189,0)=$N$6,$P$6,$O$6)</f>
        <v>　レベル　5</v>
      </c>
      <c r="E194" s="1844" t="s">
        <v>562</v>
      </c>
      <c r="F194" s="1845"/>
      <c r="G194" s="1845"/>
      <c r="H194" s="1845"/>
      <c r="I194" s="1845"/>
      <c r="J194" s="1845"/>
      <c r="K194" s="1845"/>
      <c r="L194" s="1846"/>
      <c r="M194" s="666"/>
      <c r="N194" s="452">
        <v>5</v>
      </c>
      <c r="O194" s="453"/>
    </row>
    <row r="195" spans="1:25" s="50" customFormat="1" ht="15.6">
      <c r="B195" s="666"/>
      <c r="C195" s="666"/>
      <c r="D195" s="441" t="s">
        <v>340</v>
      </c>
      <c r="E195" s="1010"/>
      <c r="F195" s="497"/>
      <c r="G195" s="497"/>
      <c r="H195" s="681"/>
      <c r="I195"/>
      <c r="J195"/>
      <c r="K195"/>
      <c r="L195"/>
      <c r="M195" s="63"/>
      <c r="N195" s="452" t="s">
        <v>311</v>
      </c>
      <c r="O195" s="455"/>
    </row>
    <row r="196" spans="1:25" customFormat="1">
      <c r="F196" s="307"/>
    </row>
    <row r="197" spans="1:25" s="50" customFormat="1" ht="15.6">
      <c r="B197" s="668" t="s">
        <v>1024</v>
      </c>
      <c r="C197" s="668"/>
      <c r="E197" s="51"/>
      <c r="F197" s="138"/>
      <c r="G197" s="51"/>
      <c r="H197" s="684"/>
      <c r="I197" s="684"/>
      <c r="M197" s="97"/>
    </row>
    <row r="198" spans="1:25" s="50" customFormat="1" ht="16.2" thickBot="1">
      <c r="B198" s="668"/>
      <c r="C198" s="668"/>
      <c r="D198" s="1212" t="s">
        <v>1216</v>
      </c>
      <c r="E198" s="456" t="s">
        <v>1227</v>
      </c>
      <c r="F198" s="456"/>
      <c r="G198" s="456"/>
      <c r="H198" s="456"/>
      <c r="I198" s="456"/>
      <c r="J198" s="456"/>
      <c r="K198" s="456"/>
      <c r="L198" s="457"/>
      <c r="M198" s="97"/>
    </row>
    <row r="199" spans="1:25" s="50" customFormat="1" ht="16.2" thickBot="1">
      <c r="B199" s="666"/>
      <c r="C199" s="666"/>
      <c r="D199" s="1239">
        <f>E199*G199/100+I199*K199/100</f>
        <v>3</v>
      </c>
      <c r="E199" s="1239">
        <f>IF(E207&gt;=O204,N204,IF(E207&gt;=O203,N203,IF(E207&gt;=O202,N202,IF(E207&gt;=O201,N201,N200))))</f>
        <v>4</v>
      </c>
      <c r="F199" s="458" t="s">
        <v>557</v>
      </c>
      <c r="G199" s="458">
        <f>メイン!C23</f>
        <v>0</v>
      </c>
      <c r="H199" s="501" t="s">
        <v>209</v>
      </c>
      <c r="I199" s="1239">
        <f>IF(E207&gt;=P204,N204,IF(E207&gt;=P203,N203,IF(E207&gt;=P202,N202,IF(E207&gt;=P201,N201,N200))))</f>
        <v>3</v>
      </c>
      <c r="J199" s="458" t="s">
        <v>558</v>
      </c>
      <c r="K199" s="456">
        <f>メイン!D23</f>
        <v>100</v>
      </c>
      <c r="L199" s="755" t="s">
        <v>209</v>
      </c>
      <c r="M199" s="97"/>
      <c r="N199" s="451" t="s">
        <v>335</v>
      </c>
      <c r="O199" s="340" t="s">
        <v>557</v>
      </c>
      <c r="P199" s="340" t="s">
        <v>558</v>
      </c>
      <c r="Q199"/>
    </row>
    <row r="200" spans="1:25" s="50" customFormat="1" ht="15.6">
      <c r="B200" s="666"/>
      <c r="C200" s="666"/>
      <c r="D200" s="438" t="str">
        <f>IF(ROUNDDOWN(D199,0)=$N$2,$P$2,$O$2)</f>
        <v>　レベル　1</v>
      </c>
      <c r="E200" s="438" t="str">
        <f>IF(ROUNDDOWN(E199,0)=$N$2,$P$2,$O$2)</f>
        <v>　レベル　1</v>
      </c>
      <c r="F200" s="463" t="s">
        <v>413</v>
      </c>
      <c r="G200" s="464"/>
      <c r="H200" s="464"/>
      <c r="I200" s="438" t="str">
        <f>IF(ROUNDDOWN(I199,0)=$N$2,$P$2,$O$2)</f>
        <v>　レベル　1</v>
      </c>
      <c r="J200" s="463" t="s">
        <v>472</v>
      </c>
      <c r="K200" s="464"/>
      <c r="L200" s="465"/>
      <c r="M200" s="57"/>
      <c r="N200" s="452">
        <v>1</v>
      </c>
      <c r="O200" s="453" t="s">
        <v>311</v>
      </c>
      <c r="P200" s="453">
        <v>0</v>
      </c>
      <c r="Q200" s="6"/>
    </row>
    <row r="201" spans="1:25" s="50" customFormat="1" ht="15.6">
      <c r="B201" s="666"/>
      <c r="C201" s="666"/>
      <c r="D201" s="439" t="str">
        <f>IF(ROUNDDOWN(D199,0)=$N$3,$P$3,$O$3)</f>
        <v>　レベル　2</v>
      </c>
      <c r="E201" s="439" t="str">
        <f>IF(ROUNDDOWN(E199,0)=$N$3,$P$3,$O$3)</f>
        <v>　レベル　2</v>
      </c>
      <c r="F201" s="466" t="s">
        <v>413</v>
      </c>
      <c r="G201" s="467"/>
      <c r="H201" s="467"/>
      <c r="I201" s="439" t="str">
        <f>IF(ROUNDDOWN(I199,0)=$N$3,$P$3,$O$3)</f>
        <v>　レベル　2</v>
      </c>
      <c r="J201" s="466" t="s">
        <v>413</v>
      </c>
      <c r="K201" s="467"/>
      <c r="L201" s="468"/>
      <c r="M201" s="97"/>
      <c r="N201" s="452" t="s">
        <v>311</v>
      </c>
      <c r="O201" s="453" t="s">
        <v>311</v>
      </c>
      <c r="P201" s="453" t="s">
        <v>311</v>
      </c>
    </row>
    <row r="202" spans="1:25" s="50" customFormat="1" ht="15.6">
      <c r="B202" s="666"/>
      <c r="C202" s="666"/>
      <c r="D202" s="439" t="str">
        <f>IF(ROUNDDOWN(D199,0)=$N$4,$P$4,$O$4)</f>
        <v>■レベル　3</v>
      </c>
      <c r="E202" s="439" t="str">
        <f>IF(ROUNDDOWN(E199,0)=$N$4,$P$4,$O$4)</f>
        <v>　レベル　3</v>
      </c>
      <c r="F202" s="466" t="s">
        <v>472</v>
      </c>
      <c r="G202" s="467"/>
      <c r="H202" s="467"/>
      <c r="I202" s="439" t="str">
        <f>IF(ROUNDDOWN(I199,0)=$N$4,$P$4,$O$4)</f>
        <v>■レベル　3</v>
      </c>
      <c r="J202" s="466" t="s">
        <v>539</v>
      </c>
      <c r="K202" s="467"/>
      <c r="L202" s="468"/>
      <c r="M202" s="57"/>
      <c r="N202" s="452">
        <v>3</v>
      </c>
      <c r="O202" s="453">
        <v>0</v>
      </c>
      <c r="P202" s="453">
        <v>1</v>
      </c>
    </row>
    <row r="203" spans="1:25" s="50" customFormat="1" ht="15.6">
      <c r="B203" s="666"/>
      <c r="C203" s="666"/>
      <c r="D203" s="439" t="str">
        <f>IF(ROUNDDOWN(D199,0)=$N$5,$P$5,$O$5)</f>
        <v>　レベル　4</v>
      </c>
      <c r="E203" s="439" t="str">
        <f>IF(ROUNDDOWN(E199,0)=$N$5,$P$5,$O$5)</f>
        <v>■レベル　4</v>
      </c>
      <c r="F203" s="469" t="s">
        <v>539</v>
      </c>
      <c r="G203" s="470"/>
      <c r="H203" s="470"/>
      <c r="I203" s="439" t="str">
        <f>IF(ROUNDDOWN(I199,0)=$N$5,$P$5,$O$5)</f>
        <v>　レベル　4</v>
      </c>
      <c r="J203" s="469" t="s">
        <v>493</v>
      </c>
      <c r="K203" s="470"/>
      <c r="L203" s="471"/>
      <c r="M203" s="97"/>
      <c r="N203" s="452">
        <v>4</v>
      </c>
      <c r="O203" s="453">
        <v>1</v>
      </c>
      <c r="P203" s="453">
        <v>2</v>
      </c>
    </row>
    <row r="204" spans="1:25" s="50" customFormat="1" ht="15.6">
      <c r="B204" s="666"/>
      <c r="C204" s="666"/>
      <c r="D204" s="440" t="str">
        <f>IF(ROUNDDOWN(D199,0)=$N$6,$P$6,$O$6)</f>
        <v>　レベル　5</v>
      </c>
      <c r="E204" s="440" t="str">
        <f>IF(ROUNDDOWN(E199,0)=$N$6,$P$6,$O$6)</f>
        <v>　レベル　5</v>
      </c>
      <c r="F204" s="472" t="s">
        <v>563</v>
      </c>
      <c r="G204" s="473"/>
      <c r="H204" s="473"/>
      <c r="I204" s="440" t="str">
        <f>IF(ROUNDDOWN(I199,0)=$N$6,$P$6,$O$6)</f>
        <v>　レベル　5</v>
      </c>
      <c r="J204" s="472" t="s">
        <v>540</v>
      </c>
      <c r="K204" s="473"/>
      <c r="L204" s="474"/>
      <c r="M204" s="57"/>
      <c r="N204" s="452">
        <v>5</v>
      </c>
      <c r="O204" s="453">
        <v>2</v>
      </c>
      <c r="P204" s="453">
        <v>3</v>
      </c>
    </row>
    <row r="205" spans="1:25" s="50" customFormat="1" ht="15.6">
      <c r="B205" s="666"/>
      <c r="C205" s="666"/>
      <c r="D205" s="441" t="s">
        <v>340</v>
      </c>
      <c r="E205" s="1010"/>
      <c r="F205" s="497"/>
      <c r="G205" s="497"/>
      <c r="H205" s="681"/>
      <c r="I205"/>
      <c r="J205"/>
      <c r="K205"/>
      <c r="L205"/>
      <c r="M205" s="57"/>
      <c r="N205" s="452" t="s">
        <v>311</v>
      </c>
      <c r="O205" s="455"/>
      <c r="P205" s="455"/>
    </row>
    <row r="206" spans="1:25" s="50" customFormat="1" ht="15.6">
      <c r="B206" s="666"/>
      <c r="C206" s="666"/>
      <c r="D206" s="441" t="s">
        <v>383</v>
      </c>
      <c r="E206" s="450"/>
      <c r="F206" s="498"/>
      <c r="G206" s="450"/>
      <c r="H206" s="450"/>
      <c r="I206" s="450"/>
      <c r="J206" s="450"/>
      <c r="K206" s="450"/>
      <c r="L206" s="450"/>
      <c r="M206" s="450"/>
      <c r="Q206" s="63"/>
      <c r="R206"/>
    </row>
    <row r="207" spans="1:25" s="165" customFormat="1" ht="15" thickBot="1">
      <c r="A207" s="97"/>
      <c r="B207" s="51"/>
      <c r="C207" s="51"/>
      <c r="D207" s="175" t="s">
        <v>384</v>
      </c>
      <c r="E207" s="475">
        <f>COUNTIF(E208:E212,$R$3)</f>
        <v>1</v>
      </c>
      <c r="F207" s="804" t="s">
        <v>828</v>
      </c>
      <c r="G207" s="1867" t="s">
        <v>829</v>
      </c>
      <c r="H207" s="1863"/>
      <c r="I207" s="1863"/>
      <c r="J207" s="1863"/>
      <c r="K207" s="1863"/>
      <c r="L207" s="1864"/>
      <c r="M207" s="450"/>
      <c r="N207"/>
      <c r="O207"/>
      <c r="P207"/>
      <c r="Q207"/>
      <c r="R207"/>
      <c r="S207" s="141"/>
      <c r="T207" s="141"/>
      <c r="U207" s="141"/>
      <c r="V207" s="141"/>
      <c r="W207" s="141"/>
      <c r="X207" s="97"/>
      <c r="Y207" s="97"/>
    </row>
    <row r="208" spans="1:25" s="165" customFormat="1" ht="58.95" customHeight="1">
      <c r="A208" s="97"/>
      <c r="B208" s="51"/>
      <c r="C208" s="51"/>
      <c r="D208" s="442" t="s">
        <v>299</v>
      </c>
      <c r="E208" s="443" t="s">
        <v>389</v>
      </c>
      <c r="F208" s="801" t="s">
        <v>838</v>
      </c>
      <c r="G208" s="1906" t="s">
        <v>922</v>
      </c>
      <c r="H208" s="1906"/>
      <c r="I208" s="1906"/>
      <c r="J208" s="1906"/>
      <c r="K208" s="1906"/>
      <c r="L208" s="1907"/>
      <c r="M208" s="97"/>
      <c r="N208"/>
      <c r="O208"/>
      <c r="P208"/>
      <c r="Q208"/>
      <c r="R208"/>
      <c r="S208" s="141"/>
      <c r="T208" s="141"/>
      <c r="U208" s="141"/>
      <c r="V208" s="141"/>
      <c r="W208" s="141"/>
      <c r="X208" s="97"/>
      <c r="Y208" s="97"/>
    </row>
    <row r="209" spans="1:25" s="165" customFormat="1" ht="33" customHeight="1">
      <c r="A209" s="97"/>
      <c r="B209" s="51"/>
      <c r="C209" s="51"/>
      <c r="D209" s="442" t="s">
        <v>300</v>
      </c>
      <c r="E209" s="444"/>
      <c r="F209" s="800" t="s">
        <v>923</v>
      </c>
      <c r="G209" s="1906" t="s">
        <v>924</v>
      </c>
      <c r="H209" s="1906"/>
      <c r="I209" s="1906"/>
      <c r="J209" s="1906"/>
      <c r="K209" s="1906"/>
      <c r="L209" s="1907"/>
      <c r="M209" s="97"/>
      <c r="N209"/>
      <c r="O209"/>
      <c r="P209"/>
      <c r="Q209"/>
      <c r="R209"/>
      <c r="S209" s="141"/>
      <c r="T209" s="141"/>
      <c r="U209" s="141"/>
      <c r="V209" s="141"/>
      <c r="W209" s="141"/>
      <c r="X209" s="97"/>
      <c r="Y209" s="97"/>
    </row>
    <row r="210" spans="1:25" s="165" customFormat="1" ht="50.4" customHeight="1">
      <c r="A210" s="97"/>
      <c r="B210" s="51"/>
      <c r="C210" s="51"/>
      <c r="D210" s="442" t="s">
        <v>301</v>
      </c>
      <c r="E210" s="444"/>
      <c r="F210" s="801" t="s">
        <v>842</v>
      </c>
      <c r="G210" s="1906" t="s">
        <v>925</v>
      </c>
      <c r="H210" s="1906"/>
      <c r="I210" s="1906"/>
      <c r="J210" s="1906"/>
      <c r="K210" s="1906"/>
      <c r="L210" s="1907"/>
      <c r="M210" s="97"/>
      <c r="N210"/>
      <c r="O210"/>
      <c r="P210"/>
      <c r="Q210"/>
      <c r="R210"/>
      <c r="S210" s="141"/>
      <c r="T210" s="141"/>
      <c r="U210" s="141"/>
      <c r="V210" s="141"/>
      <c r="W210" s="141"/>
      <c r="X210" s="97"/>
      <c r="Y210" s="97"/>
    </row>
    <row r="211" spans="1:25" s="165" customFormat="1" ht="24" customHeight="1" thickBot="1">
      <c r="A211" s="97"/>
      <c r="B211" s="51"/>
      <c r="C211" s="51"/>
      <c r="D211" s="442" t="s">
        <v>302</v>
      </c>
      <c r="E211" s="445"/>
      <c r="F211" s="800" t="s">
        <v>844</v>
      </c>
      <c r="G211" s="1906" t="s">
        <v>926</v>
      </c>
      <c r="H211" s="1906"/>
      <c r="I211" s="1906"/>
      <c r="J211" s="1906"/>
      <c r="K211" s="1906"/>
      <c r="L211" s="1907"/>
      <c r="M211" s="97"/>
      <c r="N211"/>
      <c r="O211"/>
      <c r="P211"/>
      <c r="Q211"/>
      <c r="R211"/>
      <c r="S211" s="141"/>
      <c r="T211" s="141"/>
      <c r="U211" s="141"/>
      <c r="V211" s="141"/>
      <c r="W211" s="141"/>
      <c r="X211" s="97"/>
      <c r="Y211" s="97"/>
    </row>
    <row r="212" spans="1:25" customFormat="1"/>
    <row r="213" spans="1:25" customFormat="1"/>
    <row r="214" spans="1:25" customFormat="1"/>
    <row r="215" spans="1:25" customFormat="1"/>
    <row r="216" spans="1:25" customFormat="1"/>
  </sheetData>
  <sheetProtection algorithmName="SHA-512" hashValue="pw6dmfSFC4EKny254Aq/JvfOAgOw4kcY84mC05EQIr7noHRaOKrkkpdHFnGEdae9eESqEZvl2CMTtq2ylwXJsw==" saltValue="8q+sv/NzKwCpmWWiD0Hqcw==" spinCount="100000" sheet="1" objects="1" formatCells="0"/>
  <mergeCells count="72">
    <mergeCell ref="G181:L181"/>
    <mergeCell ref="G209:L209"/>
    <mergeCell ref="G210:L210"/>
    <mergeCell ref="G211:L211"/>
    <mergeCell ref="G182:L182"/>
    <mergeCell ref="G183:L183"/>
    <mergeCell ref="G184:L184"/>
    <mergeCell ref="G207:L207"/>
    <mergeCell ref="G208:L208"/>
    <mergeCell ref="E194:L194"/>
    <mergeCell ref="E193:L193"/>
    <mergeCell ref="G176:L176"/>
    <mergeCell ref="G177:L177"/>
    <mergeCell ref="G178:L178"/>
    <mergeCell ref="G179:L179"/>
    <mergeCell ref="G180:L180"/>
    <mergeCell ref="F163:G163"/>
    <mergeCell ref="H163:L163"/>
    <mergeCell ref="F164:G164"/>
    <mergeCell ref="H164:L164"/>
    <mergeCell ref="F165:G165"/>
    <mergeCell ref="H165:L165"/>
    <mergeCell ref="F160:G160"/>
    <mergeCell ref="H160:L160"/>
    <mergeCell ref="F161:G161"/>
    <mergeCell ref="H161:L161"/>
    <mergeCell ref="F162:G162"/>
    <mergeCell ref="H162:L162"/>
    <mergeCell ref="F136:G136"/>
    <mergeCell ref="H136:L136"/>
    <mergeCell ref="F137:G137"/>
    <mergeCell ref="H137:L137"/>
    <mergeCell ref="F159:G159"/>
    <mergeCell ref="H159:L159"/>
    <mergeCell ref="F132:G132"/>
    <mergeCell ref="H132:L132"/>
    <mergeCell ref="F134:G134"/>
    <mergeCell ref="H134:L134"/>
    <mergeCell ref="F135:G135"/>
    <mergeCell ref="H135:L135"/>
    <mergeCell ref="H117:L117"/>
    <mergeCell ref="F118:G118"/>
    <mergeCell ref="H118:L118"/>
    <mergeCell ref="F131:G131"/>
    <mergeCell ref="H131:L131"/>
    <mergeCell ref="E25:L25"/>
    <mergeCell ref="E27:L27"/>
    <mergeCell ref="E29:L29"/>
    <mergeCell ref="E36:L36"/>
    <mergeCell ref="E38:L38"/>
    <mergeCell ref="F60:G60"/>
    <mergeCell ref="H60:L60"/>
    <mergeCell ref="F61:G61"/>
    <mergeCell ref="H61:L61"/>
    <mergeCell ref="F62:G62"/>
    <mergeCell ref="H62:L62"/>
    <mergeCell ref="F63:G63"/>
    <mergeCell ref="H63:L63"/>
    <mergeCell ref="F133:G133"/>
    <mergeCell ref="H133:L133"/>
    <mergeCell ref="E73:L73"/>
    <mergeCell ref="F64:G64"/>
    <mergeCell ref="H64:L64"/>
    <mergeCell ref="F65:G65"/>
    <mergeCell ref="H65:L65"/>
    <mergeCell ref="F114:G114"/>
    <mergeCell ref="H114:L114"/>
    <mergeCell ref="F115:G115"/>
    <mergeCell ref="H115:L115"/>
    <mergeCell ref="F116:G116"/>
    <mergeCell ref="H116:L116"/>
    <mergeCell ref="F117:G117"/>
  </mergeCells>
  <phoneticPr fontId="3"/>
  <conditionalFormatting sqref="D15 D151:E151 D199:E199">
    <cfRule type="expression" dxfId="76" priority="20" stopIfTrue="1">
      <formula>AND(OR(D15&lt;1,D15&gt;5),D15&lt;&gt;0)</formula>
    </cfRule>
  </conditionalFormatting>
  <conditionalFormatting sqref="D24">
    <cfRule type="expression" dxfId="75" priority="19" stopIfTrue="1">
      <formula>AND(OR(D24&lt;1,D24&gt;5),D24&lt;&gt;0)</formula>
    </cfRule>
  </conditionalFormatting>
  <conditionalFormatting sqref="D33">
    <cfRule type="expression" dxfId="74" priority="18" stopIfTrue="1">
      <formula>AND(OR(D33&lt;1,D33&gt;5),D33&lt;&gt;0)</formula>
    </cfRule>
  </conditionalFormatting>
  <conditionalFormatting sqref="D43">
    <cfRule type="expression" dxfId="73" priority="17" stopIfTrue="1">
      <formula>AND(OR(D43&lt;1,D43&gt;5),D43&lt;&gt;0)</formula>
    </cfRule>
  </conditionalFormatting>
  <conditionalFormatting sqref="D52">
    <cfRule type="expression" dxfId="72" priority="10" stopIfTrue="1">
      <formula>AND(OR(D52&lt;1,D52&gt;5),D52&lt;&gt;0)</formula>
    </cfRule>
  </conditionalFormatting>
  <conditionalFormatting sqref="D68">
    <cfRule type="expression" dxfId="71" priority="16" stopIfTrue="1">
      <formula>AND(OR(D68&lt;1,D68&gt;5),D68&lt;&gt;0)</formula>
    </cfRule>
  </conditionalFormatting>
  <conditionalFormatting sqref="D77">
    <cfRule type="expression" dxfId="70" priority="15" stopIfTrue="1">
      <formula>AND(OR(D77&lt;1,D77&gt;5),D77&lt;&gt;0)</formula>
    </cfRule>
  </conditionalFormatting>
  <conditionalFormatting sqref="D88">
    <cfRule type="expression" dxfId="69" priority="14" stopIfTrue="1">
      <formula>AND(OR(D88&lt;1,D88&gt;5),D88&lt;&gt;0)</formula>
    </cfRule>
  </conditionalFormatting>
  <conditionalFormatting sqref="D97">
    <cfRule type="expression" dxfId="68" priority="13" stopIfTrue="1">
      <formula>AND(OR(D97&lt;1,D97&gt;5),D97&lt;&gt;0)</formula>
    </cfRule>
  </conditionalFormatting>
  <conditionalFormatting sqref="D106">
    <cfRule type="expression" dxfId="67" priority="2" stopIfTrue="1">
      <formula>AND(OR(D106&lt;1,D106&gt;5),D106&lt;&gt;0)</formula>
    </cfRule>
  </conditionalFormatting>
  <conditionalFormatting sqref="D123">
    <cfRule type="expression" dxfId="66" priority="1" stopIfTrue="1">
      <formula>AND(OR(D123&lt;1,D123&gt;5),D123&lt;&gt;0)</formula>
    </cfRule>
  </conditionalFormatting>
  <conditionalFormatting sqref="D140">
    <cfRule type="expression" dxfId="65" priority="12" stopIfTrue="1">
      <formula>AND(OR(D140&lt;1,D140&gt;5),D140&lt;&gt;0)</formula>
    </cfRule>
  </conditionalFormatting>
  <conditionalFormatting sqref="D168">
    <cfRule type="expression" dxfId="64" priority="7" stopIfTrue="1">
      <formula>AND(OR(D168&lt;1,D168&gt;5),D168&lt;&gt;0)</formula>
    </cfRule>
  </conditionalFormatting>
  <conditionalFormatting sqref="D189">
    <cfRule type="expression" dxfId="63" priority="11" stopIfTrue="1">
      <formula>AND(OR(D189&lt;1,D189&gt;5),D189&lt;&gt;0)</formula>
    </cfRule>
  </conditionalFormatting>
  <conditionalFormatting sqref="E61:E65 E115:E118 E160:E165 E208:E211">
    <cfRule type="expression" dxfId="62" priority="140" stopIfTrue="1">
      <formula>$E$207="対象外"</formula>
    </cfRule>
  </conditionalFormatting>
  <conditionalFormatting sqref="E132:E137">
    <cfRule type="expression" dxfId="61" priority="108" stopIfTrue="1">
      <formula>$E$131="対象外"</formula>
    </cfRule>
  </conditionalFormatting>
  <conditionalFormatting sqref="E177:E186">
    <cfRule type="expression" dxfId="60" priority="97" stopIfTrue="1">
      <formula>$E$176="対象外"</formula>
    </cfRule>
  </conditionalFormatting>
  <conditionalFormatting sqref="I151">
    <cfRule type="expression" dxfId="59" priority="22" stopIfTrue="1">
      <formula>AND(OR(I151&lt;1,I151&gt;5),I151&lt;&gt;0)</formula>
    </cfRule>
  </conditionalFormatting>
  <conditionalFormatting sqref="I199">
    <cfRule type="expression" dxfId="58" priority="23" stopIfTrue="1">
      <formula>AND(OR(I199&lt;1,I199&gt;5),I199&lt;&gt;0)</formula>
    </cfRule>
  </conditionalFormatting>
  <dataValidations count="4">
    <dataValidation type="list" allowBlank="1" showInputMessage="1" sqref="D24 D33 D43 D15 D68 D77 D88 D97 D140 D189" xr:uid="{DB0030D8-2A10-4DB2-8954-938386978C7C}">
      <formula1>N16:N21</formula1>
    </dataValidation>
    <dataValidation type="list" allowBlank="1" showInputMessage="1" showErrorMessage="1" sqref="E208:E211 E177:E186 E132:E137 E61:E65 E160:E165 E115:E118" xr:uid="{00000000-0002-0000-0600-000007000000}">
      <formula1>$R$2:$R$4</formula1>
    </dataValidation>
    <dataValidation allowBlank="1" showInputMessage="1" sqref="I199 D168 D52 I151 D106 D123 D151:E151 D199:E199" xr:uid="{29E1F132-2907-45A0-ACFE-36E146C7F973}"/>
    <dataValidation type="list" allowBlank="1" showInputMessage="1" showErrorMessage="1" sqref="G113 G130" xr:uid="{78D464DA-C29D-4210-9DE7-2667E77EC0F5}">
      <formula1>O112:O113</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4" manualBreakCount="4">
    <brk id="39" max="12" man="1"/>
    <brk id="84" max="12" man="1"/>
    <brk id="104" max="12" man="1"/>
    <brk id="11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A81"/>
  <sheetViews>
    <sheetView showGridLines="0" zoomScaleNormal="100" zoomScaleSheetLayoutView="85" workbookViewId="0">
      <selection activeCell="D13" sqref="D13"/>
    </sheetView>
  </sheetViews>
  <sheetFormatPr defaultColWidth="8.88671875" defaultRowHeight="13.2"/>
  <cols>
    <col min="1" max="1" width="0.77734375" style="97" customWidth="1"/>
    <col min="2" max="2" width="2" style="97" customWidth="1"/>
    <col min="3" max="3" width="2.88671875" style="97" customWidth="1"/>
    <col min="4" max="4" width="14.21875" style="97" customWidth="1"/>
    <col min="5" max="5" width="11.77734375" style="97" customWidth="1"/>
    <col min="6" max="7" width="9.88671875" style="97" customWidth="1"/>
    <col min="8" max="12" width="10.88671875" style="97" customWidth="1"/>
    <col min="13" max="13" width="1.77734375" style="97" customWidth="1"/>
    <col min="14" max="19" width="8" style="165" hidden="1" customWidth="1"/>
    <col min="20" max="21" width="8" style="165" customWidth="1"/>
    <col min="22" max="26" width="8.88671875" style="165" customWidth="1"/>
    <col min="27" max="16384" width="8.88671875" style="97"/>
  </cols>
  <sheetData>
    <row r="1" spans="1:27" customFormat="1">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141"/>
    </row>
    <row r="6" spans="1:27" customFormat="1" ht="13.8" hidden="1">
      <c r="N6" s="451">
        <v>5</v>
      </c>
      <c r="O6" s="451" t="s">
        <v>329</v>
      </c>
      <c r="P6" s="451" t="s">
        <v>330</v>
      </c>
    </row>
    <row r="7" spans="1:27" customFormat="1" hidden="1">
      <c r="G7" s="97"/>
    </row>
    <row r="8" spans="1:27" customFormat="1" hidden="1"/>
    <row r="9" spans="1:27" s="8" customFormat="1" ht="18" thickBot="1">
      <c r="A9" s="672"/>
      <c r="B9" s="667" t="s">
        <v>1083</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0" customFormat="1" ht="16.2" thickBot="1">
      <c r="A12" s="666"/>
      <c r="B12" s="668" t="s">
        <v>1025</v>
      </c>
      <c r="C12" s="668"/>
      <c r="D12" s="164"/>
      <c r="E12" s="666"/>
      <c r="F12" s="677"/>
      <c r="G12" s="677"/>
      <c r="H12" s="677"/>
      <c r="I12" s="462"/>
      <c r="J12" s="666"/>
      <c r="K12" s="666"/>
      <c r="L12" s="678"/>
      <c r="M12" s="666"/>
      <c r="N12" s="63"/>
      <c r="O12" s="63"/>
    </row>
    <row r="13" spans="1:27" s="50" customFormat="1" ht="16.2" thickBot="1">
      <c r="B13" s="666"/>
      <c r="C13" s="666"/>
      <c r="D13" s="437">
        <v>3</v>
      </c>
      <c r="E13" s="456" t="s">
        <v>1227</v>
      </c>
      <c r="F13" s="456"/>
      <c r="G13" s="456"/>
      <c r="H13" s="456"/>
      <c r="I13" s="456"/>
      <c r="J13" s="456"/>
      <c r="K13" s="456"/>
      <c r="L13" s="457"/>
      <c r="M13" s="63"/>
      <c r="N13" s="451" t="s">
        <v>335</v>
      </c>
      <c r="O13" s="451" t="s">
        <v>336</v>
      </c>
    </row>
    <row r="14" spans="1:27" s="50" customFormat="1" ht="15.6">
      <c r="B14" s="666"/>
      <c r="C14" s="666"/>
      <c r="D14" s="438" t="str">
        <f>IF(ROUNDDOWN(D13,0)=$N$2,$P$2,$O$2)</f>
        <v>　レベル　1</v>
      </c>
      <c r="E14" s="463" t="s">
        <v>1234</v>
      </c>
      <c r="F14" s="503"/>
      <c r="G14" s="503"/>
      <c r="H14" s="503"/>
      <c r="I14" s="503"/>
      <c r="J14" s="503"/>
      <c r="K14" s="503"/>
      <c r="L14" s="510"/>
      <c r="M14" s="666"/>
      <c r="N14" s="452">
        <v>1</v>
      </c>
      <c r="O14" s="453"/>
    </row>
    <row r="15" spans="1:27" s="50" customFormat="1" ht="15.6">
      <c r="B15" s="666"/>
      <c r="C15" s="666"/>
      <c r="D15" s="439" t="str">
        <f>IF(ROUNDDOWN(D13,0)=$N$3,$P$3,$O$3)</f>
        <v>　レベル　2</v>
      </c>
      <c r="E15" s="466" t="s">
        <v>1235</v>
      </c>
      <c r="F15" s="504"/>
      <c r="G15" s="504"/>
      <c r="H15" s="504"/>
      <c r="I15" s="504"/>
      <c r="J15" s="504"/>
      <c r="K15" s="504"/>
      <c r="L15" s="511"/>
      <c r="M15" s="63"/>
      <c r="N15" s="452">
        <v>2</v>
      </c>
      <c r="O15" s="453"/>
    </row>
    <row r="16" spans="1:27" s="50" customFormat="1" ht="15.6">
      <c r="B16" s="666"/>
      <c r="C16" s="666"/>
      <c r="D16" s="439" t="str">
        <f>IF(ROUNDDOWN(D13,0)=$N$4,$P$4,$O$4)</f>
        <v>■レベル　3</v>
      </c>
      <c r="E16" s="466" t="s">
        <v>1236</v>
      </c>
      <c r="F16" s="504"/>
      <c r="G16" s="504"/>
      <c r="H16" s="504"/>
      <c r="I16" s="504"/>
      <c r="J16" s="504"/>
      <c r="K16" s="504"/>
      <c r="L16" s="511"/>
      <c r="M16" s="666"/>
      <c r="N16" s="452">
        <v>3</v>
      </c>
      <c r="O16" s="453"/>
    </row>
    <row r="17" spans="1:15" s="50" customFormat="1" ht="15.6">
      <c r="B17" s="666"/>
      <c r="C17" s="666"/>
      <c r="D17" s="439" t="str">
        <f>IF(ROUNDDOWN(D13,0)=$N$5,$P$5,$O$5)</f>
        <v>　レベル　4</v>
      </c>
      <c r="E17" s="469" t="s">
        <v>1237</v>
      </c>
      <c r="F17" s="505"/>
      <c r="G17" s="505"/>
      <c r="H17" s="505"/>
      <c r="I17" s="505"/>
      <c r="J17" s="505"/>
      <c r="K17" s="505"/>
      <c r="L17" s="512"/>
      <c r="M17" s="63"/>
      <c r="N17" s="452">
        <v>4</v>
      </c>
      <c r="O17" s="453"/>
    </row>
    <row r="18" spans="1:15" s="50" customFormat="1" ht="15.6">
      <c r="B18" s="666"/>
      <c r="C18" s="666"/>
      <c r="D18" s="440" t="str">
        <f>IF(ROUNDDOWN(D13,0)=$N$6,$P$6,$O$6)</f>
        <v>　レベル　5</v>
      </c>
      <c r="E18" s="472" t="s">
        <v>564</v>
      </c>
      <c r="F18" s="483"/>
      <c r="G18" s="483"/>
      <c r="H18" s="483"/>
      <c r="I18" s="483"/>
      <c r="J18" s="483"/>
      <c r="K18" s="483"/>
      <c r="L18" s="513"/>
      <c r="M18" s="666"/>
      <c r="N18" s="452">
        <v>5</v>
      </c>
      <c r="O18" s="453"/>
    </row>
    <row r="19" spans="1:15" s="50" customFormat="1" ht="15.6">
      <c r="B19" s="666"/>
      <c r="C19" s="666"/>
      <c r="D19" s="441" t="s">
        <v>340</v>
      </c>
      <c r="E19" s="1010"/>
      <c r="F19" s="497" t="s">
        <v>565</v>
      </c>
      <c r="G19" s="497"/>
      <c r="H19" s="681"/>
      <c r="I19"/>
      <c r="J19"/>
      <c r="K19"/>
      <c r="L19"/>
      <c r="M19" s="63"/>
      <c r="N19" s="452" t="s">
        <v>311</v>
      </c>
      <c r="O19" s="455"/>
    </row>
    <row r="20" spans="1:15" customFormat="1">
      <c r="F20" s="307"/>
      <c r="G20" s="307"/>
      <c r="H20" s="307"/>
      <c r="I20" s="307"/>
      <c r="J20" s="307"/>
      <c r="K20" s="307"/>
      <c r="L20" s="307"/>
    </row>
    <row r="21" spans="1:15" s="50" customFormat="1" ht="16.2" thickBot="1">
      <c r="A21" s="666"/>
      <c r="B21" s="423" t="s">
        <v>1026</v>
      </c>
      <c r="C21" s="668"/>
      <c r="D21" s="164"/>
      <c r="E21" s="666"/>
      <c r="F21" s="677"/>
      <c r="G21" s="677"/>
      <c r="H21" s="677"/>
      <c r="I21" s="462"/>
      <c r="J21" s="666"/>
      <c r="K21" s="666"/>
      <c r="L21" s="678"/>
      <c r="M21" s="666"/>
      <c r="N21" s="63"/>
      <c r="O21" s="63"/>
    </row>
    <row r="22" spans="1:15" s="50" customFormat="1" ht="16.2" thickBot="1">
      <c r="B22" s="666"/>
      <c r="C22" s="666"/>
      <c r="D22" s="437">
        <v>3</v>
      </c>
      <c r="E22" s="456" t="s">
        <v>1227</v>
      </c>
      <c r="F22" s="456"/>
      <c r="G22" s="456"/>
      <c r="H22" s="456"/>
      <c r="I22" s="456"/>
      <c r="J22" s="456"/>
      <c r="K22" s="456"/>
      <c r="L22" s="457"/>
      <c r="M22" s="63"/>
      <c r="N22" s="451" t="s">
        <v>335</v>
      </c>
      <c r="O22" s="451" t="s">
        <v>336</v>
      </c>
    </row>
    <row r="23" spans="1:15" s="50" customFormat="1" ht="15.6">
      <c r="B23" s="666"/>
      <c r="C23" s="666"/>
      <c r="D23" s="438" t="str">
        <f>IF(ROUNDDOWN(D22,0)=$N$2,$P$2,$O$2)</f>
        <v>　レベル　1</v>
      </c>
      <c r="E23" s="463" t="s">
        <v>413</v>
      </c>
      <c r="F23" s="503"/>
      <c r="G23" s="503"/>
      <c r="H23" s="503"/>
      <c r="I23" s="503"/>
      <c r="J23" s="503"/>
      <c r="K23" s="503"/>
      <c r="L23" s="510"/>
      <c r="M23" s="666"/>
      <c r="N23" s="452" t="s">
        <v>311</v>
      </c>
      <c r="O23" s="453"/>
    </row>
    <row r="24" spans="1:15" s="50" customFormat="1" ht="15.6">
      <c r="B24" s="666"/>
      <c r="C24" s="666"/>
      <c r="D24" s="439" t="str">
        <f>IF(ROUNDDOWN(D22,0)=$N$3,$P$3,$O$3)</f>
        <v>　レベル　2</v>
      </c>
      <c r="E24" s="466" t="s">
        <v>413</v>
      </c>
      <c r="F24" s="504"/>
      <c r="G24" s="504"/>
      <c r="H24" s="504"/>
      <c r="I24" s="504"/>
      <c r="J24" s="504"/>
      <c r="K24" s="504"/>
      <c r="L24" s="511"/>
      <c r="M24" s="63"/>
      <c r="N24" s="452" t="s">
        <v>311</v>
      </c>
      <c r="O24" s="453"/>
    </row>
    <row r="25" spans="1:15" s="50" customFormat="1" ht="15.6">
      <c r="B25" s="666"/>
      <c r="C25" s="666"/>
      <c r="D25" s="439" t="str">
        <f>IF(ROUNDDOWN(D22,0)=$N$4,$P$4,$O$4)</f>
        <v>■レベル　3</v>
      </c>
      <c r="E25" s="466" t="s">
        <v>1290</v>
      </c>
      <c r="F25" s="504"/>
      <c r="G25" s="504"/>
      <c r="H25" s="504"/>
      <c r="I25" s="504"/>
      <c r="J25" s="504"/>
      <c r="K25" s="504"/>
      <c r="L25" s="511"/>
      <c r="M25" s="666"/>
      <c r="N25" s="452">
        <v>3</v>
      </c>
      <c r="O25" s="453"/>
    </row>
    <row r="26" spans="1:15" s="50" customFormat="1" ht="15.6">
      <c r="B26" s="666"/>
      <c r="C26" s="666"/>
      <c r="D26" s="439" t="str">
        <f>IF(ROUNDDOWN(D22,0)=$N$5,$P$5,$O$5)</f>
        <v>　レベル　4</v>
      </c>
      <c r="E26" s="469" t="s">
        <v>1291</v>
      </c>
      <c r="F26" s="505"/>
      <c r="G26" s="505"/>
      <c r="H26" s="505"/>
      <c r="I26" s="505"/>
      <c r="J26" s="505"/>
      <c r="K26" s="505"/>
      <c r="L26" s="512"/>
      <c r="M26" s="63"/>
      <c r="N26" s="452">
        <v>4</v>
      </c>
      <c r="O26" s="453"/>
    </row>
    <row r="27" spans="1:15" s="50" customFormat="1" ht="15.6">
      <c r="B27" s="666"/>
      <c r="C27" s="666"/>
      <c r="D27" s="440" t="str">
        <f>IF(ROUNDDOWN(D22,0)=$N$6,$P$6,$O$6)</f>
        <v>　レベル　5</v>
      </c>
      <c r="E27" s="472" t="s">
        <v>1292</v>
      </c>
      <c r="F27" s="483"/>
      <c r="G27" s="483"/>
      <c r="H27" s="483"/>
      <c r="I27" s="483"/>
      <c r="J27" s="483"/>
      <c r="K27" s="483"/>
      <c r="L27" s="513"/>
      <c r="M27" s="666"/>
      <c r="N27" s="452">
        <v>5</v>
      </c>
      <c r="O27" s="453"/>
    </row>
    <row r="28" spans="1:15" s="50" customFormat="1" ht="15.6">
      <c r="A28" s="666"/>
      <c r="B28" s="164"/>
      <c r="C28" s="670"/>
      <c r="D28" s="441" t="s">
        <v>383</v>
      </c>
      <c r="E28" s="1010"/>
      <c r="F28" s="497"/>
      <c r="G28" s="497"/>
      <c r="H28" s="681"/>
      <c r="I28"/>
      <c r="J28"/>
      <c r="K28"/>
      <c r="L28"/>
      <c r="M28" s="63"/>
      <c r="N28" s="452" t="s">
        <v>311</v>
      </c>
      <c r="O28" s="455"/>
    </row>
    <row r="29" spans="1:15" customFormat="1">
      <c r="D29" s="97"/>
      <c r="E29" s="339" t="s">
        <v>744</v>
      </c>
      <c r="F29" s="307"/>
      <c r="G29" s="307"/>
      <c r="H29" s="307"/>
      <c r="I29" s="307"/>
      <c r="J29" s="307"/>
      <c r="K29" s="307"/>
      <c r="L29" s="307"/>
    </row>
    <row r="30" spans="1:15" customFormat="1">
      <c r="E30" s="339" t="s">
        <v>745</v>
      </c>
      <c r="F30" s="307"/>
      <c r="G30" s="307"/>
      <c r="H30" s="307"/>
      <c r="I30" s="307"/>
      <c r="J30" s="307"/>
      <c r="K30" s="307"/>
      <c r="L30" s="307"/>
    </row>
    <row r="31" spans="1:15" customFormat="1">
      <c r="E31" s="339"/>
      <c r="F31" s="307"/>
      <c r="G31" s="307"/>
      <c r="H31" s="307"/>
      <c r="I31" s="307"/>
      <c r="J31" s="307"/>
      <c r="K31" s="307"/>
      <c r="L31" s="307"/>
    </row>
    <row r="32" spans="1:15" s="50" customFormat="1" ht="16.2" thickBot="1">
      <c r="A32" s="666"/>
      <c r="B32" s="423" t="s">
        <v>1027</v>
      </c>
      <c r="C32" s="668"/>
      <c r="D32" s="164"/>
      <c r="E32" s="666"/>
      <c r="F32" s="677"/>
      <c r="G32" s="677"/>
      <c r="H32" s="677"/>
      <c r="I32" s="462"/>
      <c r="J32" s="666"/>
      <c r="K32" s="666"/>
      <c r="L32" s="678"/>
      <c r="M32" s="666"/>
      <c r="N32" s="63"/>
      <c r="O32" s="63"/>
    </row>
    <row r="33" spans="1:15" s="50" customFormat="1" ht="16.2" thickBot="1">
      <c r="B33" s="666"/>
      <c r="C33" s="666"/>
      <c r="D33" s="437">
        <v>3</v>
      </c>
      <c r="E33" s="456" t="s">
        <v>1227</v>
      </c>
      <c r="F33" s="456"/>
      <c r="G33" s="456"/>
      <c r="H33" s="456"/>
      <c r="I33" s="456"/>
      <c r="J33" s="456"/>
      <c r="K33" s="456"/>
      <c r="L33" s="457"/>
      <c r="M33" s="63"/>
      <c r="N33" s="451" t="s">
        <v>335</v>
      </c>
      <c r="O33" s="451" t="s">
        <v>336</v>
      </c>
    </row>
    <row r="34" spans="1:15" s="50" customFormat="1" ht="15.6">
      <c r="B34" s="666"/>
      <c r="C34" s="666"/>
      <c r="D34" s="438" t="str">
        <f>IF(ROUNDDOWN(D33,0)=$N$2,$P$2,$O$2)</f>
        <v>　レベル　1</v>
      </c>
      <c r="E34" s="463" t="s">
        <v>413</v>
      </c>
      <c r="F34" s="503"/>
      <c r="G34" s="503"/>
      <c r="H34" s="503"/>
      <c r="I34" s="503"/>
      <c r="J34" s="503"/>
      <c r="K34" s="503"/>
      <c r="L34" s="510"/>
      <c r="M34" s="666"/>
      <c r="N34" s="452" t="s">
        <v>311</v>
      </c>
      <c r="O34" s="453"/>
    </row>
    <row r="35" spans="1:15" s="50" customFormat="1" ht="15.6">
      <c r="B35" s="666"/>
      <c r="C35" s="666"/>
      <c r="D35" s="439" t="str">
        <f>IF(ROUNDDOWN(D33,0)=$N$3,$P$3,$O$3)</f>
        <v>　レベル　2</v>
      </c>
      <c r="E35" s="466" t="s">
        <v>413</v>
      </c>
      <c r="F35" s="504"/>
      <c r="G35" s="504"/>
      <c r="H35" s="504"/>
      <c r="I35" s="504"/>
      <c r="J35" s="504"/>
      <c r="K35" s="504"/>
      <c r="L35" s="511"/>
      <c r="M35" s="63"/>
      <c r="N35" s="452" t="s">
        <v>311</v>
      </c>
      <c r="O35" s="453"/>
    </row>
    <row r="36" spans="1:15" s="50" customFormat="1" ht="15.6">
      <c r="B36" s="666"/>
      <c r="C36" s="666"/>
      <c r="D36" s="439" t="str">
        <f>IF(ROUNDDOWN(D33,0)=$N$4,$P$4,$O$4)</f>
        <v>■レベル　3</v>
      </c>
      <c r="E36" s="466" t="s">
        <v>1293</v>
      </c>
      <c r="F36" s="504"/>
      <c r="G36" s="504"/>
      <c r="H36" s="504"/>
      <c r="I36" s="504"/>
      <c r="J36" s="504"/>
      <c r="K36" s="504"/>
      <c r="L36" s="511"/>
      <c r="M36" s="666"/>
      <c r="N36" s="452">
        <v>3</v>
      </c>
      <c r="O36" s="453"/>
    </row>
    <row r="37" spans="1:15" s="50" customFormat="1" ht="15.6">
      <c r="B37" s="666"/>
      <c r="C37" s="666"/>
      <c r="D37" s="439" t="str">
        <f>IF(ROUNDDOWN(D33,0)=$N$5,$P$5,$O$5)</f>
        <v>　レベル　4</v>
      </c>
      <c r="E37" s="469" t="s">
        <v>1294</v>
      </c>
      <c r="F37" s="505"/>
      <c r="G37" s="505"/>
      <c r="H37" s="505"/>
      <c r="I37" s="505"/>
      <c r="J37" s="505"/>
      <c r="K37" s="505"/>
      <c r="L37" s="512"/>
      <c r="M37" s="63"/>
      <c r="N37" s="452">
        <v>4</v>
      </c>
      <c r="O37" s="453"/>
    </row>
    <row r="38" spans="1:15" s="50" customFormat="1" ht="15.6">
      <c r="B38" s="666"/>
      <c r="C38" s="666"/>
      <c r="D38" s="440" t="str">
        <f>IF(ROUNDDOWN(D33,0)=$N$6,$P$6,$O$6)</f>
        <v>　レベル　5</v>
      </c>
      <c r="E38" s="472" t="s">
        <v>1295</v>
      </c>
      <c r="F38" s="483"/>
      <c r="G38" s="483"/>
      <c r="H38" s="483"/>
      <c r="I38" s="483"/>
      <c r="J38" s="483"/>
      <c r="K38" s="483"/>
      <c r="L38" s="513"/>
      <c r="M38" s="666"/>
      <c r="N38" s="452">
        <v>5</v>
      </c>
      <c r="O38" s="453"/>
    </row>
    <row r="39" spans="1:15" s="50" customFormat="1" ht="15.6">
      <c r="A39" s="666"/>
      <c r="B39" s="164"/>
      <c r="C39" s="670"/>
      <c r="D39" s="441" t="s">
        <v>383</v>
      </c>
      <c r="E39" s="1010"/>
      <c r="F39" s="497"/>
      <c r="G39" s="497"/>
      <c r="H39" s="681"/>
      <c r="I39"/>
      <c r="J39"/>
      <c r="K39"/>
      <c r="L39"/>
      <c r="M39" s="63"/>
      <c r="N39" s="452" t="s">
        <v>311</v>
      </c>
      <c r="O39" s="455"/>
    </row>
    <row r="40" spans="1:15" customFormat="1">
      <c r="D40" s="97"/>
      <c r="E40" s="339" t="s">
        <v>746</v>
      </c>
      <c r="F40" s="307"/>
      <c r="G40" s="307"/>
      <c r="H40" s="307"/>
      <c r="I40" s="307"/>
      <c r="J40" s="307"/>
      <c r="K40" s="307"/>
      <c r="L40" s="307"/>
    </row>
    <row r="41" spans="1:15" customFormat="1">
      <c r="E41" s="339" t="s">
        <v>747</v>
      </c>
      <c r="F41" s="307"/>
      <c r="G41" s="307"/>
      <c r="H41" s="307"/>
      <c r="I41" s="307"/>
      <c r="J41" s="307"/>
      <c r="K41" s="307"/>
      <c r="L41" s="307"/>
    </row>
    <row r="42" spans="1:15" customFormat="1">
      <c r="E42" s="339" t="s">
        <v>748</v>
      </c>
      <c r="F42" s="307"/>
      <c r="G42" s="307"/>
      <c r="H42" s="307"/>
      <c r="I42" s="307"/>
      <c r="J42" s="307"/>
      <c r="K42" s="307"/>
      <c r="L42" s="307"/>
    </row>
    <row r="43" spans="1:15" customFormat="1">
      <c r="F43" s="307"/>
      <c r="G43" s="307"/>
      <c r="H43" s="307"/>
      <c r="I43" s="307"/>
      <c r="J43" s="307"/>
      <c r="K43" s="307"/>
      <c r="L43" s="307"/>
    </row>
    <row r="44" spans="1:15" s="51" customFormat="1" ht="15.6">
      <c r="B44" s="668" t="s">
        <v>1028</v>
      </c>
      <c r="C44" s="668"/>
      <c r="D44" s="674"/>
      <c r="F44" s="138"/>
      <c r="G44" s="138"/>
      <c r="H44" s="691"/>
      <c r="I44" s="138"/>
      <c r="J44" s="138"/>
      <c r="K44" s="138"/>
      <c r="L44" s="138"/>
      <c r="M44" s="97"/>
    </row>
    <row r="45" spans="1:15" s="50" customFormat="1" ht="16.2" thickBot="1">
      <c r="A45" s="666"/>
      <c r="B45" s="164"/>
      <c r="C45" s="670" t="s">
        <v>749</v>
      </c>
      <c r="D45" s="164"/>
      <c r="E45" s="450"/>
      <c r="F45" s="498"/>
      <c r="G45" s="498"/>
      <c r="H45" s="498"/>
      <c r="I45" s="462"/>
      <c r="J45" s="450"/>
      <c r="K45" s="450"/>
      <c r="L45" s="450"/>
      <c r="M45" s="450"/>
      <c r="N45" s="450"/>
      <c r="O45" s="63"/>
    </row>
    <row r="46" spans="1:15" s="50" customFormat="1" ht="16.2" thickBot="1">
      <c r="B46" s="666"/>
      <c r="C46" s="666"/>
      <c r="D46" s="1239">
        <f>IF(AND(E54&gt;=O51,E60=R3),N51,IF(E54&gt;=O50,N50,IF(E54&gt;=O49,N49,IF(E54&gt;=O48,N48,N47))))</f>
        <v>3</v>
      </c>
      <c r="E46" s="456" t="s">
        <v>1227</v>
      </c>
      <c r="F46" s="456"/>
      <c r="G46" s="456"/>
      <c r="H46" s="456"/>
      <c r="I46" s="456"/>
      <c r="J46" s="456"/>
      <c r="K46" s="456"/>
      <c r="L46" s="457"/>
      <c r="M46" s="63"/>
      <c r="N46" s="451" t="s">
        <v>335</v>
      </c>
      <c r="O46" s="451" t="s">
        <v>336</v>
      </c>
    </row>
    <row r="47" spans="1:15" s="50" customFormat="1" ht="15.6">
      <c r="B47" s="666"/>
      <c r="C47" s="666"/>
      <c r="D47" s="438" t="str">
        <f>IF(ROUNDDOWN(D46,0)=$N$2,$P$2,$O$2)</f>
        <v>　レベル　1</v>
      </c>
      <c r="E47" s="463" t="s">
        <v>413</v>
      </c>
      <c r="F47" s="464"/>
      <c r="G47" s="464"/>
      <c r="H47" s="464"/>
      <c r="I47" s="464"/>
      <c r="J47" s="464"/>
      <c r="K47" s="464"/>
      <c r="L47" s="465"/>
      <c r="M47" s="666"/>
      <c r="N47" s="452" t="s">
        <v>311</v>
      </c>
      <c r="O47" s="451" t="s">
        <v>311</v>
      </c>
    </row>
    <row r="48" spans="1:15" s="50" customFormat="1" ht="15.6">
      <c r="B48" s="666"/>
      <c r="C48" s="666"/>
      <c r="D48" s="439" t="str">
        <f>IF(ROUNDDOWN(D46,0)=$N$3,$P$3,$O$3)</f>
        <v>　レベル　2</v>
      </c>
      <c r="E48" s="466" t="s">
        <v>472</v>
      </c>
      <c r="F48" s="467"/>
      <c r="G48" s="467"/>
      <c r="H48" s="467"/>
      <c r="I48" s="467"/>
      <c r="J48" s="467"/>
      <c r="K48" s="467"/>
      <c r="L48" s="468"/>
      <c r="M48" s="63"/>
      <c r="N48" s="452">
        <v>2</v>
      </c>
      <c r="O48" s="451">
        <v>0</v>
      </c>
    </row>
    <row r="49" spans="1:27" s="50" customFormat="1" ht="15.6">
      <c r="B49" s="666"/>
      <c r="C49" s="666"/>
      <c r="D49" s="439" t="str">
        <f>IF(ROUNDDOWN(D46,0)=$N$4,$P$4,$O$4)</f>
        <v>■レベル　3</v>
      </c>
      <c r="E49" s="466" t="s">
        <v>519</v>
      </c>
      <c r="F49" s="467"/>
      <c r="G49" s="467"/>
      <c r="H49" s="467"/>
      <c r="I49" s="467"/>
      <c r="J49" s="467"/>
      <c r="K49" s="467"/>
      <c r="L49" s="468"/>
      <c r="M49" s="666"/>
      <c r="N49" s="452">
        <v>3</v>
      </c>
      <c r="O49" s="451">
        <v>1</v>
      </c>
    </row>
    <row r="50" spans="1:27" s="50" customFormat="1" ht="15.6">
      <c r="B50" s="666"/>
      <c r="C50" s="666"/>
      <c r="D50" s="439" t="str">
        <f>IF(ROUNDDOWN(D46,0)=$N$5,$P$5,$O$5)</f>
        <v>　レベル　4</v>
      </c>
      <c r="E50" s="469" t="s">
        <v>1271</v>
      </c>
      <c r="F50" s="470"/>
      <c r="G50" s="470"/>
      <c r="H50" s="470"/>
      <c r="I50" s="470"/>
      <c r="J50" s="470"/>
      <c r="K50" s="470"/>
      <c r="L50" s="471"/>
      <c r="M50" s="63"/>
      <c r="N50" s="452">
        <v>4</v>
      </c>
      <c r="O50" s="451">
        <v>2</v>
      </c>
    </row>
    <row r="51" spans="1:27" s="50" customFormat="1" ht="26.4" customHeight="1">
      <c r="B51" s="666"/>
      <c r="C51" s="666"/>
      <c r="D51" s="440" t="str">
        <f>IF(ROUNDDOWN(D46,0)=$N$6,$P$6,$O$6)</f>
        <v>　レベル　5</v>
      </c>
      <c r="E51" s="1844" t="s">
        <v>1296</v>
      </c>
      <c r="F51" s="1873"/>
      <c r="G51" s="1873"/>
      <c r="H51" s="1873"/>
      <c r="I51" s="1873"/>
      <c r="J51" s="1873"/>
      <c r="K51" s="1873"/>
      <c r="L51" s="1874"/>
      <c r="M51" s="666"/>
      <c r="N51" s="452">
        <v>5</v>
      </c>
      <c r="O51" s="451">
        <v>2</v>
      </c>
    </row>
    <row r="52" spans="1:27" s="50" customFormat="1" ht="15.6">
      <c r="B52" s="666"/>
      <c r="C52" s="666"/>
      <c r="D52" s="441" t="s">
        <v>340</v>
      </c>
      <c r="E52" s="1010"/>
      <c r="F52" s="497"/>
      <c r="G52" s="497"/>
      <c r="H52" s="681"/>
      <c r="I52"/>
      <c r="J52"/>
      <c r="K52"/>
      <c r="L52"/>
      <c r="M52" s="666"/>
      <c r="N52" s="452" t="s">
        <v>311</v>
      </c>
      <c r="O52" s="451"/>
    </row>
    <row r="53" spans="1:27" s="50" customFormat="1" ht="15.6">
      <c r="B53" s="666"/>
      <c r="C53" s="666"/>
      <c r="D53" s="441" t="s">
        <v>383</v>
      </c>
      <c r="E53" s="450"/>
      <c r="F53" s="498"/>
      <c r="G53" s="498"/>
      <c r="H53" s="498"/>
      <c r="I53" s="498"/>
      <c r="J53" s="450"/>
      <c r="K53" s="450"/>
      <c r="L53" s="450"/>
      <c r="M53" s="450"/>
    </row>
    <row r="54" spans="1:27" s="165" customFormat="1" ht="15" thickBot="1">
      <c r="A54" s="97"/>
      <c r="B54" s="97"/>
      <c r="C54" s="51"/>
      <c r="D54" s="175" t="s">
        <v>384</v>
      </c>
      <c r="E54" s="496">
        <f>COUNTIF(E55:E59,$R$3)</f>
        <v>1</v>
      </c>
      <c r="F54" s="1859" t="s">
        <v>828</v>
      </c>
      <c r="G54" s="1861"/>
      <c r="H54" s="1860" t="s">
        <v>829</v>
      </c>
      <c r="I54" s="1860"/>
      <c r="J54" s="1860"/>
      <c r="K54" s="1860"/>
      <c r="L54" s="1861"/>
      <c r="M54" s="450"/>
      <c r="N54"/>
      <c r="O54"/>
      <c r="P54" s="141"/>
      <c r="Q54" s="141"/>
      <c r="R54" s="141"/>
      <c r="S54" s="141"/>
      <c r="T54" s="141"/>
      <c r="U54" s="141"/>
      <c r="V54" s="141"/>
      <c r="W54" s="141"/>
      <c r="X54" s="141"/>
      <c r="Y54" s="141"/>
      <c r="Z54" s="97"/>
      <c r="AA54" s="97"/>
    </row>
    <row r="55" spans="1:27" s="165" customFormat="1" ht="32.4" customHeight="1">
      <c r="A55" s="97"/>
      <c r="B55" s="97"/>
      <c r="C55" s="51"/>
      <c r="D55" s="442" t="s">
        <v>299</v>
      </c>
      <c r="E55" s="443"/>
      <c r="F55" s="1891" t="s">
        <v>927</v>
      </c>
      <c r="G55" s="1890"/>
      <c r="H55" s="1901" t="s">
        <v>928</v>
      </c>
      <c r="I55" s="1901"/>
      <c r="J55" s="1901"/>
      <c r="K55" s="1901"/>
      <c r="L55" s="1902"/>
      <c r="M55" s="97"/>
      <c r="N55"/>
      <c r="O55"/>
      <c r="P55" s="141"/>
      <c r="Q55" s="141"/>
      <c r="R55" s="141"/>
      <c r="S55" s="141"/>
      <c r="T55" s="141"/>
      <c r="U55" s="141"/>
      <c r="V55" s="141"/>
      <c r="W55" s="141"/>
      <c r="X55" s="141"/>
      <c r="Y55" s="141"/>
      <c r="Z55" s="97"/>
      <c r="AA55" s="97"/>
    </row>
    <row r="56" spans="1:27" s="165" customFormat="1" ht="32.4" customHeight="1">
      <c r="A56" s="97"/>
      <c r="B56" s="97"/>
      <c r="C56" s="51"/>
      <c r="D56" s="442" t="s">
        <v>300</v>
      </c>
      <c r="E56" s="444"/>
      <c r="F56" s="1891" t="s">
        <v>929</v>
      </c>
      <c r="G56" s="1888"/>
      <c r="H56" s="1901" t="s">
        <v>930</v>
      </c>
      <c r="I56" s="1901"/>
      <c r="J56" s="1901"/>
      <c r="K56" s="1901"/>
      <c r="L56" s="1902"/>
      <c r="M56" s="97"/>
      <c r="N56"/>
      <c r="O56"/>
      <c r="P56" s="141"/>
      <c r="Q56" s="141"/>
      <c r="R56" s="141"/>
      <c r="S56" s="141"/>
      <c r="T56" s="141"/>
      <c r="U56" s="141"/>
      <c r="V56" s="141"/>
      <c r="W56" s="141"/>
      <c r="X56" s="141"/>
      <c r="Y56" s="141"/>
      <c r="Z56" s="97"/>
      <c r="AA56" s="97"/>
    </row>
    <row r="57" spans="1:27" s="165" customFormat="1" ht="32.4" customHeight="1">
      <c r="A57" s="97"/>
      <c r="B57" s="97"/>
      <c r="C57" s="51"/>
      <c r="D57" s="442" t="s">
        <v>301</v>
      </c>
      <c r="E57" s="444" t="s">
        <v>389</v>
      </c>
      <c r="F57" s="1891" t="s">
        <v>931</v>
      </c>
      <c r="G57" s="1890"/>
      <c r="H57" s="1901" t="s">
        <v>932</v>
      </c>
      <c r="I57" s="1901"/>
      <c r="J57" s="1901"/>
      <c r="K57" s="1901"/>
      <c r="L57" s="1902"/>
      <c r="M57" s="97"/>
      <c r="N57"/>
      <c r="O57"/>
      <c r="P57" s="141"/>
      <c r="Q57" s="141"/>
      <c r="R57" s="141"/>
      <c r="S57" s="141"/>
      <c r="T57" s="141"/>
      <c r="U57" s="141"/>
      <c r="V57" s="141"/>
      <c r="W57" s="141"/>
      <c r="X57" s="141"/>
      <c r="Y57" s="141"/>
      <c r="Z57" s="97"/>
      <c r="AA57" s="97"/>
    </row>
    <row r="58" spans="1:27" s="165" customFormat="1" ht="58.95" customHeight="1">
      <c r="A58" s="97"/>
      <c r="B58" s="97"/>
      <c r="C58" s="51"/>
      <c r="D58" s="442" t="s">
        <v>302</v>
      </c>
      <c r="E58" s="444"/>
      <c r="F58" s="1891" t="s">
        <v>933</v>
      </c>
      <c r="G58" s="1890"/>
      <c r="H58" s="1901" t="s">
        <v>934</v>
      </c>
      <c r="I58" s="1901"/>
      <c r="J58" s="1901"/>
      <c r="K58" s="1901"/>
      <c r="L58" s="1902"/>
      <c r="M58" s="97"/>
      <c r="N58"/>
      <c r="O58"/>
      <c r="P58" s="141"/>
      <c r="Q58" s="141"/>
      <c r="R58" s="141"/>
      <c r="S58" s="141"/>
      <c r="T58" s="141"/>
      <c r="U58" s="141"/>
      <c r="V58" s="141"/>
      <c r="W58" s="141"/>
      <c r="X58" s="141"/>
      <c r="Y58" s="141"/>
      <c r="Z58" s="97"/>
      <c r="AA58" s="97"/>
    </row>
    <row r="59" spans="1:27" s="165" customFormat="1" ht="32.4" customHeight="1" thickBot="1">
      <c r="A59" s="97"/>
      <c r="B59" s="97"/>
      <c r="C59" s="51"/>
      <c r="D59" s="442" t="s">
        <v>303</v>
      </c>
      <c r="E59" s="445"/>
      <c r="F59" s="1891" t="s">
        <v>876</v>
      </c>
      <c r="G59" s="1890"/>
      <c r="H59" s="1901" t="s">
        <v>935</v>
      </c>
      <c r="I59" s="1901"/>
      <c r="J59" s="1901"/>
      <c r="K59" s="1901"/>
      <c r="L59" s="1902"/>
      <c r="M59" s="97"/>
      <c r="N59"/>
      <c r="O59"/>
      <c r="P59" s="141"/>
      <c r="Q59" s="141"/>
      <c r="R59" s="141"/>
      <c r="S59" s="141"/>
      <c r="T59" s="141"/>
      <c r="U59" s="141"/>
      <c r="V59" s="141"/>
      <c r="W59" s="141"/>
      <c r="X59" s="141"/>
      <c r="Y59" s="141"/>
      <c r="Z59" s="97"/>
      <c r="AA59" s="97"/>
    </row>
    <row r="60" spans="1:27" s="165" customFormat="1" ht="32.4" customHeight="1" thickBot="1">
      <c r="A60" s="97"/>
      <c r="B60" s="97"/>
      <c r="C60" s="51"/>
      <c r="D60" s="442" t="s">
        <v>304</v>
      </c>
      <c r="E60" s="445"/>
      <c r="F60" s="1891" t="s">
        <v>1297</v>
      </c>
      <c r="G60" s="1889"/>
      <c r="H60" s="1889"/>
      <c r="I60" s="1889"/>
      <c r="J60" s="1889"/>
      <c r="K60" s="1889"/>
      <c r="L60" s="1890"/>
      <c r="M60" s="97"/>
      <c r="N60"/>
      <c r="O60"/>
      <c r="P60" s="141"/>
      <c r="Q60" s="141"/>
      <c r="R60" s="141"/>
      <c r="S60" s="141"/>
      <c r="T60" s="141"/>
      <c r="U60" s="141"/>
      <c r="V60" s="141"/>
      <c r="W60" s="141"/>
      <c r="X60" s="141"/>
      <c r="Y60" s="141"/>
      <c r="Z60" s="97"/>
      <c r="AA60" s="97"/>
    </row>
    <row r="61" spans="1:27" customFormat="1">
      <c r="F61" s="307"/>
      <c r="G61" s="307"/>
      <c r="H61" s="307"/>
      <c r="I61" s="307"/>
      <c r="J61" s="307"/>
      <c r="K61" s="307"/>
      <c r="L61" s="307"/>
    </row>
    <row r="62" spans="1:27" s="50" customFormat="1" ht="16.2" thickBot="1">
      <c r="A62" s="666"/>
      <c r="B62" s="164"/>
      <c r="C62" s="685" t="s">
        <v>750</v>
      </c>
      <c r="D62" s="164"/>
      <c r="E62" s="450"/>
      <c r="F62" s="498"/>
      <c r="G62" s="498"/>
      <c r="H62" s="498"/>
      <c r="I62" s="462"/>
      <c r="J62" s="450"/>
      <c r="K62" s="450"/>
      <c r="L62" s="450"/>
      <c r="M62" s="450"/>
      <c r="N62" s="450"/>
      <c r="O62" s="63"/>
    </row>
    <row r="63" spans="1:27" s="50" customFormat="1" ht="16.2" thickBot="1">
      <c r="B63" s="666"/>
      <c r="C63" s="666"/>
      <c r="D63" s="1239">
        <f>IF(E71&gt;=O68,N68,IF(E71&gt;=O67,N67,IF(E71&gt;=O66,N66,IF(E71&gt;=O65,N65,N64))))</f>
        <v>3</v>
      </c>
      <c r="E63" s="456" t="s">
        <v>1227</v>
      </c>
      <c r="F63" s="456"/>
      <c r="G63" s="456"/>
      <c r="H63" s="456"/>
      <c r="I63" s="456"/>
      <c r="J63" s="456"/>
      <c r="K63" s="456"/>
      <c r="L63" s="457"/>
      <c r="M63" s="63"/>
      <c r="N63" s="451" t="s">
        <v>335</v>
      </c>
      <c r="O63" s="451" t="s">
        <v>336</v>
      </c>
    </row>
    <row r="64" spans="1:27" s="50" customFormat="1" ht="15.6">
      <c r="B64" s="666"/>
      <c r="C64" s="666"/>
      <c r="D64" s="438" t="str">
        <f>IF(ROUNDDOWN(D63,0)=$N$2,$P$2,$O$2)</f>
        <v>　レベル　1</v>
      </c>
      <c r="E64" s="463" t="s">
        <v>472</v>
      </c>
      <c r="F64" s="464"/>
      <c r="G64" s="464"/>
      <c r="H64" s="464"/>
      <c r="I64" s="464"/>
      <c r="J64" s="464"/>
      <c r="K64" s="464"/>
      <c r="L64" s="465"/>
      <c r="M64" s="666"/>
      <c r="N64" s="452">
        <v>1</v>
      </c>
      <c r="O64" s="451">
        <v>0</v>
      </c>
    </row>
    <row r="65" spans="1:27" s="50" customFormat="1" ht="15.6">
      <c r="B65" s="666"/>
      <c r="C65" s="666"/>
      <c r="D65" s="439" t="str">
        <f>IF(ROUNDDOWN(D63,0)=$N$3,$P$3,$O$3)</f>
        <v>　レベル　2</v>
      </c>
      <c r="E65" s="466" t="s">
        <v>413</v>
      </c>
      <c r="F65" s="467"/>
      <c r="G65" s="467"/>
      <c r="H65" s="467"/>
      <c r="I65" s="467"/>
      <c r="J65" s="467"/>
      <c r="K65" s="467"/>
      <c r="L65" s="468"/>
      <c r="M65" s="63"/>
      <c r="N65" s="452" t="s">
        <v>311</v>
      </c>
      <c r="O65" s="451" t="s">
        <v>311</v>
      </c>
    </row>
    <row r="66" spans="1:27" s="50" customFormat="1" ht="15.6">
      <c r="B66" s="666"/>
      <c r="C66" s="666"/>
      <c r="D66" s="439" t="str">
        <f>IF(ROUNDDOWN(D63,0)=$N$4,$P$4,$O$4)</f>
        <v>■レベル　3</v>
      </c>
      <c r="E66" s="466" t="s">
        <v>519</v>
      </c>
      <c r="F66" s="467"/>
      <c r="G66" s="467"/>
      <c r="H66" s="467"/>
      <c r="I66" s="467"/>
      <c r="J66" s="467"/>
      <c r="K66" s="467"/>
      <c r="L66" s="468"/>
      <c r="M66" s="666"/>
      <c r="N66" s="452">
        <v>3</v>
      </c>
      <c r="O66" s="451">
        <v>1</v>
      </c>
    </row>
    <row r="67" spans="1:27" s="50" customFormat="1" ht="15.6">
      <c r="B67" s="666"/>
      <c r="C67" s="666"/>
      <c r="D67" s="439" t="str">
        <f>IF(ROUNDDOWN(D63,0)=$N$5,$P$5,$O$5)</f>
        <v>　レベル　4</v>
      </c>
      <c r="E67" s="469" t="s">
        <v>413</v>
      </c>
      <c r="F67" s="470"/>
      <c r="G67" s="470"/>
      <c r="H67" s="470"/>
      <c r="I67" s="470"/>
      <c r="J67" s="470"/>
      <c r="K67" s="470"/>
      <c r="L67" s="471"/>
      <c r="M67" s="63"/>
      <c r="N67" s="452" t="s">
        <v>311</v>
      </c>
      <c r="O67" s="451" t="s">
        <v>311</v>
      </c>
    </row>
    <row r="68" spans="1:27" s="50" customFormat="1" ht="15.6">
      <c r="B68" s="666"/>
      <c r="C68" s="666"/>
      <c r="D68" s="440" t="str">
        <f>IF(ROUNDDOWN(D63,0)=$N$6,$P$6,$O$6)</f>
        <v>　レベル　5</v>
      </c>
      <c r="E68" s="472" t="s">
        <v>1271</v>
      </c>
      <c r="F68" s="473"/>
      <c r="G68" s="473"/>
      <c r="H68" s="473"/>
      <c r="I68" s="473"/>
      <c r="J68" s="473"/>
      <c r="K68" s="473"/>
      <c r="L68" s="474"/>
      <c r="M68" s="666"/>
      <c r="N68" s="452">
        <v>5</v>
      </c>
      <c r="O68" s="451">
        <v>2</v>
      </c>
    </row>
    <row r="69" spans="1:27" s="50" customFormat="1" ht="15.6">
      <c r="B69" s="666"/>
      <c r="C69" s="666"/>
      <c r="D69" s="441" t="s">
        <v>340</v>
      </c>
      <c r="E69" s="1010"/>
      <c r="F69" s="497"/>
      <c r="G69" s="497"/>
      <c r="H69" s="681"/>
      <c r="I69"/>
      <c r="J69"/>
      <c r="K69"/>
      <c r="L69"/>
      <c r="M69" s="666"/>
      <c r="N69" s="452" t="s">
        <v>311</v>
      </c>
      <c r="O69" s="451"/>
    </row>
    <row r="70" spans="1:27" s="50" customFormat="1" ht="15.6">
      <c r="B70" s="666"/>
      <c r="C70" s="666"/>
      <c r="D70" s="441" t="s">
        <v>383</v>
      </c>
      <c r="E70" s="450"/>
      <c r="F70" s="498"/>
      <c r="G70" s="498"/>
      <c r="H70" s="498"/>
      <c r="I70" s="498"/>
      <c r="J70" s="450"/>
      <c r="K70" s="450"/>
      <c r="L70" s="450"/>
      <c r="M70" s="450"/>
    </row>
    <row r="71" spans="1:27" s="165" customFormat="1" ht="15" thickBot="1">
      <c r="A71" s="97"/>
      <c r="B71" s="97"/>
      <c r="C71" s="51"/>
      <c r="D71" s="175" t="s">
        <v>384</v>
      </c>
      <c r="E71" s="496">
        <f>COUNTIF(E72:E77,$R$3)</f>
        <v>1</v>
      </c>
      <c r="F71" s="1862" t="s">
        <v>828</v>
      </c>
      <c r="G71" s="1864"/>
      <c r="H71" s="1867" t="s">
        <v>829</v>
      </c>
      <c r="I71" s="1863"/>
      <c r="J71" s="1863"/>
      <c r="K71" s="1863"/>
      <c r="L71" s="1864"/>
      <c r="M71" s="450"/>
      <c r="N71"/>
      <c r="O71"/>
      <c r="P71" s="141"/>
      <c r="Q71" s="141"/>
      <c r="R71" s="141"/>
      <c r="S71" s="141"/>
      <c r="T71" s="141"/>
      <c r="U71" s="141"/>
      <c r="V71" s="141"/>
      <c r="W71" s="141"/>
      <c r="X71" s="141"/>
      <c r="Y71" s="141"/>
      <c r="Z71" s="97"/>
      <c r="AA71" s="97"/>
    </row>
    <row r="72" spans="1:27" s="165" customFormat="1" ht="36" customHeight="1">
      <c r="A72" s="97"/>
      <c r="B72" s="97"/>
      <c r="C72" s="51"/>
      <c r="D72" s="442" t="s">
        <v>299</v>
      </c>
      <c r="E72" s="443"/>
      <c r="F72" s="1891" t="s">
        <v>936</v>
      </c>
      <c r="G72" s="1890"/>
      <c r="H72" s="1889" t="s">
        <v>937</v>
      </c>
      <c r="I72" s="1889"/>
      <c r="J72" s="1889"/>
      <c r="K72" s="1889"/>
      <c r="L72" s="1890"/>
      <c r="M72" s="97"/>
      <c r="N72"/>
      <c r="O72"/>
      <c r="P72" s="141"/>
      <c r="Q72" s="141"/>
      <c r="R72" s="141"/>
      <c r="S72" s="141"/>
      <c r="T72" s="141"/>
      <c r="U72" s="141"/>
      <c r="V72" s="141"/>
      <c r="W72" s="141"/>
      <c r="X72" s="141"/>
      <c r="Y72" s="141"/>
      <c r="Z72" s="97"/>
      <c r="AA72" s="97"/>
    </row>
    <row r="73" spans="1:27" s="165" customFormat="1" ht="36" customHeight="1">
      <c r="A73" s="97"/>
      <c r="B73" s="97"/>
      <c r="C73" s="51"/>
      <c r="D73" s="442" t="s">
        <v>300</v>
      </c>
      <c r="E73" s="444"/>
      <c r="F73" s="1891" t="s">
        <v>938</v>
      </c>
      <c r="G73" s="1890"/>
      <c r="H73" s="1889" t="s">
        <v>939</v>
      </c>
      <c r="I73" s="1889"/>
      <c r="J73" s="1889"/>
      <c r="K73" s="1889"/>
      <c r="L73" s="1890"/>
      <c r="M73" s="97"/>
      <c r="N73"/>
      <c r="O73"/>
      <c r="P73" s="141"/>
      <c r="Q73" s="141"/>
      <c r="R73" s="141"/>
      <c r="S73" s="141"/>
      <c r="T73" s="141"/>
      <c r="U73" s="141"/>
      <c r="V73" s="141"/>
      <c r="W73" s="141"/>
      <c r="X73" s="141"/>
      <c r="Y73" s="141"/>
      <c r="Z73" s="97"/>
      <c r="AA73" s="97"/>
    </row>
    <row r="74" spans="1:27" s="165" customFormat="1" ht="44.4" customHeight="1">
      <c r="A74" s="97"/>
      <c r="B74" s="97"/>
      <c r="C74" s="51"/>
      <c r="D74" s="442" t="s">
        <v>301</v>
      </c>
      <c r="E74" s="444"/>
      <c r="F74" s="1891" t="s">
        <v>940</v>
      </c>
      <c r="G74" s="1890"/>
      <c r="H74" s="1889" t="s">
        <v>941</v>
      </c>
      <c r="I74" s="1889"/>
      <c r="J74" s="1889"/>
      <c r="K74" s="1889"/>
      <c r="L74" s="1890"/>
      <c r="M74" s="97"/>
      <c r="N74"/>
      <c r="O74"/>
      <c r="P74" s="141"/>
      <c r="Q74" s="141"/>
      <c r="R74" s="141"/>
      <c r="S74" s="141"/>
      <c r="T74" s="141"/>
      <c r="U74" s="141"/>
      <c r="V74" s="141"/>
      <c r="W74" s="141"/>
      <c r="X74" s="141"/>
      <c r="Y74" s="141"/>
      <c r="Z74" s="97"/>
      <c r="AA74" s="97"/>
    </row>
    <row r="75" spans="1:27" s="165" customFormat="1" ht="36" customHeight="1">
      <c r="A75" s="97"/>
      <c r="B75" s="97"/>
      <c r="C75" s="51"/>
      <c r="D75" s="442" t="s">
        <v>302</v>
      </c>
      <c r="E75" s="444" t="s">
        <v>389</v>
      </c>
      <c r="F75" s="1891" t="s">
        <v>942</v>
      </c>
      <c r="G75" s="1890"/>
      <c r="H75" s="1889" t="s">
        <v>943</v>
      </c>
      <c r="I75" s="1889"/>
      <c r="J75" s="1889"/>
      <c r="K75" s="1889"/>
      <c r="L75" s="1890"/>
      <c r="M75" s="97"/>
      <c r="N75"/>
      <c r="O75"/>
      <c r="P75" s="141"/>
      <c r="Q75" s="141"/>
      <c r="R75" s="141"/>
      <c r="S75" s="141"/>
      <c r="T75" s="141"/>
      <c r="U75" s="141"/>
      <c r="V75" s="141"/>
      <c r="W75" s="141"/>
      <c r="X75" s="141"/>
      <c r="Y75" s="141"/>
      <c r="Z75" s="97"/>
      <c r="AA75" s="97"/>
    </row>
    <row r="76" spans="1:27" s="165" customFormat="1" ht="36" customHeight="1">
      <c r="A76" s="97"/>
      <c r="B76" s="97"/>
      <c r="C76" s="51"/>
      <c r="D76" s="442" t="s">
        <v>303</v>
      </c>
      <c r="E76" s="444"/>
      <c r="F76" s="1891" t="s">
        <v>944</v>
      </c>
      <c r="G76" s="1890"/>
      <c r="H76" s="1889" t="s">
        <v>945</v>
      </c>
      <c r="I76" s="1889"/>
      <c r="J76" s="1889"/>
      <c r="K76" s="1889"/>
      <c r="L76" s="1890"/>
      <c r="M76" s="97"/>
      <c r="N76"/>
      <c r="O76"/>
      <c r="P76" s="141"/>
      <c r="Q76" s="141"/>
      <c r="R76" s="141"/>
      <c r="S76" s="141"/>
      <c r="T76" s="141"/>
      <c r="U76" s="141"/>
      <c r="V76" s="141"/>
      <c r="W76" s="141"/>
      <c r="X76" s="141"/>
      <c r="Y76" s="141"/>
      <c r="Z76" s="97"/>
      <c r="AA76" s="97"/>
    </row>
    <row r="77" spans="1:27" s="165" customFormat="1" ht="36" customHeight="1" thickBot="1">
      <c r="A77" s="97"/>
      <c r="B77" s="97"/>
      <c r="C77" s="51"/>
      <c r="D77" s="442" t="s">
        <v>304</v>
      </c>
      <c r="E77" s="445"/>
      <c r="F77" s="1891" t="s">
        <v>893</v>
      </c>
      <c r="G77" s="1890"/>
      <c r="H77" s="1889" t="s">
        <v>935</v>
      </c>
      <c r="I77" s="1889"/>
      <c r="J77" s="1889"/>
      <c r="K77" s="1889"/>
      <c r="L77" s="1890"/>
      <c r="M77" s="97"/>
      <c r="N77"/>
      <c r="O77"/>
      <c r="P77" s="141"/>
      <c r="Q77" s="141"/>
      <c r="R77" s="141"/>
      <c r="S77" s="141"/>
      <c r="T77" s="141"/>
      <c r="U77" s="141"/>
      <c r="V77" s="141"/>
      <c r="W77" s="141"/>
      <c r="X77" s="141"/>
      <c r="Y77" s="141"/>
      <c r="Z77" s="97"/>
      <c r="AA77" s="97"/>
    </row>
    <row r="78" spans="1:27" customFormat="1"/>
    <row r="79" spans="1:27" customFormat="1"/>
    <row r="80" spans="1:27" customFormat="1"/>
    <row r="81" customFormat="1"/>
  </sheetData>
  <sheetProtection algorithmName="SHA-512" hashValue="/KZYsqfYGVNiVKPycPfpP/tjW3GNmNRnFop1j/F3fWZuvbthSTmgkIrhkoAM9mT6y7SZcJfvUCG1fbhtnYAfKQ==" saltValue="v9rBvSQsIe3DNV3mTLOFYQ==" spinCount="100000" sheet="1" objects="1" formatCells="0"/>
  <mergeCells count="28">
    <mergeCell ref="F77:G77"/>
    <mergeCell ref="H77:L77"/>
    <mergeCell ref="F73:G73"/>
    <mergeCell ref="H73:L73"/>
    <mergeCell ref="F74:G74"/>
    <mergeCell ref="H74:L74"/>
    <mergeCell ref="F75:G75"/>
    <mergeCell ref="H75:L75"/>
    <mergeCell ref="F71:G71"/>
    <mergeCell ref="H71:L71"/>
    <mergeCell ref="F72:G72"/>
    <mergeCell ref="H72:L72"/>
    <mergeCell ref="F76:G76"/>
    <mergeCell ref="H76:L76"/>
    <mergeCell ref="E51:L51"/>
    <mergeCell ref="F60:L60"/>
    <mergeCell ref="F54:G54"/>
    <mergeCell ref="H54:L54"/>
    <mergeCell ref="F55:G55"/>
    <mergeCell ref="H55:L55"/>
    <mergeCell ref="F56:G56"/>
    <mergeCell ref="H56:L56"/>
    <mergeCell ref="F57:G57"/>
    <mergeCell ref="H57:L57"/>
    <mergeCell ref="F58:G58"/>
    <mergeCell ref="H58:L58"/>
    <mergeCell ref="F59:G59"/>
    <mergeCell ref="H59:L59"/>
  </mergeCells>
  <phoneticPr fontId="3"/>
  <conditionalFormatting sqref="D13">
    <cfRule type="expression" dxfId="57" priority="1" stopIfTrue="1">
      <formula>AND(OR(D13&lt;1,D13&gt;5),D13&lt;&gt;0)</formula>
    </cfRule>
  </conditionalFormatting>
  <conditionalFormatting sqref="D22">
    <cfRule type="expression" dxfId="56" priority="5" stopIfTrue="1">
      <formula>AND(OR(D22&lt;1,D22&gt;5),D22&lt;&gt;0)</formula>
    </cfRule>
  </conditionalFormatting>
  <conditionalFormatting sqref="D33">
    <cfRule type="expression" dxfId="55" priority="4" stopIfTrue="1">
      <formula>AND(OR(D33&lt;1,D33&gt;5),D33&lt;&gt;0)</formula>
    </cfRule>
  </conditionalFormatting>
  <conditionalFormatting sqref="D46">
    <cfRule type="expression" dxfId="54" priority="3" stopIfTrue="1">
      <formula>AND(OR(D46&lt;1,D46&gt;5),D46&lt;&gt;0)</formula>
    </cfRule>
  </conditionalFormatting>
  <conditionalFormatting sqref="D63">
    <cfRule type="expression" dxfId="53" priority="2" stopIfTrue="1">
      <formula>AND(OR(D63&lt;1,D63&gt;5),D63&lt;&gt;0)</formula>
    </cfRule>
  </conditionalFormatting>
  <dataValidations count="3">
    <dataValidation type="list" allowBlank="1" showInputMessage="1" showErrorMessage="1" sqref="E72:E77 E55:E60" xr:uid="{00000000-0002-0000-0700-000000000000}">
      <formula1>$R$2:$R$4</formula1>
    </dataValidation>
    <dataValidation type="list" allowBlank="1" showInputMessage="1" sqref="D13 D22 D33" xr:uid="{2E0B0991-05AD-4096-AF9E-0CD0ABD7DAB5}">
      <formula1>N14:N19</formula1>
    </dataValidation>
    <dataValidation allowBlank="1" showInputMessage="1" sqref="D46 D63" xr:uid="{13797E16-70E2-409E-B7D7-BA5860045C9B}"/>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43" max="12" man="1"/>
  </rowBreaks>
  <extLst>
    <ext xmlns:x14="http://schemas.microsoft.com/office/spreadsheetml/2009/9/main" uri="{78C0D931-6437-407d-A8EE-F0AAD7539E65}">
      <x14:conditionalFormattings>
        <x14:conditionalFormatting xmlns:xm="http://schemas.microsoft.com/office/excel/2006/main">
          <x14:cfRule type="expression" priority="23" stopIfTrue="1" id="{E38C67AE-9C8A-4924-94A9-39DC180C375F}">
            <xm:f>採点Q2!$D$263="対象外"</xm:f>
            <x14:dxf>
              <fill>
                <patternFill>
                  <bgColor theme="0" tint="-0.24994659260841701"/>
                </patternFill>
              </fill>
            </x14:dxf>
          </x14:cfRule>
          <xm:sqref>E55:E60</xm:sqref>
        </x14:conditionalFormatting>
        <x14:conditionalFormatting xmlns:xm="http://schemas.microsoft.com/office/excel/2006/main">
          <x14:cfRule type="expression" priority="17" stopIfTrue="1" id="{2008027D-F576-4C56-AB52-6B59D082FA4D}">
            <xm:f>採点Q2!$D$263="対象外"</xm:f>
            <x14:dxf>
              <fill>
                <patternFill>
                  <bgColor theme="0" tint="-0.24994659260841701"/>
                </patternFill>
              </fill>
            </x14:dxf>
          </x14:cfRule>
          <xm:sqref>E72:E77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pageSetUpPr autoPageBreaks="0" fitToPage="1"/>
  </sheetPr>
  <dimension ref="A1:AB172"/>
  <sheetViews>
    <sheetView showGridLines="0" zoomScaleNormal="100" zoomScaleSheetLayoutView="85" workbookViewId="0">
      <selection activeCell="D14" sqref="D14"/>
    </sheetView>
  </sheetViews>
  <sheetFormatPr defaultColWidth="9" defaultRowHeight="13.2"/>
  <cols>
    <col min="1" max="1" width="0.77734375" style="97" customWidth="1"/>
    <col min="2" max="2" width="2" style="97" customWidth="1"/>
    <col min="3" max="3" width="2.88671875" style="97" customWidth="1"/>
    <col min="4" max="4" width="14.21875" style="97" customWidth="1"/>
    <col min="5" max="5" width="11.77734375" style="97" customWidth="1"/>
    <col min="6" max="7" width="9.88671875" style="97" customWidth="1"/>
    <col min="8" max="12" width="10.88671875" style="97" customWidth="1"/>
    <col min="13" max="13" width="1.77734375" style="97" customWidth="1"/>
    <col min="14" max="14" width="7.44140625" style="165" hidden="1" customWidth="1"/>
    <col min="15" max="15" width="11" style="165" hidden="1" customWidth="1"/>
    <col min="16" max="16" width="11.6640625" style="165" hidden="1" customWidth="1"/>
    <col min="17" max="17" width="6.77734375" style="165" hidden="1" customWidth="1"/>
    <col min="18" max="19" width="7.44140625" style="165" hidden="1" customWidth="1"/>
    <col min="20" max="20" width="6.77734375" style="165" customWidth="1"/>
    <col min="21" max="21" width="5.88671875" style="165" customWidth="1"/>
    <col min="22" max="26" width="8.88671875" style="165" customWidth="1"/>
    <col min="27" max="16384" width="9" style="97"/>
  </cols>
  <sheetData>
    <row r="1" spans="1:27" customFormat="1">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97" t="s">
        <v>1248</v>
      </c>
    </row>
    <row r="6" spans="1:27" customFormat="1" ht="13.8" hidden="1">
      <c r="N6" s="451">
        <v>5</v>
      </c>
      <c r="O6" s="451" t="s">
        <v>329</v>
      </c>
      <c r="P6" s="451" t="s">
        <v>330</v>
      </c>
      <c r="R6" s="97" t="s">
        <v>1249</v>
      </c>
    </row>
    <row r="7" spans="1:27" customFormat="1" hidden="1">
      <c r="G7" s="97"/>
    </row>
    <row r="8" spans="1:27" customFormat="1" hidden="1"/>
    <row r="9" spans="1:27" s="8" customFormat="1" ht="18" thickBot="1">
      <c r="A9" s="672"/>
      <c r="B9" s="667" t="s">
        <v>1210</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1" customFormat="1" ht="15.6">
      <c r="B12" s="668" t="s">
        <v>566</v>
      </c>
      <c r="C12" s="668"/>
      <c r="D12" s="674"/>
      <c r="H12" s="679"/>
      <c r="I12" s="97"/>
      <c r="J12" s="97"/>
      <c r="K12" s="97"/>
      <c r="L12" s="97"/>
      <c r="M12" s="97"/>
    </row>
    <row r="13" spans="1:27" s="51" customFormat="1" ht="16.2" thickBot="1">
      <c r="C13" s="668" t="s">
        <v>567</v>
      </c>
      <c r="D13" s="164"/>
      <c r="E13" s="666"/>
      <c r="F13" s="677"/>
      <c r="G13" s="677"/>
      <c r="H13" s="677"/>
      <c r="I13" s="462"/>
      <c r="J13" s="666"/>
      <c r="K13" s="666"/>
      <c r="L13" s="678"/>
      <c r="M13" s="666"/>
      <c r="N13" s="63"/>
      <c r="O13" s="63"/>
      <c r="P13" s="50"/>
    </row>
    <row r="14" spans="1:27" s="50" customFormat="1" ht="16.2" thickBot="1">
      <c r="B14" s="666"/>
      <c r="C14" s="666"/>
      <c r="D14" s="740">
        <v>3</v>
      </c>
      <c r="E14" s="456" t="s">
        <v>1227</v>
      </c>
      <c r="F14" s="456"/>
      <c r="G14" s="456"/>
      <c r="H14" s="456"/>
      <c r="I14" s="456"/>
      <c r="J14" s="456"/>
      <c r="K14" s="456"/>
      <c r="L14" s="457"/>
      <c r="M14" s="63"/>
      <c r="N14" s="451" t="s">
        <v>335</v>
      </c>
      <c r="O14" s="451" t="s">
        <v>336</v>
      </c>
    </row>
    <row r="15" spans="1:27" s="50" customFormat="1" ht="15.6">
      <c r="B15" s="666"/>
      <c r="C15" s="666"/>
      <c r="D15" s="438" t="str">
        <f>IF(ROUNDDOWN(D14,0)=$N$2,$P$2,$O$2)</f>
        <v>　レベル　1</v>
      </c>
      <c r="E15" s="463" t="s">
        <v>568</v>
      </c>
      <c r="F15" s="503"/>
      <c r="G15" s="503"/>
      <c r="H15" s="503"/>
      <c r="I15" s="503"/>
      <c r="J15" s="503"/>
      <c r="K15" s="503"/>
      <c r="L15" s="510"/>
      <c r="M15" s="666"/>
      <c r="N15" s="452">
        <v>1</v>
      </c>
      <c r="O15" s="455"/>
    </row>
    <row r="16" spans="1:27" s="50" customFormat="1" ht="15.6">
      <c r="B16" s="666"/>
      <c r="C16" s="666"/>
      <c r="D16" s="439" t="str">
        <f>IF(ROUNDDOWN(D14,0)=$N$3,$P$3,$O$3)</f>
        <v>　レベル　2</v>
      </c>
      <c r="E16" s="466" t="s">
        <v>413</v>
      </c>
      <c r="F16" s="504"/>
      <c r="G16" s="504"/>
      <c r="H16" s="504"/>
      <c r="I16" s="504"/>
      <c r="J16" s="504"/>
      <c r="K16" s="504"/>
      <c r="L16" s="511"/>
      <c r="M16" s="63"/>
      <c r="N16" s="452" t="s">
        <v>311</v>
      </c>
      <c r="O16" s="455"/>
    </row>
    <row r="17" spans="1:15" s="50" customFormat="1" ht="15.6">
      <c r="B17" s="666"/>
      <c r="C17" s="666"/>
      <c r="D17" s="439" t="str">
        <f>IF(ROUNDDOWN(D14,0)=$N$4,$P$4,$O$4)</f>
        <v>■レベル　3</v>
      </c>
      <c r="E17" s="728" t="s">
        <v>1238</v>
      </c>
      <c r="F17" s="504"/>
      <c r="G17" s="504"/>
      <c r="H17" s="504"/>
      <c r="I17" s="504"/>
      <c r="J17" s="504"/>
      <c r="K17" s="504"/>
      <c r="L17" s="511"/>
      <c r="M17" s="666"/>
      <c r="N17" s="452">
        <v>3</v>
      </c>
      <c r="O17" s="455"/>
    </row>
    <row r="18" spans="1:15" s="50" customFormat="1" ht="15.6">
      <c r="B18" s="666"/>
      <c r="C18" s="666"/>
      <c r="D18" s="439" t="str">
        <f>IF(ROUNDDOWN(D14,0)=$N$5,$P$5,$O$5)</f>
        <v>　レベル　4</v>
      </c>
      <c r="E18" s="469" t="s">
        <v>1239</v>
      </c>
      <c r="F18" s="505"/>
      <c r="G18" s="505"/>
      <c r="H18" s="505"/>
      <c r="I18" s="505"/>
      <c r="J18" s="505"/>
      <c r="K18" s="505"/>
      <c r="L18" s="512"/>
      <c r="M18" s="63"/>
      <c r="N18" s="452">
        <v>4</v>
      </c>
      <c r="O18" s="455"/>
    </row>
    <row r="19" spans="1:15" s="50" customFormat="1" ht="15.6">
      <c r="B19" s="666"/>
      <c r="C19" s="666"/>
      <c r="D19" s="440" t="str">
        <f>IF(ROUNDDOWN(D14,0)=$N$6,$P$6,$O$6)</f>
        <v>　レベル　5</v>
      </c>
      <c r="E19" s="472" t="s">
        <v>1240</v>
      </c>
      <c r="F19" s="483"/>
      <c r="G19" s="483"/>
      <c r="H19" s="483"/>
      <c r="I19" s="483"/>
      <c r="J19" s="483"/>
      <c r="K19" s="483"/>
      <c r="L19" s="513"/>
      <c r="M19" s="666"/>
      <c r="N19" s="452">
        <v>5</v>
      </c>
      <c r="O19" s="455"/>
    </row>
    <row r="20" spans="1:15" s="50" customFormat="1" ht="15.6">
      <c r="B20" s="666"/>
      <c r="C20" s="666"/>
      <c r="D20" s="441" t="s">
        <v>340</v>
      </c>
      <c r="E20" s="1010"/>
      <c r="F20" s="497"/>
      <c r="G20" s="497"/>
      <c r="H20" s="681"/>
      <c r="I20"/>
      <c r="J20"/>
      <c r="K20"/>
      <c r="L20"/>
      <c r="M20" s="63"/>
      <c r="N20" s="452" t="s">
        <v>311</v>
      </c>
      <c r="O20" s="455"/>
    </row>
    <row r="21" spans="1:15" customFormat="1"/>
    <row r="22" spans="1:15" s="50" customFormat="1" ht="16.2" thickBot="1">
      <c r="A22" s="666"/>
      <c r="C22" s="670" t="s">
        <v>569</v>
      </c>
      <c r="D22" s="164"/>
      <c r="E22" s="666"/>
      <c r="F22" s="677"/>
      <c r="G22" s="677"/>
      <c r="H22" s="677"/>
      <c r="I22" s="462"/>
      <c r="J22" s="666"/>
      <c r="K22" s="666"/>
      <c r="L22" s="678"/>
      <c r="M22" s="666"/>
      <c r="N22" s="63"/>
      <c r="O22" s="63"/>
    </row>
    <row r="23" spans="1:15" s="50" customFormat="1" ht="16.2" thickBot="1">
      <c r="B23" s="666"/>
      <c r="C23" s="666"/>
      <c r="D23" s="740">
        <v>3</v>
      </c>
      <c r="E23" s="456" t="s">
        <v>1227</v>
      </c>
      <c r="F23" s="456"/>
      <c r="G23" s="456"/>
      <c r="H23" s="456"/>
      <c r="I23" s="456"/>
      <c r="J23" s="456"/>
      <c r="K23" s="456"/>
      <c r="L23" s="457"/>
      <c r="M23" s="63"/>
      <c r="N23" s="451" t="s">
        <v>335</v>
      </c>
      <c r="O23" s="451" t="s">
        <v>336</v>
      </c>
    </row>
    <row r="24" spans="1:15" s="50" customFormat="1" ht="15.6">
      <c r="B24" s="666"/>
      <c r="C24" s="666"/>
      <c r="D24" s="438" t="str">
        <f>IF(ROUNDDOWN(D23,0)=$N$2,$P$2,$O$2)</f>
        <v>　レベル　1</v>
      </c>
      <c r="E24" s="463" t="s">
        <v>570</v>
      </c>
      <c r="F24" s="503"/>
      <c r="G24" s="503"/>
      <c r="H24" s="503"/>
      <c r="I24" s="503"/>
      <c r="J24" s="503"/>
      <c r="K24" s="503"/>
      <c r="L24" s="510"/>
      <c r="M24" s="666"/>
      <c r="N24" s="452">
        <v>1</v>
      </c>
      <c r="O24" s="455"/>
    </row>
    <row r="25" spans="1:15" s="50" customFormat="1" ht="15.6">
      <c r="B25" s="666"/>
      <c r="C25" s="666"/>
      <c r="D25" s="439" t="str">
        <f>IF(ROUNDDOWN(D23,0)=$N$3,$P$3,$O$3)</f>
        <v>　レベル　2</v>
      </c>
      <c r="E25" s="466" t="s">
        <v>571</v>
      </c>
      <c r="F25" s="504"/>
      <c r="G25" s="504"/>
      <c r="H25" s="504"/>
      <c r="I25" s="504"/>
      <c r="J25" s="504"/>
      <c r="K25" s="504"/>
      <c r="L25" s="511"/>
      <c r="M25" s="63"/>
      <c r="N25" s="452">
        <v>2</v>
      </c>
      <c r="O25" s="455"/>
    </row>
    <row r="26" spans="1:15" s="50" customFormat="1" ht="15.6">
      <c r="B26" s="666"/>
      <c r="C26" s="666"/>
      <c r="D26" s="439" t="str">
        <f>IF(ROUNDDOWN(D23,0)=$N$4,$P$4,$O$4)</f>
        <v>■レベル　3</v>
      </c>
      <c r="E26" s="466" t="s">
        <v>572</v>
      </c>
      <c r="F26" s="504"/>
      <c r="G26" s="504"/>
      <c r="H26" s="504"/>
      <c r="I26" s="504"/>
      <c r="J26" s="504"/>
      <c r="K26" s="504"/>
      <c r="L26" s="511"/>
      <c r="M26" s="666"/>
      <c r="N26" s="452">
        <v>3</v>
      </c>
      <c r="O26" s="455"/>
    </row>
    <row r="27" spans="1:15" s="50" customFormat="1" ht="15.6">
      <c r="B27" s="666"/>
      <c r="C27" s="666"/>
      <c r="D27" s="439" t="str">
        <f>IF(ROUNDDOWN(D23,0)=$N$5,$P$5,$O$5)</f>
        <v>　レベル　4</v>
      </c>
      <c r="E27" s="469" t="s">
        <v>1088</v>
      </c>
      <c r="F27" s="505"/>
      <c r="G27" s="505"/>
      <c r="H27" s="505"/>
      <c r="I27" s="505"/>
      <c r="J27" s="505"/>
      <c r="K27" s="505"/>
      <c r="L27" s="512"/>
      <c r="M27" s="63"/>
      <c r="N27" s="452">
        <v>4</v>
      </c>
      <c r="O27" s="455"/>
    </row>
    <row r="28" spans="1:15" s="50" customFormat="1" ht="15.6">
      <c r="B28" s="666"/>
      <c r="C28" s="666"/>
      <c r="D28" s="440" t="str">
        <f>IF(ROUNDDOWN(D23,0)=$N$6,$P$6,$O$6)</f>
        <v>　レベル　5</v>
      </c>
      <c r="E28" s="472" t="s">
        <v>573</v>
      </c>
      <c r="F28" s="483"/>
      <c r="G28" s="483"/>
      <c r="H28" s="483"/>
      <c r="I28" s="483"/>
      <c r="J28" s="483"/>
      <c r="K28" s="483"/>
      <c r="L28" s="513"/>
      <c r="M28" s="666"/>
      <c r="N28" s="452">
        <v>5</v>
      </c>
      <c r="O28" s="455"/>
    </row>
    <row r="29" spans="1:15" s="50" customFormat="1" ht="15.6">
      <c r="B29" s="666"/>
      <c r="C29" s="666"/>
      <c r="D29" s="441" t="s">
        <v>340</v>
      </c>
      <c r="E29" s="1010"/>
      <c r="F29" s="497"/>
      <c r="G29" s="497"/>
      <c r="H29" s="681"/>
      <c r="I29"/>
      <c r="J29"/>
      <c r="K29"/>
      <c r="L29"/>
      <c r="M29" s="63"/>
      <c r="N29" s="452" t="s">
        <v>311</v>
      </c>
      <c r="O29" s="455"/>
    </row>
    <row r="30" spans="1:15" customFormat="1"/>
    <row r="31" spans="1:15" s="51" customFormat="1" ht="15.6">
      <c r="B31" s="668" t="s">
        <v>574</v>
      </c>
      <c r="C31" s="668"/>
      <c r="D31" s="674"/>
      <c r="H31" s="679"/>
      <c r="I31" s="97"/>
      <c r="J31" s="97"/>
      <c r="K31" s="97"/>
      <c r="L31" s="97"/>
      <c r="M31" s="97"/>
    </row>
    <row r="32" spans="1:15" s="51" customFormat="1" ht="15.6">
      <c r="C32" s="668" t="s">
        <v>575</v>
      </c>
      <c r="D32" s="674"/>
      <c r="H32" s="679"/>
      <c r="I32" s="97"/>
      <c r="J32" s="97"/>
      <c r="K32" s="97"/>
      <c r="L32" s="97"/>
      <c r="M32" s="97"/>
    </row>
    <row r="33" spans="1:25" s="50" customFormat="1" ht="15.6">
      <c r="A33" s="666"/>
      <c r="B33" s="164"/>
      <c r="C33" s="670"/>
      <c r="D33" s="164" t="s">
        <v>764</v>
      </c>
      <c r="E33" s="450"/>
      <c r="F33" s="498"/>
      <c r="G33" s="498"/>
      <c r="H33" s="498"/>
      <c r="I33" s="462"/>
      <c r="J33" s="450"/>
      <c r="K33" s="450"/>
      <c r="L33" s="450"/>
      <c r="M33" s="666"/>
      <c r="N33" s="97"/>
    </row>
    <row r="34" spans="1:25" s="50" customFormat="1" ht="16.2" thickBot="1">
      <c r="A34" s="666"/>
      <c r="B34" s="164"/>
      <c r="C34" s="670"/>
      <c r="D34" s="1212" t="s">
        <v>1215</v>
      </c>
      <c r="E34" s="1209" t="s">
        <v>1227</v>
      </c>
      <c r="F34" s="1209"/>
      <c r="G34" s="1209"/>
      <c r="H34" s="1209"/>
      <c r="I34" s="1219" t="s">
        <v>557</v>
      </c>
      <c r="J34" s="1209"/>
      <c r="K34" s="1209">
        <f>メイン!C23</f>
        <v>0</v>
      </c>
      <c r="L34" s="1210" t="s">
        <v>16</v>
      </c>
      <c r="M34" s="450"/>
      <c r="N34" s="450"/>
      <c r="O34" s="63"/>
    </row>
    <row r="35" spans="1:25" customFormat="1" ht="24" customHeight="1" thickBot="1">
      <c r="D35" s="1239">
        <f>D53*K53/100+E35*K34/100</f>
        <v>3</v>
      </c>
      <c r="E35" s="1239">
        <f>IF(F42=R6,L51,IF(E44&gt;=O40,N40,IF(E44&gt;=O39,N39,IF(E44&gt;=O38,N38,IF(E44&gt;=O37,N37,N36)))))</f>
        <v>1</v>
      </c>
      <c r="F35" s="1221" t="s">
        <v>1247</v>
      </c>
      <c r="G35" s="1220"/>
      <c r="H35" s="456"/>
      <c r="I35" s="1222" t="s">
        <v>1253</v>
      </c>
      <c r="J35" s="507"/>
      <c r="K35" s="507"/>
      <c r="L35" s="1223"/>
      <c r="M35" s="63"/>
      <c r="N35" s="451" t="s">
        <v>335</v>
      </c>
      <c r="O35" s="451" t="s">
        <v>336</v>
      </c>
    </row>
    <row r="36" spans="1:25" s="50" customFormat="1" ht="27" customHeight="1">
      <c r="B36" s="666"/>
      <c r="C36" s="666"/>
      <c r="D36" s="1211" t="str">
        <f>IF(ROUNDDOWN(D35,0)=$N$2,$P$2,$O$2)</f>
        <v>　レベル　1</v>
      </c>
      <c r="E36" s="438" t="str">
        <f>IF(ROUNDDOWN(E35,0)=$N$2,$P$2,$O$2)</f>
        <v>■レベル　1</v>
      </c>
      <c r="F36" s="1910" t="s">
        <v>593</v>
      </c>
      <c r="G36" s="1911"/>
      <c r="H36" s="1912"/>
      <c r="I36" s="463" t="s">
        <v>1242</v>
      </c>
      <c r="J36" s="503"/>
      <c r="K36" s="503"/>
      <c r="L36" s="510"/>
      <c r="M36" s="666"/>
      <c r="N36" s="452">
        <v>1</v>
      </c>
      <c r="O36" s="451">
        <v>0</v>
      </c>
    </row>
    <row r="37" spans="1:25" s="50" customFormat="1" ht="27" customHeight="1">
      <c r="B37" s="666"/>
      <c r="C37" s="666"/>
      <c r="D37" s="439" t="str">
        <f>IF(ROUNDDOWN(D35,0)=$N$3,$P$3,$O$3)</f>
        <v>　レベル　2</v>
      </c>
      <c r="E37" s="439" t="str">
        <f>IF(ROUNDDOWN(E35,0)=$N$3,$P$3,$O$3)</f>
        <v>　レベル　2</v>
      </c>
      <c r="F37" s="1913" t="s">
        <v>594</v>
      </c>
      <c r="G37" s="1914"/>
      <c r="H37" s="1915"/>
      <c r="I37" s="466" t="s">
        <v>1243</v>
      </c>
      <c r="J37" s="504"/>
      <c r="K37" s="504"/>
      <c r="L37" s="511"/>
      <c r="M37" s="63"/>
      <c r="N37" s="452">
        <v>2</v>
      </c>
      <c r="O37" s="451">
        <v>1</v>
      </c>
    </row>
    <row r="38" spans="1:25" s="50" customFormat="1" ht="27" customHeight="1">
      <c r="B38" s="666"/>
      <c r="C38" s="666"/>
      <c r="D38" s="439" t="str">
        <f>IF(ROUNDDOWN(D35,0)=$N$4,$P$4,$O$4)</f>
        <v>■レベル　3</v>
      </c>
      <c r="E38" s="439" t="str">
        <f>IF(ROUNDDOWN(E35,0)=$N$4,$P$4,$O$4)</f>
        <v>　レベル　3</v>
      </c>
      <c r="F38" s="1913" t="s">
        <v>595</v>
      </c>
      <c r="G38" s="1914"/>
      <c r="H38" s="1915"/>
      <c r="I38" s="1920" t="s">
        <v>1324</v>
      </c>
      <c r="J38" s="1921"/>
      <c r="K38" s="1921"/>
      <c r="L38" s="1922"/>
      <c r="M38" s="666"/>
      <c r="N38" s="452">
        <v>3</v>
      </c>
      <c r="O38" s="451">
        <v>2</v>
      </c>
    </row>
    <row r="39" spans="1:25" s="50" customFormat="1" ht="27" customHeight="1">
      <c r="B39" s="666"/>
      <c r="C39" s="666"/>
      <c r="D39" s="439" t="str">
        <f>IF(ROUNDDOWN(D35,0)=$N$5,$P$5,$O$5)</f>
        <v>　レベル　4</v>
      </c>
      <c r="E39" s="439" t="str">
        <f>IF(ROUNDDOWN(E35,0)=$N$5,$P$5,$O$5)</f>
        <v>　レベル　4</v>
      </c>
      <c r="F39" s="1916" t="s">
        <v>596</v>
      </c>
      <c r="G39" s="1914"/>
      <c r="H39" s="1915"/>
      <c r="I39" s="469" t="s">
        <v>1245</v>
      </c>
      <c r="J39" s="505"/>
      <c r="K39" s="505"/>
      <c r="L39" s="512"/>
      <c r="M39" s="63"/>
      <c r="N39" s="452">
        <v>4</v>
      </c>
      <c r="O39" s="451">
        <v>3</v>
      </c>
    </row>
    <row r="40" spans="1:25" s="50" customFormat="1" ht="27" customHeight="1">
      <c r="B40" s="666"/>
      <c r="C40" s="666"/>
      <c r="D40" s="440" t="str">
        <f>IF(ROUNDDOWN(D35,0)=$N$6,$P$6,$O$6)</f>
        <v>　レベル　5</v>
      </c>
      <c r="E40" s="440" t="str">
        <f>IF(ROUNDDOWN(E35,0)=$N$6,$P$6,$O$6)</f>
        <v>　レベル　5</v>
      </c>
      <c r="F40" s="1917" t="s">
        <v>597</v>
      </c>
      <c r="G40" s="1918"/>
      <c r="H40" s="1919"/>
      <c r="I40" s="472" t="s">
        <v>1246</v>
      </c>
      <c r="J40" s="483"/>
      <c r="K40" s="483"/>
      <c r="L40" s="513"/>
      <c r="M40" s="666"/>
      <c r="N40" s="452">
        <v>5</v>
      </c>
      <c r="O40" s="451">
        <v>4</v>
      </c>
    </row>
    <row r="41" spans="1:25" s="50" customFormat="1" ht="15.6">
      <c r="B41" s="666"/>
      <c r="C41" s="666"/>
      <c r="D41" s="441" t="s">
        <v>340</v>
      </c>
      <c r="E41" s="1010"/>
      <c r="F41" s="497"/>
      <c r="G41" s="497"/>
      <c r="H41" s="681"/>
      <c r="I41" s="498"/>
      <c r="J41" s="450"/>
      <c r="K41" s="450"/>
      <c r="L41" s="450"/>
      <c r="M41" s="450"/>
      <c r="N41" s="454">
        <v>0</v>
      </c>
      <c r="O41" s="451"/>
    </row>
    <row r="42" spans="1:25" s="50" customFormat="1" ht="15.6">
      <c r="B42" s="666"/>
      <c r="C42" s="666"/>
      <c r="D42" s="441"/>
      <c r="E42" s="1230" t="s">
        <v>1250</v>
      </c>
      <c r="F42" s="1231" t="s">
        <v>1248</v>
      </c>
      <c r="H42" s="498"/>
      <c r="I42" s="498"/>
      <c r="J42" s="450"/>
      <c r="K42" s="450"/>
      <c r="L42" s="450"/>
      <c r="M42" s="450"/>
      <c r="N42" s="753"/>
      <c r="O42" s="450"/>
    </row>
    <row r="43" spans="1:25" s="50" customFormat="1" ht="15.6">
      <c r="B43" s="666"/>
      <c r="C43" s="666"/>
      <c r="E43" s="528" t="s">
        <v>1251</v>
      </c>
    </row>
    <row r="44" spans="1:25" s="165" customFormat="1" ht="15" thickBot="1">
      <c r="A44" s="97"/>
      <c r="B44" s="97"/>
      <c r="C44" s="51"/>
      <c r="D44" s="175" t="s">
        <v>384</v>
      </c>
      <c r="E44" s="496">
        <f>COUNTIF(E45:E50,$R$3)</f>
        <v>0</v>
      </c>
      <c r="F44" s="799" t="s">
        <v>828</v>
      </c>
      <c r="G44" s="1228" t="s">
        <v>829</v>
      </c>
      <c r="H44" s="1224"/>
      <c r="I44" s="1224"/>
      <c r="J44" s="1224"/>
      <c r="K44" s="1224"/>
      <c r="L44" s="1225"/>
      <c r="M44" s="450"/>
      <c r="N44"/>
      <c r="O44"/>
      <c r="P44"/>
      <c r="Q44" s="141"/>
      <c r="R44" s="141"/>
      <c r="S44" s="141"/>
      <c r="T44" s="141"/>
      <c r="U44" s="141"/>
      <c r="V44" s="141"/>
      <c r="W44" s="141"/>
      <c r="X44" s="97"/>
      <c r="Y44" s="97"/>
    </row>
    <row r="45" spans="1:25" s="165" customFormat="1" ht="14.4" customHeight="1">
      <c r="A45" s="97"/>
      <c r="B45" s="97"/>
      <c r="C45" s="51"/>
      <c r="D45" s="442" t="s">
        <v>299</v>
      </c>
      <c r="E45" s="443"/>
      <c r="F45" s="732" t="s">
        <v>838</v>
      </c>
      <c r="G45" s="449" t="s">
        <v>946</v>
      </c>
      <c r="H45" s="1226"/>
      <c r="I45" s="1226"/>
      <c r="J45" s="1226"/>
      <c r="K45" s="1226"/>
      <c r="L45" s="1227"/>
      <c r="M45" s="97"/>
      <c r="N45"/>
      <c r="O45"/>
      <c r="P45"/>
      <c r="Q45" s="141"/>
      <c r="R45" s="141"/>
      <c r="S45" s="141"/>
      <c r="T45" s="141"/>
      <c r="U45" s="141"/>
      <c r="V45" s="141"/>
      <c r="W45" s="141"/>
      <c r="X45" s="97"/>
      <c r="Y45" s="97"/>
    </row>
    <row r="46" spans="1:25" s="165" customFormat="1" ht="14.4" customHeight="1">
      <c r="A46" s="97"/>
      <c r="B46" s="97"/>
      <c r="C46" s="51"/>
      <c r="D46" s="442" t="s">
        <v>300</v>
      </c>
      <c r="E46" s="444"/>
      <c r="F46" s="732" t="s">
        <v>840</v>
      </c>
      <c r="G46" s="449" t="s">
        <v>947</v>
      </c>
      <c r="H46" s="1226"/>
      <c r="I46" s="1226"/>
      <c r="J46" s="1226"/>
      <c r="K46" s="1226"/>
      <c r="L46" s="1227"/>
      <c r="M46" s="97"/>
      <c r="N46"/>
      <c r="O46"/>
      <c r="P46"/>
      <c r="Q46" s="141"/>
      <c r="R46" s="141"/>
      <c r="S46" s="141"/>
      <c r="T46" s="141"/>
      <c r="U46" s="141"/>
      <c r="V46" s="141"/>
      <c r="W46" s="141"/>
      <c r="X46" s="97"/>
      <c r="Y46" s="97"/>
    </row>
    <row r="47" spans="1:25" s="165" customFormat="1" ht="14.4" customHeight="1">
      <c r="A47" s="97"/>
      <c r="B47" s="97"/>
      <c r="C47" s="51"/>
      <c r="D47" s="442" t="s">
        <v>301</v>
      </c>
      <c r="E47" s="444"/>
      <c r="F47" s="800" t="s">
        <v>842</v>
      </c>
      <c r="G47" s="449" t="s">
        <v>948</v>
      </c>
      <c r="H47" s="1226"/>
      <c r="I47" s="1226"/>
      <c r="J47" s="1226"/>
      <c r="K47" s="1226"/>
      <c r="L47" s="1227"/>
      <c r="M47" s="97"/>
      <c r="N47"/>
      <c r="O47"/>
      <c r="P47"/>
      <c r="Q47" s="141"/>
      <c r="R47" s="141"/>
      <c r="S47" s="141"/>
      <c r="T47" s="141"/>
      <c r="U47" s="141"/>
      <c r="V47" s="141"/>
      <c r="W47" s="141"/>
      <c r="X47" s="97"/>
      <c r="Y47" s="97"/>
    </row>
    <row r="48" spans="1:25" s="165" customFormat="1" ht="14.4" customHeight="1">
      <c r="A48" s="97"/>
      <c r="B48" s="97"/>
      <c r="C48" s="51"/>
      <c r="D48" s="442" t="s">
        <v>302</v>
      </c>
      <c r="E48" s="444"/>
      <c r="F48" s="800" t="s">
        <v>844</v>
      </c>
      <c r="G48" s="449" t="s">
        <v>949</v>
      </c>
      <c r="H48" s="1226"/>
      <c r="I48" s="1226"/>
      <c r="J48" s="1226"/>
      <c r="K48" s="1226"/>
      <c r="L48" s="1227"/>
      <c r="M48" s="97"/>
      <c r="N48"/>
      <c r="O48"/>
      <c r="P48"/>
      <c r="Q48" s="141"/>
      <c r="R48" s="141"/>
      <c r="S48" s="141"/>
      <c r="T48" s="141"/>
      <c r="U48" s="141"/>
      <c r="V48" s="141"/>
      <c r="W48" s="141"/>
      <c r="X48" s="97"/>
      <c r="Y48" s="97"/>
    </row>
    <row r="49" spans="1:25" s="165" customFormat="1" ht="14.4" customHeight="1">
      <c r="A49" s="97"/>
      <c r="B49" s="97"/>
      <c r="C49" s="51"/>
      <c r="D49" s="442" t="s">
        <v>303</v>
      </c>
      <c r="E49" s="444"/>
      <c r="F49" s="800" t="s">
        <v>864</v>
      </c>
      <c r="G49" s="449" t="s">
        <v>950</v>
      </c>
      <c r="H49" s="1226"/>
      <c r="I49" s="1226"/>
      <c r="J49" s="1226"/>
      <c r="K49" s="1226"/>
      <c r="L49" s="1227"/>
      <c r="M49" s="97"/>
      <c r="N49"/>
      <c r="O49"/>
      <c r="P49"/>
      <c r="Q49" s="141"/>
      <c r="R49" s="141"/>
      <c r="S49" s="141"/>
      <c r="T49" s="141"/>
      <c r="U49" s="141"/>
      <c r="V49" s="141"/>
      <c r="W49" s="141"/>
      <c r="X49" s="97"/>
      <c r="Y49" s="97"/>
    </row>
    <row r="50" spans="1:25" s="165" customFormat="1" ht="15" customHeight="1" thickBot="1">
      <c r="A50" s="97"/>
      <c r="B50" s="97"/>
      <c r="C50" s="51"/>
      <c r="D50" s="442" t="s">
        <v>304</v>
      </c>
      <c r="E50" s="445"/>
      <c r="F50" s="800" t="s">
        <v>866</v>
      </c>
      <c r="G50" s="449" t="s">
        <v>968</v>
      </c>
      <c r="H50" s="1226"/>
      <c r="I50" s="1226"/>
      <c r="J50" s="1226"/>
      <c r="K50" s="1226"/>
      <c r="L50" s="1227"/>
      <c r="M50" s="97"/>
      <c r="N50"/>
      <c r="O50"/>
      <c r="P50"/>
      <c r="Q50" s="141"/>
      <c r="R50" s="141"/>
      <c r="S50" s="141"/>
      <c r="T50" s="141"/>
      <c r="U50" s="141"/>
      <c r="V50" s="141"/>
      <c r="W50" s="141"/>
      <c r="X50" s="97"/>
      <c r="Y50" s="97"/>
    </row>
    <row r="51" spans="1:25" s="165" customFormat="1" ht="15" customHeight="1" thickBot="1">
      <c r="A51" s="97"/>
      <c r="B51" s="97"/>
      <c r="C51" s="51"/>
      <c r="E51" s="528" t="s">
        <v>1252</v>
      </c>
      <c r="I51" s="441" t="s">
        <v>591</v>
      </c>
      <c r="J51" s="506"/>
      <c r="K51" s="441" t="s">
        <v>592</v>
      </c>
      <c r="L51" s="1229">
        <v>3</v>
      </c>
      <c r="M51" s="97"/>
      <c r="N51"/>
      <c r="O51"/>
      <c r="P51"/>
      <c r="Q51" s="141"/>
      <c r="R51" s="141"/>
      <c r="S51" s="141"/>
      <c r="T51" s="141"/>
      <c r="U51" s="141"/>
      <c r="V51" s="141"/>
      <c r="W51" s="141"/>
      <c r="X51" s="97"/>
      <c r="Y51" s="97"/>
    </row>
    <row r="52" spans="1:25" customFormat="1" ht="13.8" thickBot="1"/>
    <row r="53" spans="1:25" s="50" customFormat="1" ht="18.600000000000001" customHeight="1">
      <c r="A53" s="666"/>
      <c r="B53" s="164"/>
      <c r="C53" s="670"/>
      <c r="D53" s="1923">
        <f>IF(SUM(E62:L62)=0,0,SUMPRODUCT(E62:L62,E65:L65)/SUM(E62:L62))</f>
        <v>3</v>
      </c>
      <c r="E53" s="456" t="s">
        <v>1227</v>
      </c>
      <c r="F53" s="456"/>
      <c r="G53" s="456"/>
      <c r="H53" s="456"/>
      <c r="I53" s="507" t="s">
        <v>576</v>
      </c>
      <c r="J53" s="456"/>
      <c r="K53" s="458">
        <f>メイン!D23</f>
        <v>100</v>
      </c>
      <c r="L53" s="755" t="s">
        <v>16</v>
      </c>
      <c r="M53" s="666"/>
      <c r="N53" s="97"/>
    </row>
    <row r="54" spans="1:25" s="50" customFormat="1" ht="18.600000000000001" customHeight="1" thickBot="1">
      <c r="B54" s="666"/>
      <c r="C54" s="666"/>
      <c r="D54" s="1924"/>
      <c r="E54" s="1236" t="s">
        <v>1325</v>
      </c>
      <c r="F54" s="1236"/>
      <c r="G54" s="1236"/>
      <c r="H54" s="1237"/>
      <c r="I54" s="1238" t="s">
        <v>1326</v>
      </c>
      <c r="J54" s="1236"/>
      <c r="K54" s="1236"/>
      <c r="L54" s="1237"/>
      <c r="M54" s="97"/>
      <c r="N54" s="451" t="s">
        <v>335</v>
      </c>
      <c r="O54" s="451" t="s">
        <v>336</v>
      </c>
    </row>
    <row r="55" spans="1:25" s="50" customFormat="1" ht="15.6">
      <c r="B55" s="666"/>
      <c r="C55" s="666"/>
      <c r="D55" s="1211" t="str">
        <f>IF(ROUNDDOWN(D53,0)=$N$2,$P$2,$O$2)</f>
        <v>　レベル　1</v>
      </c>
      <c r="E55" s="463" t="s">
        <v>1242</v>
      </c>
      <c r="F55" s="503"/>
      <c r="G55" s="503"/>
      <c r="H55" s="503"/>
      <c r="I55" s="463" t="s">
        <v>1241</v>
      </c>
      <c r="J55" s="503"/>
      <c r="K55" s="503"/>
      <c r="L55" s="510"/>
      <c r="M55" s="666"/>
      <c r="N55" s="452">
        <v>1</v>
      </c>
      <c r="O55" s="455"/>
    </row>
    <row r="56" spans="1:25" s="50" customFormat="1" ht="30" customHeight="1">
      <c r="B56" s="666"/>
      <c r="C56" s="666"/>
      <c r="D56" s="439" t="str">
        <f>IF(ROUNDDOWN(D53,0)=$N$3,$P$3,$O$3)</f>
        <v>　レベル　2</v>
      </c>
      <c r="E56" s="466" t="s">
        <v>1243</v>
      </c>
      <c r="F56" s="504"/>
      <c r="G56" s="504"/>
      <c r="H56" s="504"/>
      <c r="I56" s="1880" t="s">
        <v>577</v>
      </c>
      <c r="J56" s="1884"/>
      <c r="K56" s="1884"/>
      <c r="L56" s="1885"/>
      <c r="M56" s="97"/>
      <c r="N56" s="452">
        <v>2</v>
      </c>
      <c r="O56" s="455"/>
    </row>
    <row r="57" spans="1:25" s="50" customFormat="1" ht="30" customHeight="1">
      <c r="B57" s="666"/>
      <c r="C57" s="666"/>
      <c r="D57" s="439" t="str">
        <f>IF(ROUNDDOWN(D53,0)=$N$4,$P$4,$O$4)</f>
        <v>■レベル　3</v>
      </c>
      <c r="E57" s="1880" t="s">
        <v>1244</v>
      </c>
      <c r="F57" s="1881"/>
      <c r="G57" s="1881"/>
      <c r="H57" s="1882"/>
      <c r="I57" s="1880" t="s">
        <v>578</v>
      </c>
      <c r="J57" s="1884"/>
      <c r="K57" s="1884"/>
      <c r="L57" s="1885"/>
      <c r="M57" s="666"/>
      <c r="N57" s="452">
        <v>3</v>
      </c>
      <c r="O57" s="455"/>
    </row>
    <row r="58" spans="1:25" s="50" customFormat="1" ht="30" customHeight="1">
      <c r="B58" s="666"/>
      <c r="C58" s="666"/>
      <c r="D58" s="439" t="str">
        <f>IF(ROUNDDOWN(D53,0)=$N$5,$P$5,$O$5)</f>
        <v>　レベル　4</v>
      </c>
      <c r="E58" s="469" t="s">
        <v>1245</v>
      </c>
      <c r="F58" s="505"/>
      <c r="G58" s="505"/>
      <c r="H58" s="505"/>
      <c r="I58" s="1883" t="s">
        <v>579</v>
      </c>
      <c r="J58" s="1884"/>
      <c r="K58" s="1884"/>
      <c r="L58" s="1885"/>
      <c r="M58" s="97"/>
      <c r="N58" s="452">
        <v>4</v>
      </c>
      <c r="O58" s="455"/>
    </row>
    <row r="59" spans="1:25" s="50" customFormat="1" ht="15.6">
      <c r="B59" s="666"/>
      <c r="C59" s="666"/>
      <c r="D59" s="440" t="str">
        <f>IF(ROUNDDOWN(D53,0)=$N$6,$P$6,$O$6)</f>
        <v>　レベル　5</v>
      </c>
      <c r="E59" s="472" t="s">
        <v>1246</v>
      </c>
      <c r="F59" s="483"/>
      <c r="G59" s="483"/>
      <c r="H59" s="483"/>
      <c r="I59" s="472" t="s">
        <v>580</v>
      </c>
      <c r="J59" s="483"/>
      <c r="K59" s="483"/>
      <c r="L59" s="513"/>
      <c r="M59" s="666"/>
      <c r="N59" s="452">
        <v>5</v>
      </c>
      <c r="O59" s="455"/>
    </row>
    <row r="60" spans="1:25" s="50" customFormat="1" ht="15.6">
      <c r="B60" s="666"/>
      <c r="C60" s="666"/>
      <c r="D60" s="528" t="s">
        <v>1218</v>
      </c>
      <c r="I60"/>
      <c r="J60"/>
      <c r="K60"/>
      <c r="L60"/>
      <c r="M60" s="666"/>
      <c r="N60" s="452" t="s">
        <v>311</v>
      </c>
      <c r="O60" s="455"/>
    </row>
    <row r="61" spans="1:25" customFormat="1" ht="21.6">
      <c r="C61" s="686"/>
      <c r="D61" s="502" t="s">
        <v>1330</v>
      </c>
      <c r="E61" s="1257" t="s">
        <v>581</v>
      </c>
      <c r="F61" s="1257" t="s">
        <v>582</v>
      </c>
      <c r="G61" s="1257" t="s">
        <v>583</v>
      </c>
      <c r="H61" s="1257" t="s">
        <v>584</v>
      </c>
      <c r="I61" s="1257" t="s">
        <v>585</v>
      </c>
      <c r="J61" s="1257" t="s">
        <v>586</v>
      </c>
      <c r="K61" s="1257" t="s">
        <v>587</v>
      </c>
      <c r="L61" s="1257" t="s">
        <v>588</v>
      </c>
    </row>
    <row r="62" spans="1:25" customFormat="1" ht="14.4">
      <c r="C62" s="686"/>
      <c r="D62" s="502" t="s">
        <v>589</v>
      </c>
      <c r="E62" s="508">
        <v>3000</v>
      </c>
      <c r="F62" s="508"/>
      <c r="G62" s="508"/>
      <c r="H62" s="508"/>
      <c r="I62" s="508">
        <v>5000</v>
      </c>
      <c r="J62" s="508"/>
      <c r="K62" s="508"/>
      <c r="L62" s="508"/>
    </row>
    <row r="63" spans="1:25" customFormat="1" ht="14.4">
      <c r="C63" s="686"/>
      <c r="D63" s="509" t="s">
        <v>590</v>
      </c>
      <c r="E63" s="506"/>
      <c r="F63" s="506"/>
      <c r="G63" s="506"/>
      <c r="H63" s="506"/>
      <c r="I63" s="506"/>
      <c r="J63" s="506"/>
      <c r="K63" s="506"/>
      <c r="L63" s="506"/>
    </row>
    <row r="64" spans="1:25" customFormat="1" ht="15" thickBot="1">
      <c r="C64" s="686"/>
      <c r="D64" s="509" t="s">
        <v>591</v>
      </c>
      <c r="E64" s="757"/>
      <c r="F64" s="757"/>
      <c r="G64" s="757"/>
      <c r="H64" s="757"/>
      <c r="I64" s="757"/>
      <c r="J64" s="757"/>
      <c r="K64" s="757"/>
      <c r="L64" s="757"/>
    </row>
    <row r="65" spans="1:19" customFormat="1" ht="15" thickBot="1">
      <c r="C65" s="686"/>
      <c r="D65" s="756" t="s">
        <v>592</v>
      </c>
      <c r="E65" s="758">
        <v>3</v>
      </c>
      <c r="F65" s="759"/>
      <c r="G65" s="759"/>
      <c r="H65" s="759"/>
      <c r="I65" s="759">
        <v>3</v>
      </c>
      <c r="J65" s="759"/>
      <c r="K65" s="759"/>
      <c r="L65" s="760"/>
    </row>
    <row r="66" spans="1:19" customFormat="1"/>
    <row r="67" spans="1:19" s="50" customFormat="1" ht="15.6">
      <c r="A67" s="666"/>
      <c r="B67" s="164"/>
      <c r="C67" s="670"/>
      <c r="D67" s="164" t="s">
        <v>598</v>
      </c>
      <c r="E67" s="450"/>
      <c r="F67" s="498"/>
      <c r="G67" s="498"/>
      <c r="H67" s="498"/>
      <c r="I67" s="462"/>
      <c r="J67" s="450"/>
      <c r="K67" s="450"/>
      <c r="L67" s="450"/>
      <c r="M67" s="666"/>
      <c r="N67" s="97"/>
    </row>
    <row r="68" spans="1:19" s="50" customFormat="1" ht="16.2" thickBot="1">
      <c r="A68" s="666"/>
      <c r="B68" s="164"/>
      <c r="C68" s="670"/>
      <c r="D68" s="1212" t="s">
        <v>1216</v>
      </c>
      <c r="E68" s="456" t="s">
        <v>1227</v>
      </c>
      <c r="F68" s="456"/>
      <c r="G68" s="456"/>
      <c r="H68" s="456"/>
      <c r="I68" s="456"/>
      <c r="J68" s="456"/>
      <c r="K68" s="456"/>
      <c r="L68" s="457"/>
      <c r="M68" s="666"/>
      <c r="N68" s="97"/>
    </row>
    <row r="69" spans="1:19" s="50" customFormat="1" ht="16.2" thickBot="1">
      <c r="B69" s="666"/>
      <c r="C69" s="666"/>
      <c r="D69" s="1239">
        <f>E69*G69/100+I69*K69/100</f>
        <v>4</v>
      </c>
      <c r="E69" s="437">
        <v>3</v>
      </c>
      <c r="F69" s="458" t="s">
        <v>557</v>
      </c>
      <c r="G69" s="458">
        <f>メイン!C23</f>
        <v>0</v>
      </c>
      <c r="H69" s="501" t="s">
        <v>16</v>
      </c>
      <c r="I69" s="740">
        <v>4</v>
      </c>
      <c r="J69" s="458" t="s">
        <v>558</v>
      </c>
      <c r="K69" s="458">
        <f>メイン!D23</f>
        <v>100</v>
      </c>
      <c r="L69" s="514" t="s">
        <v>16</v>
      </c>
      <c r="M69" s="97"/>
      <c r="N69" s="451" t="s">
        <v>335</v>
      </c>
      <c r="O69" s="451" t="s">
        <v>336</v>
      </c>
      <c r="R69" s="340" t="s">
        <v>592</v>
      </c>
      <c r="S69" s="340" t="s">
        <v>599</v>
      </c>
    </row>
    <row r="70" spans="1:19" s="50" customFormat="1" ht="15.6">
      <c r="B70" s="666"/>
      <c r="C70" s="666"/>
      <c r="D70" s="438" t="str">
        <f>IF(ROUNDDOWN(D69,0)=$N$2,$P$2,$O$2)</f>
        <v>　レベル　1</v>
      </c>
      <c r="E70" s="438" t="str">
        <f>IF(ROUNDDOWN(E69,0)=$N$2,$P$2,$O$2)</f>
        <v>　レベル　1</v>
      </c>
      <c r="F70" s="463" t="s">
        <v>413</v>
      </c>
      <c r="G70" s="503"/>
      <c r="H70" s="503"/>
      <c r="I70" s="438" t="str">
        <f>IF(ROUNDDOWN(I69,0)=$N$2,$P$2,$O$2)</f>
        <v>　レベル　1</v>
      </c>
      <c r="J70" s="503" t="s">
        <v>413</v>
      </c>
      <c r="K70" s="503"/>
      <c r="L70" s="510"/>
      <c r="M70" s="666"/>
      <c r="N70" s="224" t="s">
        <v>311</v>
      </c>
      <c r="O70" s="688"/>
      <c r="R70" s="224" t="s">
        <v>311</v>
      </c>
      <c r="S70" s="432"/>
    </row>
    <row r="71" spans="1:19" s="50" customFormat="1" ht="15.6">
      <c r="B71" s="666"/>
      <c r="C71" s="666"/>
      <c r="D71" s="439" t="str">
        <f>IF(ROUNDDOWN(D69,0)=$N$3,$P$3,$O$3)</f>
        <v>　レベル　2</v>
      </c>
      <c r="E71" s="439" t="str">
        <f>IF(ROUNDDOWN(E69,0)=$N$3,$P$3,$O$3)</f>
        <v>　レベル　2</v>
      </c>
      <c r="F71" s="466" t="s">
        <v>413</v>
      </c>
      <c r="G71" s="504"/>
      <c r="H71" s="504"/>
      <c r="I71" s="439" t="str">
        <f>IF(ROUNDDOWN(I69,0)=$N$3,$P$3,$O$3)</f>
        <v>　レベル　2</v>
      </c>
      <c r="J71" s="504" t="s">
        <v>600</v>
      </c>
      <c r="K71" s="504"/>
      <c r="L71" s="511"/>
      <c r="M71" s="97"/>
      <c r="N71" s="224" t="s">
        <v>311</v>
      </c>
      <c r="O71" s="688"/>
      <c r="R71" s="224">
        <v>2</v>
      </c>
      <c r="S71" s="432"/>
    </row>
    <row r="72" spans="1:19" s="50" customFormat="1" ht="28.2" customHeight="1">
      <c r="B72" s="666"/>
      <c r="C72" s="666"/>
      <c r="D72" s="439" t="str">
        <f>IF(ROUNDDOWN(D69,0)=$N$4,$P$4,$O$4)</f>
        <v>　レベル　3</v>
      </c>
      <c r="E72" s="439" t="str">
        <f>IF(ROUNDDOWN(E69,0)=$N$4,$P$4,$O$4)</f>
        <v>■レベル　3</v>
      </c>
      <c r="F72" s="466" t="s">
        <v>600</v>
      </c>
      <c r="G72" s="504"/>
      <c r="H72" s="504"/>
      <c r="I72" s="439" t="str">
        <f>IF(ROUNDDOWN(I69,0)=$N$4,$P$4,$O$4)</f>
        <v>　レベル　3</v>
      </c>
      <c r="J72" s="1880" t="s">
        <v>601</v>
      </c>
      <c r="K72" s="1881"/>
      <c r="L72" s="1882"/>
      <c r="M72" s="666"/>
      <c r="N72" s="224">
        <v>3</v>
      </c>
      <c r="O72" s="688"/>
      <c r="R72" s="224">
        <v>3</v>
      </c>
      <c r="S72" s="432"/>
    </row>
    <row r="73" spans="1:19" s="50" customFormat="1" ht="30" customHeight="1">
      <c r="B73" s="666"/>
      <c r="C73" s="666"/>
      <c r="D73" s="439" t="str">
        <f>IF(ROUNDDOWN(D69,0)=$N$5,$P$5,$O$5)</f>
        <v>■レベル　4</v>
      </c>
      <c r="E73" s="439" t="str">
        <f>IF(ROUNDDOWN(E69,0)=$N$5,$P$5,$O$5)</f>
        <v>　レベル　4</v>
      </c>
      <c r="F73" s="1883" t="s">
        <v>601</v>
      </c>
      <c r="G73" s="1908"/>
      <c r="H73" s="1909"/>
      <c r="I73" s="439" t="str">
        <f>IF(ROUNDDOWN(I69,0)=$N$5,$P$5,$O$5)</f>
        <v>■レベル　4</v>
      </c>
      <c r="J73" s="1883" t="s">
        <v>602</v>
      </c>
      <c r="K73" s="1908"/>
      <c r="L73" s="1909"/>
      <c r="M73" s="97"/>
      <c r="N73" s="224">
        <v>4</v>
      </c>
      <c r="O73" s="688"/>
      <c r="R73" s="224">
        <v>4</v>
      </c>
      <c r="S73" s="432"/>
    </row>
    <row r="74" spans="1:19" s="50" customFormat="1" ht="31.2" customHeight="1">
      <c r="B74" s="666"/>
      <c r="C74" s="666"/>
      <c r="D74" s="440" t="str">
        <f>IF(ROUNDDOWN(D69,0)=$N$6,$P$6,$O$6)</f>
        <v>　レベル　5</v>
      </c>
      <c r="E74" s="440" t="str">
        <f>IF(ROUNDDOWN(E69,0)=$N$6,$P$6,$O$6)</f>
        <v>　レベル　5</v>
      </c>
      <c r="F74" s="1844" t="s">
        <v>602</v>
      </c>
      <c r="G74" s="1845"/>
      <c r="H74" s="1846"/>
      <c r="I74" s="440" t="str">
        <f>IF(ROUNDDOWN(I69,0)=$N$6,$P$6,$O$6)</f>
        <v>　レベル　5</v>
      </c>
      <c r="J74" s="1844" t="s">
        <v>603</v>
      </c>
      <c r="K74" s="1845"/>
      <c r="L74" s="1846"/>
      <c r="M74" s="666"/>
      <c r="N74" s="224">
        <v>5</v>
      </c>
      <c r="O74" s="688"/>
      <c r="R74" s="224">
        <v>5</v>
      </c>
      <c r="S74" s="432"/>
    </row>
    <row r="75" spans="1:19" s="50" customFormat="1" ht="15.6">
      <c r="B75" s="666"/>
      <c r="C75" s="666"/>
      <c r="D75" s="441" t="s">
        <v>340</v>
      </c>
      <c r="E75" s="1010"/>
      <c r="F75" s="497"/>
      <c r="G75" s="497"/>
      <c r="H75" s="681"/>
      <c r="I75"/>
      <c r="J75"/>
      <c r="K75"/>
      <c r="L75"/>
      <c r="M75" s="63"/>
      <c r="N75" s="224" t="s">
        <v>311</v>
      </c>
      <c r="O75" s="455"/>
      <c r="R75" s="224" t="s">
        <v>311</v>
      </c>
      <c r="S75" s="455"/>
    </row>
    <row r="76" spans="1:19" customFormat="1"/>
    <row r="77" spans="1:19" s="50" customFormat="1" ht="15.6">
      <c r="A77" s="666"/>
      <c r="B77" s="164"/>
      <c r="C77" s="670"/>
      <c r="D77" s="164" t="s">
        <v>604</v>
      </c>
      <c r="E77" s="450"/>
      <c r="F77" s="498"/>
      <c r="G77" s="498"/>
      <c r="H77" s="498"/>
      <c r="I77" s="462"/>
      <c r="J77" s="450"/>
      <c r="K77" s="450"/>
      <c r="L77" s="450"/>
      <c r="M77" s="666"/>
      <c r="N77" s="97"/>
    </row>
    <row r="78" spans="1:19" s="50" customFormat="1" ht="16.2" thickBot="1">
      <c r="A78" s="666"/>
      <c r="B78" s="164"/>
      <c r="C78" s="670"/>
      <c r="D78" s="1212" t="s">
        <v>1216</v>
      </c>
      <c r="E78" s="456" t="s">
        <v>1227</v>
      </c>
      <c r="F78" s="456"/>
      <c r="G78" s="456"/>
      <c r="H78" s="456"/>
      <c r="I78" s="456"/>
      <c r="J78" s="456"/>
      <c r="K78" s="456"/>
      <c r="L78" s="457"/>
      <c r="M78" s="666"/>
      <c r="N78" s="97"/>
    </row>
    <row r="79" spans="1:19" s="50" customFormat="1" ht="16.2" thickBot="1">
      <c r="B79" s="666"/>
      <c r="C79" s="666"/>
      <c r="D79" s="1239">
        <f>E79*G79/100+I79*K79/100</f>
        <v>3</v>
      </c>
      <c r="E79" s="437">
        <v>3</v>
      </c>
      <c r="F79" s="458" t="s">
        <v>557</v>
      </c>
      <c r="G79" s="458">
        <f>メイン!C23</f>
        <v>0</v>
      </c>
      <c r="H79" s="501" t="s">
        <v>16</v>
      </c>
      <c r="I79" s="437">
        <v>3</v>
      </c>
      <c r="J79" s="458" t="s">
        <v>558</v>
      </c>
      <c r="K79" s="456">
        <f>メイン!D23</f>
        <v>100</v>
      </c>
      <c r="L79" s="514" t="s">
        <v>16</v>
      </c>
      <c r="M79" s="97"/>
      <c r="N79" s="451" t="s">
        <v>335</v>
      </c>
      <c r="O79" s="451" t="s">
        <v>336</v>
      </c>
      <c r="R79" s="340" t="s">
        <v>592</v>
      </c>
      <c r="S79" s="340" t="s">
        <v>599</v>
      </c>
    </row>
    <row r="80" spans="1:19" s="50" customFormat="1" ht="15.6">
      <c r="B80" s="666"/>
      <c r="C80" s="666"/>
      <c r="D80" s="438" t="str">
        <f>IF(ROUNDDOWN(D79,0)=$N$2,$P$2,$O$2)</f>
        <v>　レベル　1</v>
      </c>
      <c r="E80" s="438" t="str">
        <f>IF(ROUNDDOWN(E79,0)=$N$2,$P$2,$O$2)</f>
        <v>　レベル　1</v>
      </c>
      <c r="F80" s="463" t="s">
        <v>413</v>
      </c>
      <c r="G80" s="503"/>
      <c r="H80" s="503"/>
      <c r="I80" s="438" t="str">
        <f>IF(ROUNDDOWN(I79,0)=$N$2,$P$2,$O$2)</f>
        <v>　レベル　1</v>
      </c>
      <c r="J80" s="503" t="s">
        <v>413</v>
      </c>
      <c r="K80" s="503"/>
      <c r="L80" s="510"/>
      <c r="M80" s="666"/>
      <c r="N80" s="452" t="s">
        <v>311</v>
      </c>
      <c r="O80" s="455"/>
      <c r="R80" s="224" t="s">
        <v>311</v>
      </c>
      <c r="S80" s="432"/>
    </row>
    <row r="81" spans="1:19" s="50" customFormat="1" ht="15.6">
      <c r="B81" s="666"/>
      <c r="C81" s="666"/>
      <c r="D81" s="439" t="str">
        <f>IF(ROUNDDOWN(D79,0)=$N$3,$P$3,$O$3)</f>
        <v>　レベル　2</v>
      </c>
      <c r="E81" s="439" t="str">
        <f>IF(ROUNDDOWN(E79,0)=$N$3,$P$3,$O$3)</f>
        <v>　レベル　2</v>
      </c>
      <c r="F81" s="466" t="s">
        <v>413</v>
      </c>
      <c r="G81" s="504"/>
      <c r="H81" s="504"/>
      <c r="I81" s="439" t="str">
        <f>IF(ROUNDDOWN(I79,0)=$N$3,$P$3,$O$3)</f>
        <v>　レベル　2</v>
      </c>
      <c r="J81" s="504" t="s">
        <v>605</v>
      </c>
      <c r="K81" s="504"/>
      <c r="L81" s="511"/>
      <c r="M81" s="97"/>
      <c r="N81" s="452" t="s">
        <v>311</v>
      </c>
      <c r="O81" s="455"/>
      <c r="R81" s="224">
        <v>2</v>
      </c>
      <c r="S81" s="432"/>
    </row>
    <row r="82" spans="1:19" s="50" customFormat="1" ht="15.6">
      <c r="B82" s="666"/>
      <c r="C82" s="666"/>
      <c r="D82" s="439" t="str">
        <f>IF(ROUNDDOWN(D79,0)=$N$4,$P$4,$O$4)</f>
        <v>■レベル　3</v>
      </c>
      <c r="E82" s="439" t="str">
        <f>IF(ROUNDDOWN(E79,0)=$N$4,$P$4,$O$4)</f>
        <v>■レベル　3</v>
      </c>
      <c r="F82" s="466" t="s">
        <v>605</v>
      </c>
      <c r="G82" s="504"/>
      <c r="H82" s="504"/>
      <c r="I82" s="439" t="str">
        <f>IF(ROUNDDOWN(I79,0)=$N$4,$P$4,$O$4)</f>
        <v>■レベル　3</v>
      </c>
      <c r="J82" s="504" t="s">
        <v>606</v>
      </c>
      <c r="K82" s="504"/>
      <c r="L82" s="511"/>
      <c r="M82" s="666"/>
      <c r="N82" s="452">
        <v>3</v>
      </c>
      <c r="O82" s="455"/>
      <c r="R82" s="224">
        <v>3</v>
      </c>
      <c r="S82" s="432"/>
    </row>
    <row r="83" spans="1:19" s="50" customFormat="1" ht="32.4" customHeight="1">
      <c r="B83" s="666"/>
      <c r="C83" s="666"/>
      <c r="D83" s="439" t="str">
        <f>IF(ROUNDDOWN(D79,0)=$N$5,$P$5,$O$5)</f>
        <v>　レベル　4</v>
      </c>
      <c r="E83" s="439" t="str">
        <f>IF(ROUNDDOWN(E79,0)=$N$5,$P$5,$O$5)</f>
        <v>　レベル　4</v>
      </c>
      <c r="F83" s="469" t="s">
        <v>606</v>
      </c>
      <c r="G83" s="505"/>
      <c r="H83" s="505"/>
      <c r="I83" s="439" t="str">
        <f>IF(ROUNDDOWN(I79,0)=$N$5,$P$5,$O$5)</f>
        <v>　レベル　4</v>
      </c>
      <c r="J83" s="1883" t="s">
        <v>607</v>
      </c>
      <c r="K83" s="1908"/>
      <c r="L83" s="1909"/>
      <c r="M83" s="97"/>
      <c r="N83" s="452">
        <v>4</v>
      </c>
      <c r="O83" s="455"/>
      <c r="R83" s="224">
        <v>4</v>
      </c>
      <c r="S83" s="432"/>
    </row>
    <row r="84" spans="1:19" s="50" customFormat="1" ht="25.2" customHeight="1">
      <c r="B84" s="666"/>
      <c r="C84" s="666"/>
      <c r="D84" s="440" t="str">
        <f>IF(ROUNDDOWN(D79,0)=$N$6,$P$6,$O$6)</f>
        <v>　レベル　5</v>
      </c>
      <c r="E84" s="440" t="str">
        <f>IF(ROUNDDOWN(E79,0)=$N$6,$P$6,$O$6)</f>
        <v>　レベル　5</v>
      </c>
      <c r="F84" s="1844" t="s">
        <v>607</v>
      </c>
      <c r="G84" s="1845"/>
      <c r="H84" s="1846"/>
      <c r="I84" s="440" t="str">
        <f>IF(ROUNDDOWN(I79,0)=$N$6,$P$6,$O$6)</f>
        <v>　レベル　5</v>
      </c>
      <c r="J84" s="1844" t="s">
        <v>608</v>
      </c>
      <c r="K84" s="1845"/>
      <c r="L84" s="1846"/>
      <c r="M84" s="666"/>
      <c r="N84" s="452">
        <v>5</v>
      </c>
      <c r="O84" s="455"/>
      <c r="R84" s="224">
        <v>5</v>
      </c>
      <c r="S84" s="432"/>
    </row>
    <row r="85" spans="1:19" s="50" customFormat="1" ht="15.6">
      <c r="B85" s="666"/>
      <c r="C85" s="666"/>
      <c r="D85" s="441" t="s">
        <v>340</v>
      </c>
      <c r="E85" s="1010"/>
      <c r="F85" s="497"/>
      <c r="G85" s="497"/>
      <c r="H85" s="681"/>
      <c r="I85"/>
      <c r="J85"/>
      <c r="K85"/>
      <c r="L85"/>
      <c r="M85" s="63"/>
      <c r="N85" s="224" t="s">
        <v>311</v>
      </c>
      <c r="O85" s="455"/>
      <c r="R85" s="224" t="s">
        <v>311</v>
      </c>
      <c r="S85" s="455"/>
    </row>
    <row r="86" spans="1:19" customFormat="1"/>
    <row r="87" spans="1:19" s="50" customFormat="1" ht="15.6">
      <c r="C87" s="668" t="s">
        <v>609</v>
      </c>
      <c r="E87" s="51"/>
      <c r="F87" s="51"/>
      <c r="G87" s="51"/>
      <c r="H87" s="684"/>
      <c r="I87" s="684"/>
      <c r="M87" s="97"/>
    </row>
    <row r="88" spans="1:19" s="50" customFormat="1" ht="16.2" thickBot="1">
      <c r="A88" s="666"/>
      <c r="B88" s="164"/>
      <c r="C88" s="670"/>
      <c r="D88" s="164" t="s">
        <v>610</v>
      </c>
      <c r="E88" s="666"/>
      <c r="F88" s="677"/>
      <c r="G88" s="677"/>
      <c r="H88" s="677"/>
      <c r="I88" s="462"/>
      <c r="J88" s="666"/>
      <c r="K88" s="666"/>
      <c r="L88" s="678"/>
      <c r="M88" s="666"/>
      <c r="N88" s="63"/>
      <c r="O88" s="63"/>
    </row>
    <row r="89" spans="1:19" s="50" customFormat="1" ht="16.2" thickBot="1">
      <c r="B89" s="666"/>
      <c r="C89" s="666"/>
      <c r="D89" s="437">
        <v>3</v>
      </c>
      <c r="E89" s="456" t="s">
        <v>1227</v>
      </c>
      <c r="F89" s="456"/>
      <c r="G89" s="456"/>
      <c r="H89" s="456"/>
      <c r="I89" s="456"/>
      <c r="J89" s="456"/>
      <c r="K89" s="456"/>
      <c r="L89" s="457"/>
      <c r="M89" s="63"/>
      <c r="N89" s="451" t="s">
        <v>335</v>
      </c>
      <c r="O89" s="451" t="s">
        <v>336</v>
      </c>
    </row>
    <row r="90" spans="1:19" s="50" customFormat="1" ht="15.6">
      <c r="B90" s="666"/>
      <c r="C90" s="666"/>
      <c r="D90" s="438" t="str">
        <f>IF(ROUNDDOWN(D89,0)=$N$2,$P$2,$O$2)</f>
        <v>　レベル　1</v>
      </c>
      <c r="E90" s="463" t="s">
        <v>611</v>
      </c>
      <c r="F90" s="503"/>
      <c r="G90" s="503"/>
      <c r="H90" s="503"/>
      <c r="I90" s="503"/>
      <c r="J90" s="503"/>
      <c r="K90" s="503"/>
      <c r="L90" s="510"/>
      <c r="M90" s="666"/>
      <c r="N90" s="452">
        <v>1</v>
      </c>
      <c r="O90" s="455"/>
    </row>
    <row r="91" spans="1:19" s="50" customFormat="1" ht="15.6">
      <c r="B91" s="666"/>
      <c r="C91" s="666"/>
      <c r="D91" s="439" t="str">
        <f>IF(ROUNDDOWN(D89,0)=$N$3,$P$3,$O$3)</f>
        <v>　レベル　2</v>
      </c>
      <c r="E91" s="466" t="s">
        <v>413</v>
      </c>
      <c r="F91" s="504"/>
      <c r="G91" s="504"/>
      <c r="H91" s="504"/>
      <c r="I91" s="504"/>
      <c r="J91" s="504"/>
      <c r="K91" s="504"/>
      <c r="L91" s="511"/>
      <c r="M91" s="63"/>
      <c r="N91" s="452" t="s">
        <v>311</v>
      </c>
      <c r="O91" s="455"/>
    </row>
    <row r="92" spans="1:19" s="50" customFormat="1" ht="15.6">
      <c r="B92" s="666"/>
      <c r="C92" s="666"/>
      <c r="D92" s="439" t="str">
        <f>IF(ROUNDDOWN(D89,0)=$N$4,$P$4,$O$4)</f>
        <v>■レベル　3</v>
      </c>
      <c r="E92" s="1232" t="s">
        <v>1327</v>
      </c>
      <c r="F92" s="504"/>
      <c r="G92" s="504"/>
      <c r="H92" s="504"/>
      <c r="I92" s="504"/>
      <c r="J92" s="504"/>
      <c r="K92" s="504"/>
      <c r="L92" s="511"/>
      <c r="M92" s="666"/>
      <c r="N92" s="452">
        <v>3</v>
      </c>
      <c r="O92" s="455"/>
    </row>
    <row r="93" spans="1:19" s="50" customFormat="1" ht="15.6">
      <c r="B93" s="666"/>
      <c r="C93" s="666"/>
      <c r="D93" s="439" t="str">
        <f>IF(ROUNDDOWN(D89,0)=$N$5,$P$5,$O$5)</f>
        <v>　レベル　4</v>
      </c>
      <c r="E93" s="469" t="s">
        <v>612</v>
      </c>
      <c r="F93" s="505"/>
      <c r="G93" s="505"/>
      <c r="H93" s="505"/>
      <c r="I93" s="505"/>
      <c r="J93" s="505"/>
      <c r="K93" s="505"/>
      <c r="L93" s="512"/>
      <c r="M93" s="63"/>
      <c r="N93" s="452">
        <v>4</v>
      </c>
      <c r="O93" s="455"/>
    </row>
    <row r="94" spans="1:19" s="50" customFormat="1" ht="15.6">
      <c r="B94" s="666"/>
      <c r="C94" s="666"/>
      <c r="D94" s="440" t="str">
        <f>IF(ROUNDDOWN(D89,0)=$N$6,$P$6,$O$6)</f>
        <v>　レベル　5</v>
      </c>
      <c r="E94" s="472" t="s">
        <v>613</v>
      </c>
      <c r="F94" s="483"/>
      <c r="G94" s="483"/>
      <c r="H94" s="483"/>
      <c r="I94" s="483"/>
      <c r="J94" s="483"/>
      <c r="K94" s="483"/>
      <c r="L94" s="513"/>
      <c r="M94" s="666"/>
      <c r="N94" s="452">
        <v>5</v>
      </c>
      <c r="O94" s="455"/>
    </row>
    <row r="95" spans="1:19" s="50" customFormat="1" ht="15.6">
      <c r="B95" s="666"/>
      <c r="C95" s="666"/>
      <c r="D95" s="441" t="s">
        <v>340</v>
      </c>
      <c r="E95" s="1010"/>
      <c r="F95" s="497"/>
      <c r="G95" s="497"/>
      <c r="H95" s="681"/>
      <c r="I95"/>
      <c r="J95"/>
      <c r="K95"/>
      <c r="L95"/>
      <c r="M95" s="63"/>
      <c r="N95" s="224" t="s">
        <v>311</v>
      </c>
      <c r="O95" s="455"/>
    </row>
    <row r="96" spans="1:19" customFormat="1"/>
    <row r="97" spans="1:19" s="50" customFormat="1" ht="15.6">
      <c r="A97" s="666"/>
      <c r="B97" s="164"/>
      <c r="C97" s="670"/>
      <c r="D97" s="164" t="s">
        <v>766</v>
      </c>
      <c r="E97" s="666"/>
      <c r="F97" s="666"/>
      <c r="G97" s="666"/>
      <c r="H97" s="666"/>
      <c r="I97" s="666"/>
      <c r="J97" s="666"/>
      <c r="K97" s="666"/>
      <c r="L97" s="741" t="s">
        <v>765</v>
      </c>
      <c r="M97" s="666"/>
      <c r="N97" s="97"/>
    </row>
    <row r="98" spans="1:19" s="50" customFormat="1" ht="16.2" thickBot="1">
      <c r="A98" s="666"/>
      <c r="B98" s="164"/>
      <c r="C98" s="670"/>
      <c r="D98" s="1212" t="s">
        <v>1216</v>
      </c>
      <c r="E98" s="706" t="s">
        <v>1227</v>
      </c>
      <c r="F98" s="706"/>
      <c r="G98" s="706"/>
      <c r="H98" s="706"/>
      <c r="I98" s="706"/>
      <c r="J98" s="706"/>
      <c r="K98" s="706"/>
      <c r="L98" s="707"/>
      <c r="M98" s="666"/>
      <c r="N98" s="63"/>
      <c r="O98" s="63"/>
    </row>
    <row r="99" spans="1:19" s="50" customFormat="1" ht="41.4" customHeight="1" thickBot="1">
      <c r="B99" s="666"/>
      <c r="C99" s="666"/>
      <c r="D99" s="1239">
        <f>IF((H99+L99)=0,0,(E99*H99+I99*L99)/(H99+L99))</f>
        <v>3</v>
      </c>
      <c r="E99" s="437">
        <v>3</v>
      </c>
      <c r="F99" s="1925" t="s">
        <v>1217</v>
      </c>
      <c r="G99" s="1926"/>
      <c r="H99" s="1213">
        <f>IF(E99=0,0,IF(G107+K107=0,0,G107/(G107+K107)))</f>
        <v>0.5</v>
      </c>
      <c r="I99" s="437">
        <v>3</v>
      </c>
      <c r="J99" s="1925" t="s">
        <v>951</v>
      </c>
      <c r="K99" s="1926"/>
      <c r="L99" s="754">
        <f>IF(I99=0,0,IF(G107+K107=0,0,K107/(G107+K107)))</f>
        <v>0.5</v>
      </c>
      <c r="M99" s="63"/>
      <c r="N99" s="451" t="s">
        <v>335</v>
      </c>
      <c r="O99" s="451" t="s">
        <v>336</v>
      </c>
      <c r="R99" s="340" t="s">
        <v>592</v>
      </c>
      <c r="S99" s="340" t="s">
        <v>599</v>
      </c>
    </row>
    <row r="100" spans="1:19" s="50" customFormat="1" ht="15.6">
      <c r="B100" s="666"/>
      <c r="C100" s="666"/>
      <c r="D100" s="438" t="str">
        <f>IF(ROUNDDOWN(D99,0)=$N$2,$P$2,$O$2)</f>
        <v>　レベル　1</v>
      </c>
      <c r="E100" s="708" t="str">
        <f>IF(ROUNDDOWN(E99,0)=$N$2,$P$2,$O$2)</f>
        <v>　レベル　1</v>
      </c>
      <c r="F100" s="463" t="s">
        <v>413</v>
      </c>
      <c r="G100" s="503"/>
      <c r="H100" s="503"/>
      <c r="I100" s="438" t="str">
        <f>IF(ROUNDDOWN(I99,0)=$N$2,$P$2,$O$2)</f>
        <v>　レベル　1</v>
      </c>
      <c r="J100" s="463" t="s">
        <v>614</v>
      </c>
      <c r="K100" s="503"/>
      <c r="L100" s="510"/>
      <c r="M100" s="666"/>
      <c r="N100" s="452" t="s">
        <v>311</v>
      </c>
      <c r="O100" s="455"/>
      <c r="R100" s="224">
        <v>1</v>
      </c>
      <c r="S100" s="432"/>
    </row>
    <row r="101" spans="1:19" s="50" customFormat="1" ht="15.6">
      <c r="B101" s="666"/>
      <c r="C101" s="666"/>
      <c r="D101" s="439" t="str">
        <f>IF(ROUNDDOWN(D99,0)=$N$3,$P$3,$O$3)</f>
        <v>　レベル　2</v>
      </c>
      <c r="E101" s="709" t="str">
        <f>IF(ROUNDDOWN(E99,0)=$N$3,$P$3,$O$3)</f>
        <v>　レベル　2</v>
      </c>
      <c r="F101" s="466" t="s">
        <v>413</v>
      </c>
      <c r="G101" s="504"/>
      <c r="H101" s="504"/>
      <c r="I101" s="439" t="str">
        <f>IF(ROUNDDOWN(I99,0)=$N$3,$P$3,$O$3)</f>
        <v>　レベル　2</v>
      </c>
      <c r="J101" s="466" t="s">
        <v>413</v>
      </c>
      <c r="K101" s="504"/>
      <c r="L101" s="511"/>
      <c r="M101" s="63"/>
      <c r="N101" s="452" t="s">
        <v>311</v>
      </c>
      <c r="O101" s="455"/>
      <c r="R101" s="452" t="s">
        <v>311</v>
      </c>
      <c r="S101" s="432"/>
    </row>
    <row r="102" spans="1:19" s="50" customFormat="1" ht="27" customHeight="1">
      <c r="B102" s="666"/>
      <c r="C102" s="666"/>
      <c r="D102" s="439" t="str">
        <f>IF(ROUNDDOWN(D99,0)=$N$4,$P$4,$O$4)</f>
        <v>■レベル　3</v>
      </c>
      <c r="E102" s="709" t="str">
        <f>IF(ROUNDDOWN(E99,0)=$N$4,$P$4,$O$4)</f>
        <v>■レベル　3</v>
      </c>
      <c r="F102" s="1880" t="s">
        <v>615</v>
      </c>
      <c r="G102" s="1881"/>
      <c r="H102" s="1882"/>
      <c r="I102" s="439" t="str">
        <f>IF(ROUNDDOWN(I99,0)=$N$4,$P$4,$O$4)</f>
        <v>■レベル　3</v>
      </c>
      <c r="J102" s="466" t="s">
        <v>616</v>
      </c>
      <c r="K102" s="504"/>
      <c r="L102" s="511"/>
      <c r="M102" s="666"/>
      <c r="N102" s="452">
        <v>3</v>
      </c>
      <c r="O102" s="455"/>
      <c r="R102" s="224">
        <v>3</v>
      </c>
      <c r="S102" s="432"/>
    </row>
    <row r="103" spans="1:19" s="50" customFormat="1" ht="15.6">
      <c r="B103" s="666"/>
      <c r="C103" s="666"/>
      <c r="D103" s="439" t="str">
        <f>IF(ROUNDDOWN(D99,0)=$N$5,$P$5,$O$5)</f>
        <v>　レベル　4</v>
      </c>
      <c r="E103" s="709" t="str">
        <f>IF(ROUNDDOWN(E99,0)=$N$5,$P$5,$O$5)</f>
        <v>　レベル　4</v>
      </c>
      <c r="F103" s="469" t="s">
        <v>413</v>
      </c>
      <c r="G103" s="505"/>
      <c r="H103" s="505"/>
      <c r="I103" s="439" t="str">
        <f>IF(ROUNDDOWN(I99,0)=$N$5,$P$5,$O$5)</f>
        <v>　レベル　4</v>
      </c>
      <c r="J103" s="469" t="s">
        <v>617</v>
      </c>
      <c r="K103" s="505"/>
      <c r="L103" s="512"/>
      <c r="M103" s="63"/>
      <c r="N103" s="452" t="s">
        <v>311</v>
      </c>
      <c r="O103" s="455"/>
      <c r="R103" s="224">
        <v>4</v>
      </c>
      <c r="S103" s="432"/>
    </row>
    <row r="104" spans="1:19" s="50" customFormat="1" ht="39.6" customHeight="1">
      <c r="B104" s="666"/>
      <c r="C104" s="666"/>
      <c r="D104" s="440" t="str">
        <f>IF(ROUNDDOWN(D99,0)=$N$6,$P$6,$O$6)</f>
        <v>　レベル　5</v>
      </c>
      <c r="E104" s="710" t="str">
        <f>IF(ROUNDDOWN(E99,0)=$N$6,$P$6,$O$6)</f>
        <v>　レベル　5</v>
      </c>
      <c r="F104" s="1844" t="s">
        <v>618</v>
      </c>
      <c r="G104" s="1845"/>
      <c r="H104" s="1846"/>
      <c r="I104" s="440" t="str">
        <f>IF(ROUNDDOWN(I99,0)=$N$6,$P$6,$O$6)</f>
        <v>　レベル　5</v>
      </c>
      <c r="J104" s="472" t="s">
        <v>619</v>
      </c>
      <c r="K104" s="483"/>
      <c r="L104" s="513"/>
      <c r="M104" s="666"/>
      <c r="N104" s="452">
        <v>5</v>
      </c>
      <c r="O104" s="455"/>
      <c r="R104" s="224">
        <v>5</v>
      </c>
      <c r="S104" s="432"/>
    </row>
    <row r="105" spans="1:19" s="50" customFormat="1" ht="15.6">
      <c r="B105" s="666"/>
      <c r="C105" s="666"/>
      <c r="D105" s="441" t="s">
        <v>340</v>
      </c>
      <c r="E105" s="1010"/>
      <c r="F105" s="497"/>
      <c r="G105" s="497"/>
      <c r="H105" s="681"/>
      <c r="I105" s="751" t="s">
        <v>713</v>
      </c>
      <c r="J105"/>
      <c r="K105"/>
      <c r="L105"/>
      <c r="M105" s="63"/>
      <c r="N105" s="454">
        <v>0</v>
      </c>
      <c r="O105" s="455"/>
      <c r="R105" s="454">
        <v>0</v>
      </c>
      <c r="S105" s="455"/>
    </row>
    <row r="106" spans="1:19" s="50" customFormat="1" ht="15.6">
      <c r="B106" s="666"/>
      <c r="C106" s="666"/>
      <c r="D106" s="441"/>
      <c r="E106" s="528" t="s">
        <v>952</v>
      </c>
      <c r="F106" s="441"/>
      <c r="G106" s="441"/>
      <c r="H106" s="441"/>
      <c r="J106" s="528" t="s">
        <v>953</v>
      </c>
      <c r="K106" s="441"/>
      <c r="M106" s="63"/>
      <c r="N106" s="753"/>
      <c r="O106" s="63"/>
    </row>
    <row r="107" spans="1:19" s="50" customFormat="1" ht="15.6">
      <c r="B107" s="666"/>
      <c r="C107" s="666"/>
      <c r="F107" s="441"/>
      <c r="G107" s="506">
        <v>1</v>
      </c>
      <c r="H107" s="528" t="s">
        <v>34</v>
      </c>
      <c r="J107" s="441"/>
      <c r="K107" s="506">
        <v>1</v>
      </c>
      <c r="L107" s="528" t="s">
        <v>34</v>
      </c>
      <c r="M107" s="63"/>
      <c r="N107" s="753"/>
      <c r="O107" s="63"/>
    </row>
    <row r="108" spans="1:19" customFormat="1"/>
    <row r="109" spans="1:19" s="50" customFormat="1" ht="15.6">
      <c r="B109" s="687" t="s">
        <v>620</v>
      </c>
      <c r="C109" s="687"/>
      <c r="E109" s="51"/>
      <c r="F109" s="51"/>
      <c r="G109" s="51"/>
      <c r="H109" s="684"/>
      <c r="I109" s="684"/>
      <c r="M109" s="97"/>
    </row>
    <row r="110" spans="1:19" s="50" customFormat="1" ht="15.6">
      <c r="A110" s="666"/>
      <c r="C110" s="670" t="s">
        <v>621</v>
      </c>
      <c r="D110" s="164"/>
      <c r="E110" s="666"/>
      <c r="F110" s="666"/>
      <c r="G110" s="666"/>
      <c r="H110" s="666"/>
      <c r="I110" s="666"/>
      <c r="J110" s="666"/>
      <c r="K110" s="666"/>
      <c r="L110" s="175"/>
      <c r="M110" s="666"/>
      <c r="N110" s="97"/>
    </row>
    <row r="111" spans="1:19" s="50" customFormat="1" ht="16.2" thickBot="1">
      <c r="A111" s="666"/>
      <c r="B111" s="164"/>
      <c r="C111" s="670"/>
      <c r="D111" s="164" t="s">
        <v>622</v>
      </c>
      <c r="E111" s="666"/>
      <c r="F111" s="677"/>
      <c r="G111" s="677"/>
      <c r="H111" s="677"/>
      <c r="I111" s="462"/>
      <c r="J111" s="666"/>
      <c r="K111" s="666"/>
      <c r="L111" s="678"/>
      <c r="M111" s="666"/>
      <c r="N111" s="63"/>
      <c r="O111" s="63"/>
    </row>
    <row r="112" spans="1:19" s="50" customFormat="1" ht="16.2" thickBot="1">
      <c r="B112" s="666"/>
      <c r="C112" s="666"/>
      <c r="D112" s="437">
        <v>3</v>
      </c>
      <c r="E112" s="456" t="s">
        <v>1227</v>
      </c>
      <c r="F112" s="456"/>
      <c r="G112" s="456"/>
      <c r="H112" s="456"/>
      <c r="I112" s="456"/>
      <c r="J112" s="456"/>
      <c r="K112" s="456"/>
      <c r="L112" s="457"/>
      <c r="M112" s="63"/>
      <c r="N112" s="451" t="s">
        <v>335</v>
      </c>
      <c r="O112" s="451" t="s">
        <v>336</v>
      </c>
    </row>
    <row r="113" spans="1:15" s="50" customFormat="1" ht="15.6">
      <c r="B113" s="666"/>
      <c r="C113" s="666"/>
      <c r="D113" s="438" t="str">
        <f>IF(ROUNDDOWN(D112,0)=$N$2,$P$2,$O$2)</f>
        <v>　レベル　1</v>
      </c>
      <c r="E113" s="463" t="s">
        <v>413</v>
      </c>
      <c r="F113" s="503"/>
      <c r="G113" s="503"/>
      <c r="H113" s="503"/>
      <c r="I113" s="503"/>
      <c r="J113" s="503"/>
      <c r="K113" s="503"/>
      <c r="L113" s="510"/>
      <c r="M113" s="666"/>
      <c r="N113" s="452" t="s">
        <v>311</v>
      </c>
      <c r="O113" s="455"/>
    </row>
    <row r="114" spans="1:15" s="50" customFormat="1" ht="15.6">
      <c r="B114" s="666"/>
      <c r="C114" s="666"/>
      <c r="D114" s="439" t="str">
        <f>IF(ROUNDDOWN(D112,0)=$N$3,$P$3,$O$3)</f>
        <v>　レベル　2</v>
      </c>
      <c r="E114" s="466" t="s">
        <v>623</v>
      </c>
      <c r="F114" s="504"/>
      <c r="G114" s="504"/>
      <c r="H114" s="504"/>
      <c r="I114" s="504"/>
      <c r="J114" s="504"/>
      <c r="K114" s="504"/>
      <c r="L114" s="511"/>
      <c r="M114" s="63"/>
      <c r="N114" s="452">
        <v>2</v>
      </c>
      <c r="O114" s="455"/>
    </row>
    <row r="115" spans="1:15" s="50" customFormat="1" ht="15.6">
      <c r="B115" s="666"/>
      <c r="C115" s="666"/>
      <c r="D115" s="439" t="str">
        <f>IF(ROUNDDOWN(D112,0)=$N$4,$P$4,$O$4)</f>
        <v>■レベル　3</v>
      </c>
      <c r="E115" s="466" t="s">
        <v>1254</v>
      </c>
      <c r="F115" s="504"/>
      <c r="G115" s="504"/>
      <c r="H115" s="504"/>
      <c r="I115" s="504"/>
      <c r="J115" s="504"/>
      <c r="K115" s="504"/>
      <c r="L115" s="511"/>
      <c r="M115" s="666"/>
      <c r="N115" s="452">
        <v>3</v>
      </c>
      <c r="O115" s="455"/>
    </row>
    <row r="116" spans="1:15" s="50" customFormat="1" ht="15.6">
      <c r="B116" s="666"/>
      <c r="C116" s="666"/>
      <c r="D116" s="439" t="str">
        <f>IF(ROUNDDOWN(D112,0)=$N$5,$P$5,$O$5)</f>
        <v>　レベル　4</v>
      </c>
      <c r="E116" s="1233" t="s">
        <v>1272</v>
      </c>
      <c r="F116" s="505"/>
      <c r="G116" s="505"/>
      <c r="H116" s="505"/>
      <c r="I116" s="505"/>
      <c r="J116" s="505"/>
      <c r="K116" s="505"/>
      <c r="L116" s="512"/>
      <c r="M116" s="63"/>
      <c r="N116" s="452">
        <v>4</v>
      </c>
      <c r="O116" s="455"/>
    </row>
    <row r="117" spans="1:15" s="50" customFormat="1" ht="15.6">
      <c r="B117" s="666"/>
      <c r="C117" s="666"/>
      <c r="D117" s="440" t="str">
        <f>IF(ROUNDDOWN(D112,0)=$N$6,$P$6,$O$6)</f>
        <v>　レベル　5</v>
      </c>
      <c r="E117" s="472" t="s">
        <v>1255</v>
      </c>
      <c r="F117" s="483"/>
      <c r="G117" s="483"/>
      <c r="H117" s="483"/>
      <c r="I117" s="483"/>
      <c r="J117" s="483"/>
      <c r="K117" s="483"/>
      <c r="L117" s="513"/>
      <c r="M117" s="666"/>
      <c r="N117" s="452">
        <v>5</v>
      </c>
      <c r="O117" s="455"/>
    </row>
    <row r="118" spans="1:15" s="50" customFormat="1" ht="15.6">
      <c r="B118" s="666"/>
      <c r="C118" s="666"/>
      <c r="D118" s="441" t="s">
        <v>340</v>
      </c>
      <c r="E118" s="1010"/>
      <c r="F118" s="497"/>
      <c r="G118" s="497"/>
      <c r="H118" s="681"/>
      <c r="I118"/>
      <c r="J118"/>
      <c r="K118"/>
      <c r="L118"/>
      <c r="M118" s="63"/>
      <c r="N118" s="452" t="s">
        <v>311</v>
      </c>
      <c r="O118" s="455"/>
    </row>
    <row r="119" spans="1:15" customFormat="1"/>
    <row r="120" spans="1:15" s="50" customFormat="1" ht="16.2" thickBot="1">
      <c r="A120" s="666"/>
      <c r="B120" s="164"/>
      <c r="C120" s="670"/>
      <c r="D120" s="164" t="s">
        <v>624</v>
      </c>
      <c r="E120" s="666"/>
      <c r="F120" s="677"/>
      <c r="G120" s="677"/>
      <c r="H120" s="677"/>
      <c r="I120" s="462"/>
      <c r="J120" s="666"/>
      <c r="K120" s="666"/>
      <c r="L120" s="678"/>
      <c r="M120" s="666"/>
      <c r="N120" s="63"/>
      <c r="O120" s="63"/>
    </row>
    <row r="121" spans="1:15" s="50" customFormat="1" ht="16.2" thickBot="1">
      <c r="B121" s="666"/>
      <c r="C121" s="666"/>
      <c r="D121" s="437">
        <v>3</v>
      </c>
      <c r="E121" s="456" t="s">
        <v>1227</v>
      </c>
      <c r="F121" s="456"/>
      <c r="G121" s="456"/>
      <c r="H121" s="456"/>
      <c r="I121" s="456"/>
      <c r="J121" s="456"/>
      <c r="K121" s="456"/>
      <c r="L121" s="457"/>
      <c r="M121" s="63"/>
      <c r="N121" s="451" t="s">
        <v>335</v>
      </c>
      <c r="O121" s="451" t="s">
        <v>336</v>
      </c>
    </row>
    <row r="122" spans="1:15" s="50" customFormat="1" ht="15.6">
      <c r="B122" s="666"/>
      <c r="C122" s="666"/>
      <c r="D122" s="438" t="str">
        <f>IF(ROUNDDOWN(D121,0)=$N$2,$P$2,$O$2)</f>
        <v>　レベル　1</v>
      </c>
      <c r="E122" s="463" t="s">
        <v>623</v>
      </c>
      <c r="F122" s="503"/>
      <c r="G122" s="503"/>
      <c r="H122" s="503"/>
      <c r="I122" s="503"/>
      <c r="J122" s="503"/>
      <c r="K122" s="503"/>
      <c r="L122" s="510"/>
      <c r="M122" s="666"/>
      <c r="N122" s="452">
        <v>1</v>
      </c>
      <c r="O122" s="455"/>
    </row>
    <row r="123" spans="1:15" s="50" customFormat="1" ht="15.6">
      <c r="B123" s="666"/>
      <c r="C123" s="666"/>
      <c r="D123" s="439" t="str">
        <f>IF(ROUNDDOWN(D121,0)=$N$3,$P$3,$O$3)</f>
        <v>　レベル　2</v>
      </c>
      <c r="E123" s="466" t="s">
        <v>413</v>
      </c>
      <c r="F123" s="504"/>
      <c r="G123" s="504"/>
      <c r="H123" s="504"/>
      <c r="I123" s="504"/>
      <c r="J123" s="504"/>
      <c r="K123" s="504"/>
      <c r="L123" s="511"/>
      <c r="M123" s="63"/>
      <c r="N123" s="452" t="s">
        <v>311</v>
      </c>
      <c r="O123" s="455"/>
    </row>
    <row r="124" spans="1:15" s="50" customFormat="1" ht="15.6">
      <c r="B124" s="666"/>
      <c r="C124" s="666"/>
      <c r="D124" s="439" t="str">
        <f>IF(ROUNDDOWN(D121,0)=$N$4,$P$4,$O$4)</f>
        <v>■レベル　3</v>
      </c>
      <c r="E124" s="1232" t="s">
        <v>1328</v>
      </c>
      <c r="F124" s="504"/>
      <c r="G124" s="504"/>
      <c r="H124" s="504"/>
      <c r="I124" s="504"/>
      <c r="J124" s="504"/>
      <c r="K124" s="504"/>
      <c r="L124" s="511"/>
      <c r="M124" s="666"/>
      <c r="N124" s="452">
        <v>3</v>
      </c>
      <c r="O124" s="455"/>
    </row>
    <row r="125" spans="1:15" s="50" customFormat="1" ht="15.6">
      <c r="B125" s="666"/>
      <c r="C125" s="666"/>
      <c r="D125" s="439" t="str">
        <f>IF(ROUNDDOWN(D121,0)=$N$5,$P$5,$O$5)</f>
        <v>　レベル　4</v>
      </c>
      <c r="E125" s="469" t="s">
        <v>625</v>
      </c>
      <c r="F125" s="505"/>
      <c r="G125" s="505"/>
      <c r="H125" s="505"/>
      <c r="I125" s="505"/>
      <c r="J125" s="505"/>
      <c r="K125" s="505"/>
      <c r="L125" s="512"/>
      <c r="M125" s="63"/>
      <c r="N125" s="452">
        <v>4</v>
      </c>
      <c r="O125" s="455"/>
    </row>
    <row r="126" spans="1:15" s="50" customFormat="1" ht="15.6">
      <c r="B126" s="666"/>
      <c r="C126" s="666"/>
      <c r="D126" s="440" t="str">
        <f>IF(ROUNDDOWN(D121,0)=$N$6,$P$6,$O$6)</f>
        <v>　レベル　5</v>
      </c>
      <c r="E126" s="472" t="s">
        <v>626</v>
      </c>
      <c r="F126" s="483"/>
      <c r="G126" s="483"/>
      <c r="H126" s="483"/>
      <c r="I126" s="483"/>
      <c r="J126" s="483"/>
      <c r="K126" s="483"/>
      <c r="L126" s="513"/>
      <c r="M126" s="666"/>
      <c r="N126" s="452">
        <v>5</v>
      </c>
      <c r="O126" s="455"/>
    </row>
    <row r="127" spans="1:15" s="50" customFormat="1" ht="15.6">
      <c r="B127" s="666"/>
      <c r="C127" s="666"/>
      <c r="D127" s="441" t="s">
        <v>340</v>
      </c>
      <c r="E127" s="1010"/>
      <c r="F127" s="497"/>
      <c r="G127" s="497"/>
      <c r="H127" s="681"/>
      <c r="I127"/>
      <c r="J127"/>
      <c r="K127"/>
      <c r="L127"/>
      <c r="M127" s="63"/>
      <c r="N127" s="452" t="s">
        <v>311</v>
      </c>
      <c r="O127" s="455"/>
    </row>
    <row r="128" spans="1:15" customFormat="1"/>
    <row r="129" spans="1:15" s="50" customFormat="1" ht="15.6">
      <c r="C129" s="670" t="s">
        <v>627</v>
      </c>
      <c r="E129" s="51"/>
      <c r="F129" s="51"/>
      <c r="G129" s="51"/>
      <c r="H129" s="684"/>
      <c r="I129" s="684"/>
      <c r="M129" s="97"/>
    </row>
    <row r="130" spans="1:15" s="50" customFormat="1" ht="16.2" thickBot="1">
      <c r="A130" s="666"/>
      <c r="B130" s="164"/>
      <c r="C130" s="670"/>
      <c r="D130" s="164" t="s">
        <v>628</v>
      </c>
      <c r="E130" s="666"/>
      <c r="F130" s="677"/>
      <c r="G130" s="677"/>
      <c r="H130" s="677"/>
      <c r="I130" s="462"/>
      <c r="J130" s="666"/>
      <c r="K130" s="666"/>
      <c r="L130" s="678"/>
      <c r="M130" s="666"/>
      <c r="N130" s="63"/>
      <c r="O130" s="63"/>
    </row>
    <row r="131" spans="1:15" s="50" customFormat="1" ht="16.2" thickBot="1">
      <c r="B131" s="666"/>
      <c r="C131" s="666"/>
      <c r="D131" s="437">
        <v>3</v>
      </c>
      <c r="E131" s="456" t="s">
        <v>1227</v>
      </c>
      <c r="F131" s="456"/>
      <c r="G131" s="456"/>
      <c r="H131" s="456"/>
      <c r="I131" s="456"/>
      <c r="J131" s="456"/>
      <c r="K131" s="456"/>
      <c r="L131" s="457"/>
      <c r="M131" s="63"/>
      <c r="N131" s="451" t="s">
        <v>335</v>
      </c>
      <c r="O131" s="451" t="s">
        <v>336</v>
      </c>
    </row>
    <row r="132" spans="1:15" s="50" customFormat="1" ht="15.6">
      <c r="B132" s="666"/>
      <c r="C132" s="666"/>
      <c r="D132" s="438" t="str">
        <f>IF(ROUNDDOWN(D131,0)=$N$2,$P$2,$O$2)</f>
        <v>　レベル　1</v>
      </c>
      <c r="E132" s="463" t="s">
        <v>629</v>
      </c>
      <c r="F132" s="503"/>
      <c r="G132" s="503"/>
      <c r="H132" s="503"/>
      <c r="I132" s="503"/>
      <c r="J132" s="503"/>
      <c r="K132" s="503"/>
      <c r="L132" s="510"/>
      <c r="M132" s="666"/>
      <c r="N132" s="452">
        <v>1</v>
      </c>
      <c r="O132" s="455"/>
    </row>
    <row r="133" spans="1:15" s="50" customFormat="1" ht="15.6">
      <c r="B133" s="666"/>
      <c r="C133" s="666"/>
      <c r="D133" s="439" t="str">
        <f>IF(ROUNDDOWN(D131,0)=$N$3,$P$3,$O$3)</f>
        <v>　レベル　2</v>
      </c>
      <c r="E133" s="466" t="s">
        <v>413</v>
      </c>
      <c r="F133" s="504"/>
      <c r="G133" s="504"/>
      <c r="H133" s="504"/>
      <c r="I133" s="504"/>
      <c r="J133" s="504"/>
      <c r="K133" s="504"/>
      <c r="L133" s="511"/>
      <c r="M133" s="63"/>
      <c r="N133" s="452" t="s">
        <v>311</v>
      </c>
      <c r="O133" s="455"/>
    </row>
    <row r="134" spans="1:15" s="50" customFormat="1" ht="15.6">
      <c r="B134" s="666"/>
      <c r="C134" s="666"/>
      <c r="D134" s="439" t="str">
        <f>IF(ROUNDDOWN(D131,0)=$N$4,$P$4,$O$4)</f>
        <v>■レベル　3</v>
      </c>
      <c r="E134" s="466" t="s">
        <v>630</v>
      </c>
      <c r="F134" s="504"/>
      <c r="G134" s="504"/>
      <c r="H134" s="504"/>
      <c r="I134" s="504"/>
      <c r="J134" s="504"/>
      <c r="K134" s="504"/>
      <c r="L134" s="511"/>
      <c r="M134" s="666"/>
      <c r="N134" s="452">
        <v>3</v>
      </c>
      <c r="O134" s="455"/>
    </row>
    <row r="135" spans="1:15" s="50" customFormat="1" ht="15.6">
      <c r="B135" s="666"/>
      <c r="C135" s="666"/>
      <c r="D135" s="439" t="str">
        <f>IF(ROUNDDOWN(D131,0)=$N$5,$P$5,$O$5)</f>
        <v>　レベル　4</v>
      </c>
      <c r="E135" s="469" t="s">
        <v>631</v>
      </c>
      <c r="F135" s="505"/>
      <c r="G135" s="505"/>
      <c r="H135" s="505"/>
      <c r="I135" s="505"/>
      <c r="J135" s="505"/>
      <c r="K135" s="505"/>
      <c r="L135" s="512"/>
      <c r="M135" s="63"/>
      <c r="N135" s="452">
        <v>4</v>
      </c>
      <c r="O135" s="455"/>
    </row>
    <row r="136" spans="1:15" s="50" customFormat="1" ht="15.6">
      <c r="B136" s="666"/>
      <c r="C136" s="666"/>
      <c r="D136" s="440" t="str">
        <f>IF(ROUNDDOWN(D131,0)=$N$6,$P$6,$O$6)</f>
        <v>　レベル　5</v>
      </c>
      <c r="E136" s="472" t="s">
        <v>1329</v>
      </c>
      <c r="F136" s="483"/>
      <c r="G136" s="483"/>
      <c r="H136" s="483"/>
      <c r="I136" s="483"/>
      <c r="J136" s="483"/>
      <c r="K136" s="483"/>
      <c r="L136" s="513"/>
      <c r="M136" s="666"/>
      <c r="N136" s="452">
        <v>5</v>
      </c>
      <c r="O136" s="455"/>
    </row>
    <row r="137" spans="1:15" s="50" customFormat="1" ht="15.6">
      <c r="B137" s="666"/>
      <c r="C137" s="666"/>
      <c r="D137" s="441" t="s">
        <v>340</v>
      </c>
      <c r="E137" s="1010"/>
      <c r="F137" s="497"/>
      <c r="G137" s="497"/>
      <c r="H137" s="681"/>
      <c r="I137"/>
      <c r="J137"/>
      <c r="K137"/>
      <c r="L137"/>
      <c r="M137" s="63"/>
      <c r="N137" s="452" t="s">
        <v>311</v>
      </c>
      <c r="O137" s="455"/>
    </row>
    <row r="138" spans="1:15" customFormat="1"/>
    <row r="139" spans="1:15" s="50" customFormat="1" ht="16.2" thickBot="1">
      <c r="B139" s="666"/>
      <c r="C139" s="666"/>
      <c r="D139" s="164" t="s">
        <v>632</v>
      </c>
      <c r="E139" s="666"/>
      <c r="F139" s="677"/>
      <c r="G139" s="677"/>
      <c r="H139" s="677"/>
      <c r="I139" s="462"/>
      <c r="J139" s="666"/>
      <c r="K139" s="666"/>
      <c r="L139" s="678"/>
      <c r="M139" s="666"/>
      <c r="N139" s="63"/>
      <c r="O139" s="63"/>
    </row>
    <row r="140" spans="1:15" s="50" customFormat="1" ht="16.2" thickBot="1">
      <c r="B140" s="666"/>
      <c r="C140" s="666"/>
      <c r="D140" s="740">
        <v>3</v>
      </c>
      <c r="E140" s="456" t="s">
        <v>1227</v>
      </c>
      <c r="F140" s="456"/>
      <c r="G140" s="456"/>
      <c r="H140" s="456"/>
      <c r="I140" s="456"/>
      <c r="J140" s="456"/>
      <c r="K140" s="456"/>
      <c r="L140" s="457"/>
      <c r="M140" s="63"/>
      <c r="N140" s="451" t="s">
        <v>335</v>
      </c>
      <c r="O140" s="451" t="s">
        <v>336</v>
      </c>
    </row>
    <row r="141" spans="1:15" s="50" customFormat="1" ht="15.6">
      <c r="B141" s="666"/>
      <c r="C141" s="666"/>
      <c r="D141" s="438" t="str">
        <f>IF(ROUNDDOWN(D140,0)=$N$2,$P$2,$O$2)</f>
        <v>　レベル　1</v>
      </c>
      <c r="E141" s="463" t="s">
        <v>413</v>
      </c>
      <c r="F141" s="503"/>
      <c r="G141" s="503"/>
      <c r="H141" s="503"/>
      <c r="I141" s="503"/>
      <c r="J141" s="503"/>
      <c r="K141" s="503"/>
      <c r="L141" s="510"/>
      <c r="M141" s="666"/>
      <c r="N141" s="452" t="s">
        <v>311</v>
      </c>
      <c r="O141" s="455"/>
    </row>
    <row r="142" spans="1:15" s="50" customFormat="1" ht="15.6">
      <c r="B142" s="666"/>
      <c r="C142" s="666"/>
      <c r="D142" s="439" t="str">
        <f>IF(ROUNDDOWN(D140,0)=$N$3,$P$3,$O$3)</f>
        <v>　レベル　2</v>
      </c>
      <c r="E142" s="466" t="s">
        <v>413</v>
      </c>
      <c r="F142" s="504"/>
      <c r="G142" s="504"/>
      <c r="H142" s="504"/>
      <c r="I142" s="504"/>
      <c r="J142" s="504"/>
      <c r="K142" s="504"/>
      <c r="L142" s="511"/>
      <c r="M142" s="63"/>
      <c r="N142" s="452" t="s">
        <v>311</v>
      </c>
      <c r="O142" s="455"/>
    </row>
    <row r="143" spans="1:15" s="50" customFormat="1" ht="15.6">
      <c r="B143" s="666"/>
      <c r="C143" s="666"/>
      <c r="D143" s="439" t="str">
        <f>IF(ROUNDDOWN(D140,0)=$N$4,$P$4,$O$4)</f>
        <v>■レベル　3</v>
      </c>
      <c r="E143" s="466" t="s">
        <v>633</v>
      </c>
      <c r="F143" s="504"/>
      <c r="G143" s="504"/>
      <c r="H143" s="504"/>
      <c r="I143" s="504"/>
      <c r="J143" s="504"/>
      <c r="K143" s="504"/>
      <c r="L143" s="511"/>
      <c r="M143" s="666"/>
      <c r="N143" s="452">
        <v>3</v>
      </c>
      <c r="O143" s="455"/>
    </row>
    <row r="144" spans="1:15" s="50" customFormat="1" ht="15.6">
      <c r="B144" s="666"/>
      <c r="C144" s="666"/>
      <c r="D144" s="439" t="str">
        <f>IF(ROUNDDOWN(D140,0)=$N$5,$P$5,$O$5)</f>
        <v>　レベル　4</v>
      </c>
      <c r="E144" s="469" t="s">
        <v>634</v>
      </c>
      <c r="F144" s="505"/>
      <c r="G144" s="505"/>
      <c r="H144" s="505"/>
      <c r="I144" s="505"/>
      <c r="J144" s="505"/>
      <c r="K144" s="505"/>
      <c r="L144" s="512"/>
      <c r="M144" s="63"/>
      <c r="N144" s="452">
        <v>4</v>
      </c>
      <c r="O144" s="455"/>
    </row>
    <row r="145" spans="1:28" s="50" customFormat="1" ht="15.6">
      <c r="B145" s="666"/>
      <c r="C145" s="666"/>
      <c r="D145" s="440" t="str">
        <f>IF(ROUNDDOWN(D140,0)=$N$6,$P$6,$O$6)</f>
        <v>　レベル　5</v>
      </c>
      <c r="E145" s="472" t="s">
        <v>767</v>
      </c>
      <c r="F145" s="483"/>
      <c r="G145" s="483"/>
      <c r="H145" s="483"/>
      <c r="I145" s="483"/>
      <c r="J145" s="483"/>
      <c r="K145" s="483"/>
      <c r="L145" s="513"/>
      <c r="M145" s="666"/>
      <c r="N145" s="452">
        <v>5</v>
      </c>
      <c r="O145" s="455"/>
    </row>
    <row r="146" spans="1:28" s="50" customFormat="1" ht="15.6">
      <c r="B146" s="666"/>
      <c r="C146" s="666"/>
      <c r="D146" s="441" t="s">
        <v>340</v>
      </c>
      <c r="E146" s="1010"/>
      <c r="F146" s="497"/>
      <c r="G146" s="497"/>
      <c r="H146" s="681"/>
      <c r="I146"/>
      <c r="J146"/>
      <c r="K146"/>
      <c r="L146"/>
      <c r="M146" s="63"/>
      <c r="N146" s="452" t="s">
        <v>311</v>
      </c>
      <c r="O146" s="455"/>
    </row>
    <row r="147" spans="1:28" customFormat="1"/>
    <row r="148" spans="1:28" s="50" customFormat="1" ht="16.2" thickBot="1">
      <c r="B148" s="666"/>
      <c r="C148" s="666"/>
      <c r="D148" s="164" t="s">
        <v>973</v>
      </c>
      <c r="E148" s="450"/>
      <c r="F148" s="498"/>
      <c r="G148" s="498"/>
      <c r="H148" s="498"/>
      <c r="I148" s="462"/>
      <c r="J148" s="450"/>
      <c r="K148" s="450"/>
      <c r="L148" s="741" t="s">
        <v>761</v>
      </c>
      <c r="M148" s="450"/>
      <c r="N148" s="450"/>
      <c r="O148" s="63"/>
    </row>
    <row r="149" spans="1:28" s="50" customFormat="1" ht="16.2" thickBot="1">
      <c r="B149" s="666"/>
      <c r="C149" s="666"/>
      <c r="D149" s="1239">
        <f>IF(G156=O156,0,IF(E157&gt;=O154,N154,IF(E157&gt;=O153,N153,IF(E157&gt;=O152,N152,IF(E157&gt;=O151,N151,N150)))))</f>
        <v>3</v>
      </c>
      <c r="E149" s="456" t="s">
        <v>1227</v>
      </c>
      <c r="F149" s="456"/>
      <c r="G149" s="456"/>
      <c r="H149" s="456"/>
      <c r="I149" s="456"/>
      <c r="J149" s="456"/>
      <c r="K149" s="456"/>
      <c r="L149" s="457"/>
      <c r="M149" s="63"/>
      <c r="N149" s="451" t="s">
        <v>335</v>
      </c>
      <c r="O149" s="451" t="s">
        <v>336</v>
      </c>
    </row>
    <row r="150" spans="1:28" s="50" customFormat="1" ht="15.6">
      <c r="B150" s="666"/>
      <c r="C150" s="666"/>
      <c r="D150" s="438" t="str">
        <f>IF(ROUNDDOWN(D149,0)=$N$2,$P$2,$O$2)</f>
        <v>　レベル　1</v>
      </c>
      <c r="E150" s="463" t="s">
        <v>337</v>
      </c>
      <c r="F150" s="464"/>
      <c r="G150" s="464"/>
      <c r="H150" s="464"/>
      <c r="I150" s="464"/>
      <c r="J150" s="464"/>
      <c r="K150" s="464"/>
      <c r="L150" s="465"/>
      <c r="M150" s="666"/>
      <c r="N150" s="452" t="s">
        <v>311</v>
      </c>
      <c r="O150" s="451"/>
    </row>
    <row r="151" spans="1:28" s="50" customFormat="1" ht="15.6">
      <c r="B151" s="666"/>
      <c r="C151" s="666"/>
      <c r="D151" s="439" t="str">
        <f>IF(ROUNDDOWN(D149,0)=$N$3,$P$3,$O$3)</f>
        <v>　レベル　2</v>
      </c>
      <c r="E151" s="466" t="s">
        <v>954</v>
      </c>
      <c r="F151" s="467"/>
      <c r="G151" s="467"/>
      <c r="H151" s="467"/>
      <c r="I151" s="467"/>
      <c r="J151" s="467"/>
      <c r="K151" s="467"/>
      <c r="L151" s="468"/>
      <c r="M151" s="63"/>
      <c r="N151" s="452">
        <v>2</v>
      </c>
      <c r="O151" s="451">
        <v>0</v>
      </c>
    </row>
    <row r="152" spans="1:28" s="50" customFormat="1" ht="15.6">
      <c r="B152" s="666"/>
      <c r="C152" s="666"/>
      <c r="D152" s="439" t="str">
        <f>IF(ROUNDDOWN(D149,0)=$N$4,$P$4,$O$4)</f>
        <v>■レベル　3</v>
      </c>
      <c r="E152" s="1232" t="s">
        <v>1298</v>
      </c>
      <c r="F152" s="467"/>
      <c r="G152" s="467"/>
      <c r="H152" s="467"/>
      <c r="I152" s="467"/>
      <c r="J152" s="467"/>
      <c r="K152" s="467"/>
      <c r="L152" s="468"/>
      <c r="M152" s="666"/>
      <c r="N152" s="452">
        <v>3</v>
      </c>
      <c r="O152" s="451">
        <v>1</v>
      </c>
    </row>
    <row r="153" spans="1:28" s="50" customFormat="1" ht="15.6">
      <c r="B153" s="666"/>
      <c r="C153" s="666"/>
      <c r="D153" s="439" t="str">
        <f>IF(ROUNDDOWN(D149,0)=$N$5,$P$5,$O$5)</f>
        <v>　レベル　4</v>
      </c>
      <c r="E153" s="1232" t="s">
        <v>1299</v>
      </c>
      <c r="F153" s="470"/>
      <c r="G153" s="470"/>
      <c r="H153" s="470"/>
      <c r="I153" s="470"/>
      <c r="J153" s="470"/>
      <c r="K153" s="470"/>
      <c r="L153" s="471"/>
      <c r="M153" s="63"/>
      <c r="N153" s="452">
        <v>4</v>
      </c>
      <c r="O153" s="451">
        <v>2</v>
      </c>
    </row>
    <row r="154" spans="1:28" s="50" customFormat="1" ht="15.6">
      <c r="B154" s="666"/>
      <c r="C154" s="666"/>
      <c r="D154" s="440" t="str">
        <f>IF(ROUNDDOWN(D149,0)=$N$6,$P$6,$O$6)</f>
        <v>　レベル　5</v>
      </c>
      <c r="E154" s="1234" t="s">
        <v>1300</v>
      </c>
      <c r="F154" s="473"/>
      <c r="G154" s="473"/>
      <c r="H154" s="473"/>
      <c r="I154" s="473"/>
      <c r="J154" s="473"/>
      <c r="K154" s="473"/>
      <c r="L154" s="474"/>
      <c r="M154" s="666"/>
      <c r="N154" s="452">
        <v>5</v>
      </c>
      <c r="O154" s="451">
        <v>3</v>
      </c>
    </row>
    <row r="155" spans="1:28" s="50" customFormat="1" ht="15.6">
      <c r="B155" s="666"/>
      <c r="C155" s="666"/>
      <c r="D155" s="441" t="s">
        <v>340</v>
      </c>
      <c r="E155" s="1010"/>
      <c r="F155" s="497"/>
      <c r="G155" s="497"/>
      <c r="H155" s="681"/>
      <c r="I155" s="751" t="s">
        <v>713</v>
      </c>
      <c r="J155"/>
      <c r="K155"/>
      <c r="L155"/>
      <c r="M155" s="666"/>
      <c r="N155" s="454">
        <v>0</v>
      </c>
      <c r="O155" s="451"/>
    </row>
    <row r="156" spans="1:28" s="50" customFormat="1" ht="15.6">
      <c r="B156" s="666"/>
      <c r="C156" s="666"/>
      <c r="D156" s="441" t="s">
        <v>383</v>
      </c>
      <c r="F156" s="816" t="s">
        <v>971</v>
      </c>
      <c r="G156" s="817"/>
      <c r="H156" s="97"/>
      <c r="I156" s="97"/>
      <c r="J156" s="97"/>
      <c r="K156" s="97"/>
      <c r="L156" s="97"/>
      <c r="M156" s="97"/>
      <c r="N156" s="813"/>
      <c r="O156" s="813" t="s">
        <v>969</v>
      </c>
    </row>
    <row r="157" spans="1:28" s="165" customFormat="1" ht="15" thickBot="1">
      <c r="A157" s="97"/>
      <c r="B157" s="97"/>
      <c r="C157" s="51"/>
      <c r="D157" s="175"/>
      <c r="E157" s="496">
        <f>COUNTIF(E158:E161,$R$3)</f>
        <v>1</v>
      </c>
      <c r="F157" s="807" t="s">
        <v>828</v>
      </c>
      <c r="G157" s="1867" t="s">
        <v>829</v>
      </c>
      <c r="H157" s="1863"/>
      <c r="I157" s="1863"/>
      <c r="J157" s="1863"/>
      <c r="K157" s="1863"/>
      <c r="L157" s="1864"/>
      <c r="M157" s="450"/>
      <c r="N157"/>
      <c r="O157"/>
      <c r="P157"/>
      <c r="Q157" s="141"/>
      <c r="R157" s="141"/>
      <c r="S157" s="141"/>
      <c r="T157" s="141"/>
      <c r="U157" s="141"/>
      <c r="V157" s="141"/>
      <c r="W157" s="141"/>
      <c r="X157" s="141"/>
      <c r="Y157" s="141"/>
      <c r="Z157" s="97"/>
      <c r="AA157" s="97"/>
      <c r="AB157" s="141"/>
    </row>
    <row r="158" spans="1:28" s="165" customFormat="1" ht="14.4">
      <c r="A158" s="97"/>
      <c r="B158" s="97"/>
      <c r="C158" s="51"/>
      <c r="D158" s="442" t="s">
        <v>299</v>
      </c>
      <c r="E158" s="443"/>
      <c r="F158" s="808" t="s">
        <v>838</v>
      </c>
      <c r="G158" s="1889" t="s">
        <v>1256</v>
      </c>
      <c r="H158" s="1889"/>
      <c r="I158" s="1889"/>
      <c r="J158" s="1889"/>
      <c r="K158" s="1889"/>
      <c r="L158" s="1890"/>
      <c r="M158" s="97"/>
      <c r="N158"/>
      <c r="O158"/>
      <c r="P158" s="141"/>
      <c r="Q158" s="141"/>
      <c r="R158" s="141"/>
      <c r="S158" s="141"/>
      <c r="T158" s="141"/>
      <c r="U158" s="141"/>
      <c r="V158" s="141"/>
      <c r="W158" s="141"/>
      <c r="X158" s="141"/>
      <c r="Y158" s="141"/>
      <c r="Z158" s="97"/>
      <c r="AA158" s="97"/>
      <c r="AB158" s="141"/>
    </row>
    <row r="159" spans="1:28" s="165" customFormat="1" ht="14.4">
      <c r="A159" s="97"/>
      <c r="B159" s="97"/>
      <c r="C159" s="51"/>
      <c r="D159" s="442" t="s">
        <v>300</v>
      </c>
      <c r="E159" s="444"/>
      <c r="F159" s="808" t="s">
        <v>840</v>
      </c>
      <c r="G159" s="1889" t="s">
        <v>635</v>
      </c>
      <c r="H159" s="1889"/>
      <c r="I159" s="1889"/>
      <c r="J159" s="1889"/>
      <c r="K159" s="1889"/>
      <c r="L159" s="1890"/>
      <c r="M159" s="97"/>
      <c r="N159"/>
      <c r="O159"/>
      <c r="P159" s="141"/>
      <c r="Q159" s="141"/>
      <c r="R159" s="141"/>
      <c r="S159" s="141"/>
      <c r="T159" s="141"/>
      <c r="U159" s="141"/>
      <c r="V159" s="141"/>
      <c r="W159" s="141"/>
      <c r="X159" s="141"/>
      <c r="Y159" s="141"/>
      <c r="Z159" s="97"/>
      <c r="AA159" s="97"/>
      <c r="AB159" s="141"/>
    </row>
    <row r="160" spans="1:28" s="165" customFormat="1" ht="14.4">
      <c r="A160" s="97"/>
      <c r="B160" s="97"/>
      <c r="C160" s="51"/>
      <c r="D160" s="442" t="s">
        <v>301</v>
      </c>
      <c r="E160" s="444" t="s">
        <v>389</v>
      </c>
      <c r="F160" s="808" t="s">
        <v>842</v>
      </c>
      <c r="G160" s="1889" t="s">
        <v>636</v>
      </c>
      <c r="H160" s="1889"/>
      <c r="I160" s="1889"/>
      <c r="J160" s="1889"/>
      <c r="K160" s="1889"/>
      <c r="L160" s="1890"/>
      <c r="M160" s="97"/>
      <c r="N160"/>
      <c r="O160"/>
      <c r="P160" s="141"/>
      <c r="Q160" s="141"/>
      <c r="R160" s="141"/>
      <c r="S160" s="141"/>
      <c r="T160" s="141"/>
      <c r="U160" s="141"/>
      <c r="V160" s="141"/>
      <c r="W160" s="141"/>
      <c r="X160" s="141"/>
      <c r="Y160" s="141"/>
      <c r="Z160" s="97"/>
      <c r="AA160" s="97"/>
      <c r="AB160" s="141"/>
    </row>
    <row r="161" spans="1:28" s="165" customFormat="1" ht="15" thickBot="1">
      <c r="A161" s="97"/>
      <c r="B161" s="97"/>
      <c r="C161" s="51"/>
      <c r="D161" s="442" t="s">
        <v>302</v>
      </c>
      <c r="E161" s="445"/>
      <c r="F161" s="808" t="s">
        <v>844</v>
      </c>
      <c r="G161" s="1889" t="s">
        <v>637</v>
      </c>
      <c r="H161" s="1889"/>
      <c r="I161" s="1889"/>
      <c r="J161" s="1889"/>
      <c r="K161" s="1889"/>
      <c r="L161" s="1890"/>
      <c r="M161" s="97"/>
      <c r="N161"/>
      <c r="O161"/>
      <c r="P161" s="141"/>
      <c r="Q161" s="141"/>
      <c r="R161" s="141"/>
      <c r="S161" s="141"/>
      <c r="T161" s="141"/>
      <c r="U161" s="141"/>
      <c r="V161" s="141"/>
      <c r="W161" s="141"/>
      <c r="X161" s="141"/>
      <c r="Y161" s="141"/>
      <c r="Z161" s="97"/>
      <c r="AA161" s="97"/>
      <c r="AB161" s="141"/>
    </row>
    <row r="162" spans="1:28" s="165" customFormat="1">
      <c r="A162" s="97"/>
      <c r="B162" s="97"/>
      <c r="C162" s="97"/>
      <c r="D162" s="97"/>
      <c r="P162" s="97"/>
      <c r="Q162" s="141"/>
      <c r="R162" s="141"/>
      <c r="S162" s="141"/>
      <c r="T162" s="141"/>
      <c r="U162" s="141"/>
      <c r="V162" s="141"/>
      <c r="W162" s="141"/>
      <c r="X162" s="141"/>
      <c r="Y162" s="141"/>
      <c r="Z162" s="141"/>
      <c r="AA162" s="97"/>
      <c r="AB162" s="97"/>
    </row>
    <row r="163" spans="1:28" s="165" customFormat="1">
      <c r="A163" s="97"/>
      <c r="B163" s="97"/>
      <c r="C163" s="97"/>
      <c r="D163" s="97"/>
      <c r="E163" s="97"/>
      <c r="F163" s="97"/>
      <c r="G163" s="97"/>
      <c r="H163" s="97"/>
      <c r="I163" s="97"/>
      <c r="J163" s="97"/>
      <c r="K163" s="97"/>
      <c r="L163" s="97"/>
      <c r="M163" s="97"/>
      <c r="N163" s="141"/>
      <c r="O163" s="141"/>
      <c r="P163" s="141"/>
      <c r="Q163" s="141"/>
      <c r="R163" s="141"/>
      <c r="S163" s="141"/>
      <c r="T163" s="141"/>
      <c r="U163" s="141"/>
      <c r="V163" s="141"/>
      <c r="W163" s="141"/>
      <c r="X163" s="141"/>
      <c r="Y163" s="141"/>
      <c r="Z163" s="141"/>
      <c r="AA163" s="97"/>
      <c r="AB163" s="97"/>
    </row>
    <row r="164" spans="1:28" s="165" customFormat="1">
      <c r="A164" s="97"/>
      <c r="B164" s="97"/>
      <c r="C164" s="97"/>
      <c r="D164" s="97"/>
      <c r="E164" s="97"/>
      <c r="F164" s="97"/>
      <c r="G164" s="97"/>
      <c r="H164" s="97"/>
      <c r="I164" s="97"/>
      <c r="J164" s="97"/>
      <c r="K164" s="97"/>
      <c r="L164" s="97"/>
      <c r="M164" s="97"/>
      <c r="N164" s="141"/>
      <c r="O164" s="141"/>
      <c r="P164" s="141"/>
      <c r="Q164" s="141"/>
      <c r="R164" s="141"/>
      <c r="S164" s="141"/>
      <c r="T164" s="141"/>
      <c r="U164" s="141"/>
      <c r="V164" s="141"/>
      <c r="W164" s="141"/>
      <c r="X164" s="141"/>
      <c r="Y164" s="141"/>
      <c r="Z164" s="141"/>
      <c r="AA164" s="97"/>
      <c r="AB164" s="97"/>
    </row>
    <row r="165" spans="1:28" s="165" customFormat="1">
      <c r="A165" s="97"/>
      <c r="B165" s="97"/>
      <c r="C165" s="97"/>
      <c r="D165" s="97"/>
      <c r="E165" s="97"/>
      <c r="F165" s="97"/>
      <c r="G165" s="97"/>
      <c r="H165" s="97"/>
      <c r="I165" s="97"/>
      <c r="J165" s="97"/>
      <c r="K165" s="97"/>
      <c r="L165" s="97"/>
      <c r="M165" s="97"/>
      <c r="N165" s="141"/>
      <c r="O165" s="141"/>
      <c r="P165" s="141"/>
      <c r="Q165" s="141"/>
      <c r="R165" s="141"/>
      <c r="S165" s="141"/>
      <c r="T165" s="141"/>
      <c r="U165" s="141"/>
      <c r="V165" s="141"/>
      <c r="W165" s="141"/>
      <c r="X165" s="141"/>
      <c r="Y165" s="141"/>
      <c r="Z165" s="141"/>
      <c r="AA165" s="97"/>
      <c r="AB165" s="97"/>
    </row>
    <row r="166" spans="1:28" s="165" customFormat="1">
      <c r="A166" s="97"/>
      <c r="B166" s="97"/>
      <c r="C166" s="97"/>
      <c r="D166" s="97"/>
      <c r="E166" s="97"/>
      <c r="F166" s="97"/>
      <c r="G166" s="97"/>
      <c r="H166" s="97"/>
      <c r="I166" s="97"/>
      <c r="J166" s="97"/>
      <c r="K166" s="97"/>
      <c r="L166" s="97"/>
      <c r="M166" s="97"/>
      <c r="N166" s="141"/>
      <c r="O166" s="141"/>
      <c r="P166" s="141"/>
      <c r="Q166" s="141"/>
      <c r="R166" s="141"/>
      <c r="S166" s="141"/>
      <c r="T166" s="141"/>
      <c r="U166" s="141"/>
      <c r="V166" s="141"/>
      <c r="W166" s="141"/>
      <c r="X166" s="141"/>
      <c r="Y166" s="141"/>
      <c r="Z166" s="141"/>
      <c r="AA166" s="97"/>
      <c r="AB166" s="97"/>
    </row>
    <row r="167" spans="1:28" s="165" customFormat="1">
      <c r="A167" s="97"/>
      <c r="B167" s="97"/>
      <c r="C167" s="97"/>
      <c r="D167" s="97"/>
      <c r="E167" s="97"/>
      <c r="F167" s="97"/>
      <c r="G167" s="97"/>
      <c r="H167" s="97"/>
      <c r="I167" s="97"/>
      <c r="J167" s="97"/>
      <c r="K167" s="97"/>
      <c r="L167" s="97"/>
      <c r="M167" s="97"/>
      <c r="N167" s="141"/>
      <c r="O167" s="141"/>
      <c r="P167" s="141"/>
      <c r="Q167" s="141"/>
      <c r="R167" s="141"/>
      <c r="S167" s="141"/>
      <c r="T167" s="141"/>
      <c r="U167" s="141"/>
      <c r="V167" s="141"/>
      <c r="W167" s="141"/>
      <c r="X167" s="141"/>
      <c r="Y167" s="141"/>
      <c r="Z167" s="141"/>
      <c r="AA167" s="97"/>
      <c r="AB167" s="97"/>
    </row>
    <row r="168" spans="1:28" s="165" customFormat="1">
      <c r="A168" s="97"/>
      <c r="B168" s="97"/>
      <c r="C168" s="97"/>
      <c r="D168" s="97"/>
      <c r="E168" s="97"/>
      <c r="F168" s="97"/>
      <c r="G168" s="97"/>
      <c r="H168" s="97"/>
      <c r="I168" s="97"/>
      <c r="J168" s="97"/>
      <c r="K168" s="97"/>
      <c r="L168" s="97"/>
      <c r="M168" s="97"/>
      <c r="N168" s="141"/>
      <c r="O168" s="141"/>
      <c r="P168" s="141"/>
      <c r="Q168" s="141"/>
      <c r="R168" s="141"/>
      <c r="S168" s="141"/>
      <c r="T168" s="141"/>
      <c r="U168" s="141"/>
      <c r="V168" s="141"/>
      <c r="W168" s="141"/>
      <c r="X168" s="141"/>
      <c r="Y168" s="141"/>
      <c r="Z168" s="141"/>
      <c r="AA168" s="97"/>
      <c r="AB168" s="97"/>
    </row>
    <row r="169" spans="1:28" s="165" customFormat="1">
      <c r="A169" s="97"/>
      <c r="B169" s="97"/>
      <c r="C169" s="97"/>
      <c r="D169" s="97"/>
      <c r="E169" s="97"/>
      <c r="F169" s="97"/>
      <c r="G169" s="97"/>
      <c r="H169" s="97"/>
      <c r="I169" s="97"/>
      <c r="J169" s="97"/>
      <c r="K169" s="97"/>
      <c r="L169" s="97"/>
      <c r="M169" s="97"/>
      <c r="N169" s="141"/>
      <c r="O169" s="141"/>
      <c r="P169" s="141"/>
      <c r="Q169" s="141"/>
      <c r="R169" s="141"/>
      <c r="S169" s="141"/>
      <c r="T169" s="141"/>
      <c r="U169" s="141"/>
      <c r="V169" s="141"/>
      <c r="W169" s="141"/>
      <c r="X169" s="141"/>
      <c r="Y169" s="141"/>
      <c r="Z169" s="141"/>
      <c r="AA169" s="97"/>
      <c r="AB169" s="97"/>
    </row>
    <row r="170" spans="1:28" s="165" customFormat="1">
      <c r="A170" s="97"/>
      <c r="B170" s="97"/>
      <c r="C170" s="97"/>
      <c r="D170" s="97"/>
      <c r="E170" s="97"/>
      <c r="F170" s="97"/>
      <c r="G170" s="97"/>
      <c r="H170" s="97"/>
      <c r="I170" s="97"/>
      <c r="J170" s="97"/>
      <c r="K170" s="97"/>
      <c r="L170" s="97"/>
      <c r="M170" s="97"/>
      <c r="N170" s="141"/>
      <c r="O170" s="141"/>
      <c r="P170" s="141"/>
      <c r="Q170" s="141"/>
      <c r="R170" s="141"/>
      <c r="S170" s="141"/>
      <c r="T170" s="141"/>
      <c r="U170" s="141"/>
      <c r="V170" s="141"/>
      <c r="W170" s="141"/>
      <c r="X170" s="141"/>
      <c r="Y170" s="141"/>
      <c r="Z170" s="141"/>
      <c r="AA170" s="97"/>
      <c r="AB170" s="97"/>
    </row>
    <row r="171" spans="1:28" s="165" customFormat="1">
      <c r="A171" s="97"/>
      <c r="B171" s="97"/>
      <c r="C171" s="97"/>
      <c r="D171" s="97"/>
      <c r="E171" s="97"/>
      <c r="F171" s="97"/>
      <c r="G171" s="97"/>
      <c r="H171" s="97"/>
      <c r="I171" s="97"/>
      <c r="J171" s="97"/>
      <c r="K171" s="97"/>
      <c r="L171" s="97"/>
      <c r="M171" s="97"/>
      <c r="N171" s="141"/>
      <c r="O171" s="141"/>
      <c r="P171" s="141"/>
      <c r="Q171" s="141"/>
      <c r="R171" s="141"/>
      <c r="S171" s="141"/>
      <c r="T171" s="141"/>
      <c r="U171" s="141"/>
      <c r="V171" s="141"/>
      <c r="W171" s="141"/>
      <c r="X171" s="141"/>
      <c r="Y171" s="141"/>
      <c r="Z171" s="141"/>
      <c r="AA171" s="97"/>
      <c r="AB171" s="97"/>
    </row>
    <row r="172" spans="1:28" s="165" customFormat="1">
      <c r="A172" s="97"/>
      <c r="B172" s="97"/>
      <c r="C172" s="97"/>
      <c r="D172" s="97"/>
      <c r="E172" s="97"/>
      <c r="F172" s="97"/>
      <c r="G172" s="97"/>
      <c r="H172" s="97"/>
      <c r="I172" s="97"/>
      <c r="J172" s="97"/>
      <c r="K172" s="97"/>
      <c r="L172" s="97"/>
      <c r="M172" s="97"/>
      <c r="N172" s="141"/>
      <c r="O172" s="141"/>
      <c r="P172" s="141"/>
      <c r="Q172" s="141"/>
      <c r="R172" s="141"/>
      <c r="S172" s="141"/>
      <c r="T172" s="141"/>
      <c r="U172" s="141"/>
      <c r="V172" s="141"/>
      <c r="W172" s="141"/>
      <c r="X172" s="141"/>
      <c r="Y172" s="141"/>
      <c r="Z172" s="141"/>
      <c r="AA172" s="97"/>
      <c r="AB172" s="97"/>
    </row>
  </sheetData>
  <sheetProtection algorithmName="SHA-512" hashValue="tI3WQHA7+wMeP/toR/KYvK9sdDJy2ZTa5beUkx/8GRFwzaFykdDUIgLcolg3E8QJWTeI5Z3HPv4TJ0qHCxL27A==" saltValue="VWXL+vRZBXP2z4CWNZGmLg==" spinCount="100000" sheet="1" objects="1" formatCells="0"/>
  <mergeCells count="28">
    <mergeCell ref="G159:L159"/>
    <mergeCell ref="G160:L160"/>
    <mergeCell ref="G161:L161"/>
    <mergeCell ref="J99:K99"/>
    <mergeCell ref="G157:L157"/>
    <mergeCell ref="G158:L158"/>
    <mergeCell ref="F102:H102"/>
    <mergeCell ref="F104:H104"/>
    <mergeCell ref="F99:G99"/>
    <mergeCell ref="I38:L38"/>
    <mergeCell ref="D53:D54"/>
    <mergeCell ref="F84:H84"/>
    <mergeCell ref="J83:L83"/>
    <mergeCell ref="J84:L84"/>
    <mergeCell ref="E57:H57"/>
    <mergeCell ref="I56:L56"/>
    <mergeCell ref="I57:L57"/>
    <mergeCell ref="I58:L58"/>
    <mergeCell ref="F73:H73"/>
    <mergeCell ref="F74:H74"/>
    <mergeCell ref="J73:L73"/>
    <mergeCell ref="J72:L72"/>
    <mergeCell ref="J74:L74"/>
    <mergeCell ref="F36:H36"/>
    <mergeCell ref="F37:H37"/>
    <mergeCell ref="F38:H38"/>
    <mergeCell ref="F39:H39"/>
    <mergeCell ref="F40:H40"/>
  </mergeCells>
  <phoneticPr fontId="3"/>
  <conditionalFormatting sqref="D23">
    <cfRule type="expression" dxfId="50" priority="21" stopIfTrue="1">
      <formula>AND(OR(D23&lt;1,D23&gt;5),D23&lt;&gt;0)</formula>
    </cfRule>
  </conditionalFormatting>
  <conditionalFormatting sqref="D89">
    <cfRule type="expression" dxfId="49" priority="24" stopIfTrue="1">
      <formula>AND(OR(D89&lt;1,D89&gt;5),D89&lt;&gt;0)</formula>
    </cfRule>
  </conditionalFormatting>
  <conditionalFormatting sqref="D112">
    <cfRule type="expression" dxfId="48" priority="19" stopIfTrue="1">
      <formula>AND(OR(D112&lt;1,D112&gt;5),D112&lt;&gt;0)</formula>
    </cfRule>
  </conditionalFormatting>
  <conditionalFormatting sqref="D121">
    <cfRule type="expression" dxfId="47" priority="18" stopIfTrue="1">
      <formula>AND(OR(D121&lt;1,D121&gt;5),D121&lt;&gt;0)</formula>
    </cfRule>
  </conditionalFormatting>
  <conditionalFormatting sqref="D131">
    <cfRule type="expression" dxfId="46" priority="17" stopIfTrue="1">
      <formula>AND(OR(D131&lt;1,D131&gt;5),D131&lt;&gt;0)</formula>
    </cfRule>
  </conditionalFormatting>
  <conditionalFormatting sqref="D140">
    <cfRule type="expression" dxfId="45" priority="16" stopIfTrue="1">
      <formula>AND(OR(D140&lt;1,D140&gt;5),D140&lt;&gt;0)</formula>
    </cfRule>
  </conditionalFormatting>
  <conditionalFormatting sqref="D149">
    <cfRule type="expression" dxfId="44" priority="14" stopIfTrue="1">
      <formula>AND(OR(D149&lt;1,D149&gt;5),D149&lt;&gt;0)</formula>
    </cfRule>
  </conditionalFormatting>
  <conditionalFormatting sqref="D69:E69 D14 D35:E35 D53">
    <cfRule type="expression" dxfId="43" priority="20" stopIfTrue="1">
      <formula>AND(OR(D14&lt;1,D14&gt;5),D14&lt;&gt;0)</formula>
    </cfRule>
  </conditionalFormatting>
  <conditionalFormatting sqref="D79:E79">
    <cfRule type="expression" dxfId="42" priority="9" stopIfTrue="1">
      <formula>AND(OR(D79&lt;1,D79&gt;5),D79&lt;&gt;0)</formula>
    </cfRule>
  </conditionalFormatting>
  <conditionalFormatting sqref="D99:E99">
    <cfRule type="expression" dxfId="41" priority="3" stopIfTrue="1">
      <formula>AND(OR(D99&lt;1,D99&gt;5),D99&lt;&gt;0)</formula>
    </cfRule>
  </conditionalFormatting>
  <conditionalFormatting sqref="E45:E50">
    <cfRule type="expression" dxfId="40" priority="12" stopIfTrue="1">
      <formula>$E$210="対象外"</formula>
    </cfRule>
  </conditionalFormatting>
  <conditionalFormatting sqref="E69">
    <cfRule type="expression" dxfId="39" priority="11">
      <formula>$G$69=0</formula>
    </cfRule>
  </conditionalFormatting>
  <conditionalFormatting sqref="E79">
    <cfRule type="expression" dxfId="38" priority="8">
      <formula>$G$79=0</formula>
    </cfRule>
  </conditionalFormatting>
  <conditionalFormatting sqref="E99">
    <cfRule type="expression" dxfId="37" priority="2">
      <formula>$H$99=0</formula>
    </cfRule>
  </conditionalFormatting>
  <conditionalFormatting sqref="E158:E161">
    <cfRule type="expression" dxfId="36" priority="13" stopIfTrue="1">
      <formula>$E$210="対象外"</formula>
    </cfRule>
  </conditionalFormatting>
  <conditionalFormatting sqref="I69">
    <cfRule type="expression" dxfId="35" priority="10">
      <formula>$K$69=0</formula>
    </cfRule>
    <cfRule type="expression" dxfId="34" priority="51" stopIfTrue="1">
      <formula>AND(OR(I69&lt;1,I69&gt;5),I69&lt;&gt;0)</formula>
    </cfRule>
  </conditionalFormatting>
  <conditionalFormatting sqref="I79">
    <cfRule type="expression" dxfId="33" priority="6">
      <formula>$K$79=0</formula>
    </cfRule>
    <cfRule type="expression" dxfId="32" priority="7" stopIfTrue="1">
      <formula>AND(OR(I79&lt;1,I79&gt;5),I79&lt;&gt;0)</formula>
    </cfRule>
  </conditionalFormatting>
  <conditionalFormatting sqref="I99">
    <cfRule type="expression" dxfId="31" priority="1">
      <formula>$L$99=0</formula>
    </cfRule>
    <cfRule type="expression" dxfId="30" priority="27" stopIfTrue="1">
      <formula>AND(OR(I99&lt;1,I99&gt;5),I99&lt;&gt;0)</formula>
    </cfRule>
  </conditionalFormatting>
  <dataValidations count="8">
    <dataValidation type="list" allowBlank="1" showInputMessage="1" showErrorMessage="1" sqref="I69" xr:uid="{28499B2E-A3C2-4EF1-87C7-0B28D53902FF}">
      <formula1>$R$70:$R$75</formula1>
    </dataValidation>
    <dataValidation type="list" allowBlank="1" showInputMessage="1" showErrorMessage="1" sqref="I99" xr:uid="{B03DA339-7D14-42E0-BEF0-7016A6D8B1C4}">
      <formula1>$R$100:$R$105</formula1>
    </dataValidation>
    <dataValidation type="list" allowBlank="1" showInputMessage="1" showErrorMessage="1" sqref="D89 D140 D23 D14 D112 D121 D131" xr:uid="{03AE37F0-A6E5-4E03-8B11-D69461413153}">
      <formula1>N15:N20</formula1>
    </dataValidation>
    <dataValidation allowBlank="1" showInputMessage="1" sqref="D149" xr:uid="{A20DDF42-2AB0-41EE-B704-B45E9C91FB8B}"/>
    <dataValidation type="list" allowBlank="1" showInputMessage="1" showErrorMessage="1" sqref="E158:E161 E45:E50" xr:uid="{484D2F88-1CC8-46CD-B8E5-76A075DD8413}">
      <formula1>$R$2:$R$4</formula1>
    </dataValidation>
    <dataValidation type="list" allowBlank="1" showInputMessage="1" showErrorMessage="1" sqref="G156" xr:uid="{646C2E68-B945-481E-A006-FDABFB833FFE}">
      <formula1>O155:O156</formula1>
    </dataValidation>
    <dataValidation type="list" allowBlank="1" showInputMessage="1" showErrorMessage="1" sqref="E79 I79 E69 E99" xr:uid="{E22BF47F-2C54-44C3-8295-FCDC85E58002}">
      <formula1>N70:N75</formula1>
    </dataValidation>
    <dataValidation type="list" allowBlank="1" showInputMessage="1" showErrorMessage="1" sqref="F42" xr:uid="{3DB68B25-6710-415C-9E29-7A30D0003D9A}">
      <formula1>$R$5:$R$6</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30" max="12"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52E6-571C-4F01-95CC-17147489F82E}">
  <sheetPr codeName="Sheet12">
    <pageSetUpPr autoPageBreaks="0" fitToPage="1"/>
  </sheetPr>
  <dimension ref="A1:AB255"/>
  <sheetViews>
    <sheetView showGridLines="0" zoomScaleNormal="100" zoomScaleSheetLayoutView="85" workbookViewId="0">
      <selection activeCell="E26" sqref="E26:E27"/>
    </sheetView>
  </sheetViews>
  <sheetFormatPr defaultColWidth="9" defaultRowHeight="13.2"/>
  <cols>
    <col min="1" max="1" width="0.77734375" style="97" customWidth="1"/>
    <col min="2" max="2" width="2" style="97" customWidth="1"/>
    <col min="3" max="3" width="2.88671875" style="97" customWidth="1"/>
    <col min="4" max="4" width="14.21875" style="97" customWidth="1"/>
    <col min="5" max="10" width="14.77734375" style="97" customWidth="1"/>
    <col min="11" max="12" width="10.88671875" style="97" customWidth="1"/>
    <col min="13" max="13" width="1.77734375" style="97" customWidth="1"/>
    <col min="14" max="16" width="6.44140625" style="141" hidden="1" customWidth="1"/>
    <col min="17" max="17" width="6.88671875" style="141" hidden="1" customWidth="1"/>
    <col min="18" max="19" width="7.6640625" style="141" hidden="1" customWidth="1"/>
    <col min="20" max="22" width="7.6640625" style="141" customWidth="1"/>
    <col min="23" max="26" width="8.88671875" style="141" customWidth="1"/>
    <col min="27" max="16384" width="9" style="97"/>
  </cols>
  <sheetData>
    <row r="1" spans="1:27" customFormat="1">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t="s">
        <v>311</v>
      </c>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141"/>
    </row>
    <row r="6" spans="1:27" customFormat="1" ht="13.8" hidden="1">
      <c r="N6" s="451">
        <v>5</v>
      </c>
      <c r="O6" s="451" t="s">
        <v>329</v>
      </c>
      <c r="P6" s="451" t="s">
        <v>330</v>
      </c>
    </row>
    <row r="7" spans="1:27" customFormat="1" hidden="1">
      <c r="G7" s="97"/>
    </row>
    <row r="8" spans="1:27" customFormat="1" hidden="1"/>
    <row r="9" spans="1:27" s="8" customFormat="1" ht="18" thickBot="1">
      <c r="A9" s="672"/>
      <c r="B9" s="667" t="s">
        <v>1211</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1" customFormat="1" ht="16.2" thickBot="1">
      <c r="B12" s="668" t="s">
        <v>1076</v>
      </c>
      <c r="C12" s="668"/>
      <c r="D12" s="164"/>
      <c r="E12" s="666"/>
      <c r="F12" s="677"/>
      <c r="G12" s="677"/>
      <c r="H12" s="677"/>
      <c r="I12" s="462"/>
      <c r="J12" s="666"/>
      <c r="K12" s="666"/>
      <c r="L12" s="678"/>
      <c r="M12" s="666"/>
      <c r="N12" s="63"/>
      <c r="O12" s="63"/>
    </row>
    <row r="13" spans="1:27" s="51" customFormat="1" ht="21" customHeight="1" thickBot="1">
      <c r="B13" s="668"/>
      <c r="C13" s="668"/>
      <c r="D13" s="1239">
        <f>IF(E26=R3,N18,IF(E25=R3,N17,IF(E24=R3,N16,IF(OR(E23=R3,E22=R3,E21=R3),N15,N14))))</f>
        <v>2</v>
      </c>
      <c r="E13" s="456" t="s">
        <v>1227</v>
      </c>
      <c r="F13" s="456"/>
      <c r="G13" s="456"/>
      <c r="H13" s="456"/>
      <c r="I13" s="456"/>
      <c r="J13" s="456"/>
      <c r="K13" s="456"/>
      <c r="L13" s="457"/>
      <c r="M13" s="666"/>
      <c r="N13" s="451" t="s">
        <v>335</v>
      </c>
      <c r="O13" s="451" t="s">
        <v>336</v>
      </c>
    </row>
    <row r="14" spans="1:27" s="51" customFormat="1" ht="27" customHeight="1">
      <c r="B14" s="668"/>
      <c r="C14" s="668"/>
      <c r="D14" s="438" t="str">
        <f>IF(ROUNDDOWN(D13,0)=$N$2,$P$2,$O$2)</f>
        <v>　レベル　1</v>
      </c>
      <c r="E14" s="463" t="s">
        <v>1301</v>
      </c>
      <c r="F14" s="503"/>
      <c r="G14" s="503"/>
      <c r="H14" s="503"/>
      <c r="I14" s="503"/>
      <c r="J14" s="503"/>
      <c r="K14" s="503"/>
      <c r="L14" s="510"/>
      <c r="M14" s="666"/>
      <c r="N14" s="452">
        <v>1</v>
      </c>
      <c r="O14" s="742" t="s">
        <v>715</v>
      </c>
    </row>
    <row r="15" spans="1:27" s="51" customFormat="1" ht="54" customHeight="1">
      <c r="B15" s="668"/>
      <c r="C15" s="668"/>
      <c r="D15" s="439" t="str">
        <f>IF(ROUNDDOWN(D13,0)=$N$3,$P$3,$O$3)</f>
        <v>■レベル　2</v>
      </c>
      <c r="E15" s="1880" t="s">
        <v>818</v>
      </c>
      <c r="F15" s="1881"/>
      <c r="G15" s="1881"/>
      <c r="H15" s="1881"/>
      <c r="I15" s="1881"/>
      <c r="J15" s="1881"/>
      <c r="K15" s="1881"/>
      <c r="L15" s="1882"/>
      <c r="M15" s="666"/>
      <c r="N15" s="452">
        <v>2</v>
      </c>
      <c r="O15" s="742" t="s">
        <v>716</v>
      </c>
    </row>
    <row r="16" spans="1:27" s="51" customFormat="1" ht="28.95" customHeight="1">
      <c r="B16" s="668"/>
      <c r="C16" s="668"/>
      <c r="D16" s="439" t="str">
        <f>IF(ROUNDDOWN(D13,0)=$N$4,$P$4,$O$4)</f>
        <v>　レベル　3</v>
      </c>
      <c r="E16" s="1880" t="s">
        <v>819</v>
      </c>
      <c r="F16" s="1881"/>
      <c r="G16" s="1881"/>
      <c r="H16" s="1881"/>
      <c r="I16" s="1881"/>
      <c r="J16" s="1881"/>
      <c r="K16" s="1881"/>
      <c r="L16" s="1882"/>
      <c r="M16" s="666"/>
      <c r="N16" s="452">
        <v>3</v>
      </c>
      <c r="O16" s="742" t="s">
        <v>717</v>
      </c>
    </row>
    <row r="17" spans="2:15" s="51" customFormat="1" ht="28.2" customHeight="1">
      <c r="B17" s="668"/>
      <c r="C17" s="668"/>
      <c r="D17" s="439" t="str">
        <f>IF(ROUNDDOWN(D13,0)=$N$5,$P$5,$O$5)</f>
        <v>　レベル　4</v>
      </c>
      <c r="E17" s="1883" t="s">
        <v>820</v>
      </c>
      <c r="F17" s="1908"/>
      <c r="G17" s="1908"/>
      <c r="H17" s="1908"/>
      <c r="I17" s="1908"/>
      <c r="J17" s="1908"/>
      <c r="K17" s="1908"/>
      <c r="L17" s="1909"/>
      <c r="M17" s="666"/>
      <c r="N17" s="452">
        <v>4</v>
      </c>
      <c r="O17" s="742" t="s">
        <v>718</v>
      </c>
    </row>
    <row r="18" spans="2:15" s="51" customFormat="1" ht="40.200000000000003" customHeight="1">
      <c r="B18" s="668"/>
      <c r="C18" s="668"/>
      <c r="D18" s="440" t="str">
        <f>IF(ROUNDDOWN(D13,0)=$N$6,$P$6,$O$6)</f>
        <v>　レベル　5</v>
      </c>
      <c r="E18" s="1844" t="s">
        <v>821</v>
      </c>
      <c r="F18" s="1845"/>
      <c r="G18" s="1845"/>
      <c r="H18" s="1845"/>
      <c r="I18" s="1845"/>
      <c r="J18" s="1845"/>
      <c r="K18" s="1845"/>
      <c r="L18" s="1846"/>
      <c r="M18" s="666"/>
      <c r="N18" s="452">
        <v>5</v>
      </c>
      <c r="O18" s="742" t="s">
        <v>719</v>
      </c>
    </row>
    <row r="19" spans="2:15" s="51" customFormat="1" ht="15.6">
      <c r="B19" s="668"/>
      <c r="C19" s="668"/>
      <c r="D19" s="441" t="s">
        <v>340</v>
      </c>
      <c r="E19" s="1010"/>
      <c r="F19" s="497"/>
      <c r="G19" s="497"/>
      <c r="H19" s="681"/>
      <c r="I19"/>
      <c r="J19"/>
      <c r="K19"/>
      <c r="L19"/>
      <c r="M19" s="666"/>
      <c r="N19" s="452" t="s">
        <v>311</v>
      </c>
      <c r="O19" s="742" t="s">
        <v>736</v>
      </c>
    </row>
    <row r="20" spans="2:15" s="51" customFormat="1" ht="16.2" thickBot="1">
      <c r="B20" s="668"/>
      <c r="C20" s="668"/>
      <c r="D20" s="441" t="s">
        <v>714</v>
      </c>
      <c r="E20" s="749" t="str">
        <f>VLOOKUP(D13,N14:O19,2)</f>
        <v>★★☆☆☆</v>
      </c>
      <c r="F20" s="677"/>
      <c r="G20" s="677"/>
      <c r="H20" s="677"/>
      <c r="I20" s="462"/>
      <c r="K20" s="666"/>
      <c r="M20" s="666"/>
      <c r="N20" s="63"/>
      <c r="O20" s="63"/>
    </row>
    <row r="21" spans="2:15" s="51" customFormat="1" ht="16.2" thickBot="1">
      <c r="B21" s="668"/>
      <c r="C21" s="668"/>
      <c r="D21" s="441"/>
      <c r="E21" s="773" t="s">
        <v>323</v>
      </c>
      <c r="F21" s="1949" t="s">
        <v>1071</v>
      </c>
      <c r="G21" s="1950"/>
      <c r="H21" s="1950"/>
      <c r="I21" s="1950"/>
      <c r="J21" s="1950"/>
      <c r="K21" s="1950"/>
      <c r="L21" s="1951"/>
      <c r="M21" s="666"/>
      <c r="N21" s="63"/>
      <c r="O21" s="63"/>
    </row>
    <row r="22" spans="2:15" s="51" customFormat="1" ht="16.2" thickBot="1">
      <c r="B22" s="668"/>
      <c r="C22" s="668"/>
      <c r="D22" s="441"/>
      <c r="E22" s="773" t="s">
        <v>1077</v>
      </c>
      <c r="F22" s="1949" t="s">
        <v>1072</v>
      </c>
      <c r="G22" s="1950"/>
      <c r="H22" s="1950"/>
      <c r="I22" s="1950"/>
      <c r="J22" s="1950"/>
      <c r="K22" s="1950"/>
      <c r="L22" s="1951"/>
      <c r="M22" s="666"/>
      <c r="N22" s="63"/>
      <c r="O22" s="63"/>
    </row>
    <row r="23" spans="2:15" s="51" customFormat="1" ht="16.2" thickBot="1">
      <c r="B23" s="668"/>
      <c r="C23" s="668"/>
      <c r="D23" s="441"/>
      <c r="E23" s="773" t="s">
        <v>1077</v>
      </c>
      <c r="F23" s="1949" t="s">
        <v>1073</v>
      </c>
      <c r="G23" s="1950"/>
      <c r="H23" s="1950"/>
      <c r="I23" s="1950"/>
      <c r="J23" s="1950"/>
      <c r="K23" s="1950"/>
      <c r="L23" s="1951"/>
      <c r="M23" s="666"/>
      <c r="N23" s="63"/>
      <c r="O23" s="63"/>
    </row>
    <row r="24" spans="2:15" s="51" customFormat="1" ht="16.2" thickBot="1">
      <c r="B24" s="668"/>
      <c r="C24" s="668"/>
      <c r="D24" s="441"/>
      <c r="E24" s="773" t="s">
        <v>1077</v>
      </c>
      <c r="F24" s="1949" t="s">
        <v>1074</v>
      </c>
      <c r="G24" s="1950"/>
      <c r="H24" s="1950"/>
      <c r="I24" s="1950"/>
      <c r="J24" s="1950"/>
      <c r="K24" s="1950"/>
      <c r="L24" s="1951"/>
      <c r="M24" s="666"/>
      <c r="N24" s="63"/>
      <c r="O24" s="63"/>
    </row>
    <row r="25" spans="2:15" s="51" customFormat="1" ht="16.2" thickBot="1">
      <c r="B25" s="668"/>
      <c r="C25" s="668"/>
      <c r="D25" s="441"/>
      <c r="E25" s="773" t="s">
        <v>1077</v>
      </c>
      <c r="F25" s="1949" t="s">
        <v>1075</v>
      </c>
      <c r="G25" s="1950"/>
      <c r="H25" s="1950"/>
      <c r="I25" s="1950"/>
      <c r="J25" s="1950"/>
      <c r="K25" s="1950"/>
      <c r="L25" s="1951"/>
      <c r="M25" s="666"/>
      <c r="N25" s="63"/>
      <c r="O25" s="63"/>
    </row>
    <row r="26" spans="2:15" s="51" customFormat="1" ht="16.2" thickBot="1">
      <c r="B26" s="668"/>
      <c r="C26" s="668"/>
      <c r="D26" s="441"/>
      <c r="E26" s="1952" t="s">
        <v>1077</v>
      </c>
      <c r="F26" s="1953" t="s">
        <v>1078</v>
      </c>
      <c r="G26" s="1953"/>
      <c r="H26" s="1953"/>
      <c r="I26" s="1953"/>
      <c r="J26" s="1953"/>
      <c r="K26" s="1953"/>
      <c r="L26" s="1953"/>
      <c r="M26" s="666"/>
      <c r="N26" s="63"/>
      <c r="O26" s="63"/>
    </row>
    <row r="27" spans="2:15" s="51" customFormat="1" ht="15.6" customHeight="1" thickBot="1">
      <c r="B27" s="668"/>
      <c r="C27" s="668"/>
      <c r="D27" s="441"/>
      <c r="E27" s="1952"/>
      <c r="F27" s="1953"/>
      <c r="G27" s="1953"/>
      <c r="H27" s="1953"/>
      <c r="I27" s="1953"/>
      <c r="J27" s="1953"/>
      <c r="K27" s="1953"/>
      <c r="L27" s="1953"/>
      <c r="M27" s="666"/>
      <c r="N27" s="63"/>
      <c r="O27" s="63"/>
    </row>
    <row r="28" spans="2:15" s="51" customFormat="1" ht="15.6">
      <c r="B28" s="668"/>
      <c r="C28" s="668"/>
      <c r="D28" s="441"/>
      <c r="E28" s="749"/>
      <c r="F28" s="677"/>
      <c r="G28" s="677"/>
      <c r="H28" s="677"/>
      <c r="I28" s="462"/>
      <c r="J28" s="678" t="s">
        <v>773</v>
      </c>
      <c r="K28" s="666"/>
      <c r="M28" s="666"/>
      <c r="N28" s="63"/>
      <c r="O28" s="63"/>
    </row>
    <row r="29" spans="2:15" s="51" customFormat="1" ht="15.6">
      <c r="B29" s="668"/>
      <c r="C29" s="668"/>
      <c r="D29" s="441"/>
      <c r="E29" s="1945" t="s">
        <v>776</v>
      </c>
      <c r="F29" s="1945"/>
      <c r="G29" s="1945"/>
      <c r="H29" s="1945"/>
      <c r="I29" s="1945"/>
      <c r="J29" s="1945"/>
      <c r="K29" s="666"/>
      <c r="L29" s="63"/>
      <c r="M29" s="666"/>
      <c r="N29" s="63"/>
      <c r="O29" s="63"/>
    </row>
    <row r="30" spans="2:15" s="51" customFormat="1" ht="15.6" customHeight="1">
      <c r="B30" s="668"/>
      <c r="C30" s="668"/>
      <c r="D30" s="515"/>
      <c r="E30" s="748" t="s">
        <v>781</v>
      </c>
      <c r="F30" s="748" t="s">
        <v>782</v>
      </c>
      <c r="G30" s="748" t="s">
        <v>783</v>
      </c>
      <c r="H30" s="748" t="s">
        <v>784</v>
      </c>
      <c r="I30" s="748" t="s">
        <v>785</v>
      </c>
      <c r="J30" s="748" t="s">
        <v>160</v>
      </c>
      <c r="K30" s="666"/>
      <c r="L30" s="63"/>
      <c r="M30" s="63"/>
    </row>
    <row r="31" spans="2:15" s="51" customFormat="1" ht="15.6">
      <c r="B31" s="668"/>
      <c r="C31" s="668"/>
      <c r="D31" s="441" t="s">
        <v>822</v>
      </c>
      <c r="E31" s="1258">
        <v>10</v>
      </c>
      <c r="F31" s="1258">
        <v>20</v>
      </c>
      <c r="G31" s="1258">
        <v>10</v>
      </c>
      <c r="H31" s="1258">
        <v>5</v>
      </c>
      <c r="I31" s="1258">
        <v>5</v>
      </c>
      <c r="J31" s="765">
        <f>SUM(E31:I31)</f>
        <v>50</v>
      </c>
      <c r="K31" s="666"/>
      <c r="L31" s="63"/>
      <c r="M31" s="63"/>
    </row>
    <row r="32" spans="2:15" s="51" customFormat="1" ht="15.6">
      <c r="B32" s="668"/>
      <c r="C32" s="668"/>
      <c r="D32" s="441" t="s">
        <v>726</v>
      </c>
      <c r="E32" s="1259">
        <v>5</v>
      </c>
      <c r="F32" s="1259">
        <v>5</v>
      </c>
      <c r="G32" s="1259">
        <v>5</v>
      </c>
      <c r="H32" s="1259">
        <v>5</v>
      </c>
      <c r="I32" s="1259">
        <v>5</v>
      </c>
      <c r="J32" s="765">
        <f>SUM(E32:I32)</f>
        <v>25</v>
      </c>
      <c r="K32" s="666"/>
      <c r="L32" s="63"/>
      <c r="M32" s="63"/>
    </row>
    <row r="33" spans="2:13" s="51" customFormat="1" ht="15.6">
      <c r="B33" s="668"/>
      <c r="C33" s="668"/>
      <c r="D33" s="441" t="s">
        <v>778</v>
      </c>
      <c r="E33" s="764">
        <f>-(E31-E32)/E31</f>
        <v>-0.5</v>
      </c>
      <c r="F33" s="764">
        <f t="shared" ref="F33:J33" si="0">-(F31-F32)/F31</f>
        <v>-0.75</v>
      </c>
      <c r="G33" s="764">
        <f t="shared" si="0"/>
        <v>-0.5</v>
      </c>
      <c r="H33" s="764">
        <f t="shared" si="0"/>
        <v>0</v>
      </c>
      <c r="I33" s="764">
        <f t="shared" si="0"/>
        <v>0</v>
      </c>
      <c r="J33" s="764">
        <f t="shared" si="0"/>
        <v>-0.5</v>
      </c>
      <c r="K33" s="666"/>
      <c r="L33" s="63"/>
      <c r="M33" s="63"/>
    </row>
    <row r="34" spans="2:13" s="51" customFormat="1" ht="15.6" hidden="1">
      <c r="B34" s="668"/>
      <c r="C34" s="668"/>
      <c r="D34" s="441"/>
      <c r="E34" s="1945" t="s">
        <v>769</v>
      </c>
      <c r="F34" s="1945"/>
      <c r="G34" s="1945"/>
      <c r="H34" s="1945"/>
      <c r="I34" s="1945"/>
      <c r="J34" s="1945"/>
      <c r="K34" s="666"/>
      <c r="L34" s="63"/>
      <c r="M34" s="63"/>
    </row>
    <row r="35" spans="2:13" s="51" customFormat="1" ht="15.6">
      <c r="B35" s="668"/>
      <c r="C35" s="668"/>
      <c r="D35" s="441"/>
      <c r="E35" s="748" t="s">
        <v>787</v>
      </c>
      <c r="F35" s="748" t="s">
        <v>788</v>
      </c>
      <c r="G35" s="748" t="s">
        <v>789</v>
      </c>
      <c r="H35" s="748" t="s">
        <v>790</v>
      </c>
      <c r="I35" s="748" t="s">
        <v>786</v>
      </c>
      <c r="J35" s="748" t="s">
        <v>160</v>
      </c>
      <c r="K35" s="666"/>
      <c r="L35" s="63"/>
      <c r="M35" s="63"/>
    </row>
    <row r="36" spans="2:13" s="51" customFormat="1" ht="15.6">
      <c r="B36" s="668"/>
      <c r="C36" s="668"/>
      <c r="D36" s="441" t="s">
        <v>822</v>
      </c>
      <c r="E36" s="1258">
        <v>20</v>
      </c>
      <c r="F36" s="1258">
        <v>30</v>
      </c>
      <c r="G36" s="1258">
        <v>40</v>
      </c>
      <c r="H36" s="1258">
        <v>20</v>
      </c>
      <c r="I36" s="1258">
        <v>10</v>
      </c>
      <c r="J36" s="765">
        <f>SUM(E36:I36)</f>
        <v>120</v>
      </c>
      <c r="K36" s="666"/>
      <c r="L36" s="63"/>
      <c r="M36" s="63"/>
    </row>
    <row r="37" spans="2:13" s="51" customFormat="1" ht="15.6">
      <c r="B37" s="668"/>
      <c r="C37" s="668"/>
      <c r="D37" s="441" t="s">
        <v>726</v>
      </c>
      <c r="E37" s="1259">
        <v>5</v>
      </c>
      <c r="F37" s="1259">
        <v>5</v>
      </c>
      <c r="G37" s="1259">
        <v>5</v>
      </c>
      <c r="H37" s="1259">
        <v>5</v>
      </c>
      <c r="I37" s="1259">
        <v>5</v>
      </c>
      <c r="J37" s="765">
        <f>SUM(E37:I37)</f>
        <v>25</v>
      </c>
      <c r="K37" s="666"/>
      <c r="L37" s="63"/>
      <c r="M37" s="63"/>
    </row>
    <row r="38" spans="2:13" s="51" customFormat="1" ht="15.6">
      <c r="B38" s="668"/>
      <c r="C38" s="668"/>
      <c r="D38" s="441" t="s">
        <v>778</v>
      </c>
      <c r="E38" s="764">
        <f>-(E36-E37)/E36</f>
        <v>-0.75</v>
      </c>
      <c r="F38" s="764">
        <f t="shared" ref="F38" si="1">-(F36-F37)/F36</f>
        <v>-0.83333333333333337</v>
      </c>
      <c r="G38" s="764">
        <f>(G36-G37)/G36</f>
        <v>0.875</v>
      </c>
      <c r="H38" s="764">
        <f t="shared" ref="H38:J38" si="2">-(H36-H37)/H36</f>
        <v>-0.75</v>
      </c>
      <c r="I38" s="764">
        <f t="shared" si="2"/>
        <v>-0.5</v>
      </c>
      <c r="J38" s="764">
        <f t="shared" si="2"/>
        <v>-0.79166666666666663</v>
      </c>
      <c r="K38" s="666"/>
      <c r="L38" s="63"/>
      <c r="M38" s="63"/>
    </row>
    <row r="39" spans="2:13" s="51" customFormat="1" ht="15.6" hidden="1">
      <c r="B39" s="668"/>
      <c r="C39" s="668"/>
      <c r="D39" s="441"/>
      <c r="E39" s="1945" t="s">
        <v>770</v>
      </c>
      <c r="F39" s="1945"/>
      <c r="G39" s="1945"/>
      <c r="H39" s="1945"/>
      <c r="I39" s="1945"/>
      <c r="J39" s="1945"/>
      <c r="K39" s="666"/>
      <c r="L39" s="63"/>
      <c r="M39" s="63"/>
    </row>
    <row r="40" spans="2:13" s="51" customFormat="1" ht="15.6">
      <c r="B40" s="668"/>
      <c r="C40" s="668"/>
      <c r="D40" s="441"/>
      <c r="E40" s="748" t="s">
        <v>792</v>
      </c>
      <c r="F40" s="748" t="s">
        <v>791</v>
      </c>
      <c r="G40" s="748"/>
      <c r="H40" s="748"/>
      <c r="I40" s="748"/>
      <c r="J40" s="748" t="s">
        <v>160</v>
      </c>
      <c r="K40" s="666"/>
      <c r="L40" s="63"/>
      <c r="M40" s="63"/>
    </row>
    <row r="41" spans="2:13" s="51" customFormat="1" ht="15.6">
      <c r="B41" s="668"/>
      <c r="C41" s="668"/>
      <c r="D41" s="441" t="s">
        <v>822</v>
      </c>
      <c r="E41" s="1260">
        <v>70</v>
      </c>
      <c r="F41" s="1260">
        <v>35</v>
      </c>
      <c r="G41" s="763"/>
      <c r="H41" s="763"/>
      <c r="I41" s="763"/>
      <c r="J41" s="765">
        <f>SUM(E41:I41)</f>
        <v>105</v>
      </c>
      <c r="K41" s="666"/>
      <c r="L41" s="63"/>
      <c r="M41" s="63"/>
    </row>
    <row r="42" spans="2:13" s="51" customFormat="1" ht="15.6">
      <c r="B42" s="668"/>
      <c r="C42" s="668"/>
      <c r="D42" s="441" t="s">
        <v>726</v>
      </c>
      <c r="E42" s="1260">
        <v>5</v>
      </c>
      <c r="F42" s="1260">
        <v>5</v>
      </c>
      <c r="G42" s="763"/>
      <c r="H42" s="763"/>
      <c r="I42" s="763"/>
      <c r="J42" s="765">
        <f>SUM(E42:I42)</f>
        <v>10</v>
      </c>
      <c r="K42" s="666"/>
      <c r="L42" s="63"/>
      <c r="M42" s="63"/>
    </row>
    <row r="43" spans="2:13" s="51" customFormat="1" ht="15.6">
      <c r="B43" s="668"/>
      <c r="C43" s="668"/>
      <c r="D43" s="441" t="s">
        <v>778</v>
      </c>
      <c r="E43" s="764">
        <f>-(E41-E42)/E41</f>
        <v>-0.9285714285714286</v>
      </c>
      <c r="F43" s="764">
        <f t="shared" ref="F43" si="3">-(F41-F42)/F41</f>
        <v>-0.8571428571428571</v>
      </c>
      <c r="G43" s="764"/>
      <c r="H43" s="764"/>
      <c r="I43" s="764"/>
      <c r="J43" s="764">
        <f t="shared" ref="J43" si="4">-(J41-J42)/J41</f>
        <v>-0.90476190476190477</v>
      </c>
      <c r="K43" s="666"/>
      <c r="L43" s="63"/>
      <c r="M43" s="63"/>
    </row>
    <row r="44" spans="2:13" s="51" customFormat="1" ht="15.6" hidden="1">
      <c r="B44" s="668"/>
      <c r="C44" s="668"/>
      <c r="D44" s="441"/>
      <c r="E44" s="1946" t="s">
        <v>771</v>
      </c>
      <c r="F44" s="1946"/>
      <c r="G44" s="1946"/>
      <c r="H44" s="1946"/>
      <c r="I44" s="1946"/>
      <c r="J44" s="1946"/>
      <c r="K44" s="666"/>
      <c r="L44" s="63"/>
      <c r="M44" s="63"/>
    </row>
    <row r="45" spans="2:13" s="51" customFormat="1" ht="15.6">
      <c r="B45" s="668"/>
      <c r="C45" s="668"/>
      <c r="D45" s="441"/>
      <c r="E45" s="748" t="s">
        <v>793</v>
      </c>
      <c r="F45" s="748" t="s">
        <v>794</v>
      </c>
      <c r="G45" s="748" t="s">
        <v>795</v>
      </c>
      <c r="H45" s="748" t="s">
        <v>796</v>
      </c>
      <c r="I45" s="748"/>
      <c r="J45" s="748"/>
      <c r="K45" s="666"/>
      <c r="L45" s="63"/>
      <c r="M45" s="63"/>
    </row>
    <row r="46" spans="2:13" s="51" customFormat="1" ht="15.6">
      <c r="B46" s="668"/>
      <c r="C46" s="668"/>
      <c r="D46" s="441" t="s">
        <v>822</v>
      </c>
      <c r="E46" s="1258">
        <v>10</v>
      </c>
      <c r="F46" s="1258">
        <v>10</v>
      </c>
      <c r="G46" s="1258">
        <v>20</v>
      </c>
      <c r="H46" s="1258">
        <v>5</v>
      </c>
      <c r="I46" s="743"/>
      <c r="J46" s="765">
        <f>SUM(E46:I46)</f>
        <v>45</v>
      </c>
      <c r="K46" s="666"/>
      <c r="L46" s="63"/>
      <c r="M46" s="63"/>
    </row>
    <row r="47" spans="2:13" s="51" customFormat="1" ht="15.6">
      <c r="B47" s="668"/>
      <c r="C47" s="668"/>
      <c r="D47" s="441" t="s">
        <v>726</v>
      </c>
      <c r="E47" s="1259">
        <v>5</v>
      </c>
      <c r="F47" s="1259">
        <v>5</v>
      </c>
      <c r="G47" s="1259">
        <v>5</v>
      </c>
      <c r="H47" s="1259">
        <v>5</v>
      </c>
      <c r="I47" s="764"/>
      <c r="J47" s="765">
        <f>SUM(E47:I47)</f>
        <v>20</v>
      </c>
      <c r="K47" s="666"/>
      <c r="L47" s="63"/>
      <c r="M47" s="63"/>
    </row>
    <row r="48" spans="2:13" s="51" customFormat="1" ht="15.6">
      <c r="B48" s="668"/>
      <c r="C48" s="668"/>
      <c r="D48" s="441" t="s">
        <v>778</v>
      </c>
      <c r="E48" s="764">
        <f>-(E46-E47)/E46</f>
        <v>-0.5</v>
      </c>
      <c r="F48" s="764">
        <f t="shared" ref="F48:H48" si="5">-(F46-F47)/F46</f>
        <v>-0.5</v>
      </c>
      <c r="G48" s="764">
        <f t="shared" si="5"/>
        <v>-0.75</v>
      </c>
      <c r="H48" s="764">
        <f t="shared" si="5"/>
        <v>0</v>
      </c>
      <c r="I48" s="764"/>
      <c r="J48" s="764">
        <f t="shared" ref="J48" si="6">-(J46-J47)/J46</f>
        <v>-0.55555555555555558</v>
      </c>
      <c r="K48" s="666"/>
      <c r="L48" s="63"/>
      <c r="M48" s="63"/>
    </row>
    <row r="49" spans="2:13" s="51" customFormat="1" ht="15.6" hidden="1">
      <c r="B49" s="668"/>
      <c r="C49" s="668"/>
      <c r="D49" s="441"/>
      <c r="E49" s="1946" t="s">
        <v>777</v>
      </c>
      <c r="F49" s="1946"/>
      <c r="G49" s="1946"/>
      <c r="H49" s="1946"/>
      <c r="I49" s="1946"/>
      <c r="J49" s="1946"/>
      <c r="K49" s="666"/>
      <c r="L49" s="63"/>
      <c r="M49" s="63"/>
    </row>
    <row r="50" spans="2:13" s="51" customFormat="1" ht="15.6">
      <c r="B50" s="668"/>
      <c r="C50" s="668"/>
      <c r="D50" s="441"/>
      <c r="E50" s="767" t="s">
        <v>797</v>
      </c>
      <c r="F50" s="748"/>
      <c r="G50" s="748"/>
      <c r="H50" s="748"/>
      <c r="I50" s="748"/>
      <c r="J50" s="748"/>
      <c r="K50" s="666"/>
      <c r="L50" s="63"/>
      <c r="M50" s="63"/>
    </row>
    <row r="51" spans="2:13" s="51" customFormat="1" ht="15.6">
      <c r="B51" s="668"/>
      <c r="C51" s="668"/>
      <c r="D51" s="441" t="s">
        <v>822</v>
      </c>
      <c r="E51" s="1258"/>
      <c r="F51" s="765"/>
      <c r="G51" s="765"/>
      <c r="H51" s="765"/>
      <c r="I51" s="743"/>
      <c r="J51" s="765">
        <f>SUM(E51:I51)</f>
        <v>0</v>
      </c>
      <c r="K51" s="666"/>
      <c r="L51" s="63"/>
      <c r="M51" s="63"/>
    </row>
    <row r="52" spans="2:13" s="51" customFormat="1" ht="15.6">
      <c r="B52" s="668"/>
      <c r="C52" s="668"/>
      <c r="D52" s="441" t="s">
        <v>726</v>
      </c>
      <c r="E52" s="1259"/>
      <c r="F52" s="766"/>
      <c r="G52" s="766"/>
      <c r="H52" s="766"/>
      <c r="I52" s="764"/>
      <c r="J52" s="765">
        <f>SUM(E52:I52)</f>
        <v>0</v>
      </c>
      <c r="K52" s="666"/>
      <c r="L52" s="63"/>
      <c r="M52" s="63"/>
    </row>
    <row r="53" spans="2:13" s="51" customFormat="1" ht="15.6">
      <c r="B53" s="668"/>
      <c r="C53" s="668"/>
      <c r="D53" s="441" t="s">
        <v>778</v>
      </c>
      <c r="E53" s="764" t="e">
        <f>-(E51-E52)/E51</f>
        <v>#DIV/0!</v>
      </c>
      <c r="F53" s="764"/>
      <c r="G53" s="764"/>
      <c r="H53" s="764"/>
      <c r="I53" s="764"/>
      <c r="J53" s="764" t="e">
        <f t="shared" ref="J53" si="7">-(J51-J52)/J51</f>
        <v>#DIV/0!</v>
      </c>
      <c r="K53" s="666"/>
      <c r="L53" s="63"/>
      <c r="M53" s="63"/>
    </row>
    <row r="54" spans="2:13" s="51" customFormat="1" ht="15.6" hidden="1">
      <c r="B54" s="668"/>
      <c r="C54" s="668"/>
      <c r="D54" s="441"/>
      <c r="E54" s="1947" t="s">
        <v>772</v>
      </c>
      <c r="F54" s="1947"/>
      <c r="G54" s="1947"/>
      <c r="H54" s="1947"/>
      <c r="I54" s="1947"/>
      <c r="J54" s="1947"/>
      <c r="K54" s="666"/>
      <c r="L54" s="63"/>
      <c r="M54" s="63"/>
    </row>
    <row r="55" spans="2:13" s="51" customFormat="1" ht="15.6">
      <c r="B55" s="668"/>
      <c r="C55" s="668"/>
      <c r="D55" s="441"/>
      <c r="E55" s="748"/>
      <c r="F55" s="748"/>
      <c r="G55" s="748"/>
      <c r="H55" s="748"/>
      <c r="I55" s="748"/>
      <c r="J55" s="748" t="s">
        <v>160</v>
      </c>
      <c r="K55" s="666"/>
      <c r="L55" s="63"/>
      <c r="M55" s="63"/>
    </row>
    <row r="56" spans="2:13" s="51" customFormat="1" ht="15.6">
      <c r="B56" s="668"/>
      <c r="C56" s="668"/>
      <c r="D56" s="441" t="s">
        <v>822</v>
      </c>
      <c r="E56" s="743"/>
      <c r="F56" s="743"/>
      <c r="G56" s="743"/>
      <c r="H56" s="743"/>
      <c r="I56" s="743"/>
      <c r="J56" s="765">
        <f>J31+J36+J41+J46+J51</f>
        <v>320</v>
      </c>
      <c r="K56" s="666"/>
      <c r="L56" s="63"/>
      <c r="M56" s="63"/>
    </row>
    <row r="57" spans="2:13" s="51" customFormat="1" ht="15.6">
      <c r="B57" s="668"/>
      <c r="C57" s="668"/>
      <c r="D57" s="441" t="s">
        <v>726</v>
      </c>
      <c r="E57" s="743"/>
      <c r="F57" s="743"/>
      <c r="G57" s="743"/>
      <c r="H57" s="743"/>
      <c r="I57" s="743"/>
      <c r="J57" s="765">
        <f>J32+J37+J42+J47+J52</f>
        <v>80</v>
      </c>
      <c r="K57" s="666"/>
      <c r="L57" s="63"/>
      <c r="M57" s="63"/>
    </row>
    <row r="58" spans="2:13" s="51" customFormat="1" ht="15.6">
      <c r="B58" s="668"/>
      <c r="C58" s="668"/>
      <c r="D58" s="441" t="s">
        <v>778</v>
      </c>
      <c r="E58" s="764"/>
      <c r="F58" s="764"/>
      <c r="G58" s="764"/>
      <c r="H58" s="764"/>
      <c r="I58" s="764"/>
      <c r="J58" s="764">
        <f t="shared" ref="J58" si="8">-(J56-J57)/J56</f>
        <v>-0.75</v>
      </c>
      <c r="K58" s="666"/>
      <c r="L58" s="63"/>
      <c r="M58" s="63"/>
    </row>
    <row r="59" spans="2:13" s="51" customFormat="1" ht="15.6" hidden="1">
      <c r="B59" s="668"/>
      <c r="C59" s="668"/>
      <c r="D59" s="441"/>
      <c r="E59" s="772"/>
      <c r="F59" s="772"/>
      <c r="G59" s="772"/>
      <c r="H59" s="772"/>
      <c r="I59" s="772"/>
      <c r="J59" s="772"/>
      <c r="K59" s="666"/>
      <c r="L59" s="63"/>
      <c r="M59" s="63"/>
    </row>
    <row r="60" spans="2:13" s="51" customFormat="1" ht="16.2" thickBot="1">
      <c r="B60" s="668"/>
      <c r="C60" s="668"/>
      <c r="D60" s="164"/>
      <c r="F60" s="1948" t="s">
        <v>1079</v>
      </c>
      <c r="G60" s="1948"/>
      <c r="H60" s="1948"/>
      <c r="I60" s="462"/>
      <c r="J60" s="666"/>
      <c r="K60" s="666"/>
      <c r="L60" s="678"/>
      <c r="M60" s="63"/>
    </row>
    <row r="61" spans="2:13" s="51" customFormat="1" ht="16.2" thickBot="1">
      <c r="B61" s="668"/>
      <c r="C61" s="668"/>
      <c r="D61" s="164"/>
      <c r="E61" s="773" t="s">
        <v>323</v>
      </c>
      <c r="F61" s="1932" t="s">
        <v>1059</v>
      </c>
      <c r="G61" s="1933"/>
      <c r="H61" s="1934"/>
      <c r="I61" s="462"/>
      <c r="J61" s="666"/>
      <c r="K61" s="666"/>
      <c r="L61" s="678"/>
      <c r="M61" s="63"/>
    </row>
    <row r="62" spans="2:13" s="51" customFormat="1" ht="16.2" thickBot="1">
      <c r="B62" s="668"/>
      <c r="C62" s="668"/>
      <c r="D62" s="164"/>
      <c r="E62" s="773" t="s">
        <v>1077</v>
      </c>
      <c r="F62" s="1932" t="s">
        <v>1060</v>
      </c>
      <c r="G62" s="1933"/>
      <c r="H62" s="1934"/>
      <c r="I62" s="462"/>
      <c r="J62" s="666"/>
      <c r="K62" s="666"/>
      <c r="L62" s="678"/>
      <c r="M62" s="63"/>
    </row>
    <row r="63" spans="2:13" s="51" customFormat="1" ht="16.2" thickBot="1">
      <c r="B63" s="668"/>
      <c r="C63" s="668"/>
      <c r="D63" s="164"/>
      <c r="E63" s="773" t="s">
        <v>1077</v>
      </c>
      <c r="F63" s="1932" t="s">
        <v>1062</v>
      </c>
      <c r="G63" s="1933"/>
      <c r="H63" s="1934"/>
      <c r="I63" s="462"/>
      <c r="J63" s="666"/>
      <c r="K63" s="666"/>
      <c r="L63" s="678"/>
      <c r="M63" s="63"/>
    </row>
    <row r="64" spans="2:13" s="51" customFormat="1" ht="16.2" thickBot="1">
      <c r="B64" s="668"/>
      <c r="C64" s="668"/>
      <c r="D64" s="164"/>
      <c r="E64" s="773" t="s">
        <v>1077</v>
      </c>
      <c r="F64" s="1932" t="s">
        <v>1063</v>
      </c>
      <c r="G64" s="1933"/>
      <c r="H64" s="1934"/>
      <c r="I64" s="462"/>
      <c r="J64" s="666"/>
      <c r="K64" s="666"/>
      <c r="L64" s="678"/>
      <c r="M64" s="63"/>
    </row>
    <row r="65" spans="2:16" s="51" customFormat="1" ht="16.2" thickBot="1">
      <c r="B65" s="668"/>
      <c r="C65" s="668"/>
      <c r="D65" s="164"/>
      <c r="E65" s="773" t="s">
        <v>323</v>
      </c>
      <c r="F65" s="1932" t="s">
        <v>1064</v>
      </c>
      <c r="G65" s="1933"/>
      <c r="H65" s="1934"/>
      <c r="I65" s="462"/>
      <c r="J65" s="666"/>
      <c r="K65" s="666"/>
      <c r="L65" s="678"/>
      <c r="M65" s="63"/>
    </row>
    <row r="66" spans="2:16" s="51" customFormat="1" ht="16.2" thickBot="1">
      <c r="B66" s="668"/>
      <c r="C66" s="668"/>
      <c r="D66" s="164"/>
      <c r="E66" s="773" t="s">
        <v>323</v>
      </c>
      <c r="F66" s="1932" t="s">
        <v>1065</v>
      </c>
      <c r="G66" s="1933"/>
      <c r="H66" s="1934"/>
      <c r="I66" s="462"/>
      <c r="J66" s="666"/>
      <c r="K66" s="666"/>
      <c r="L66" s="678"/>
      <c r="M66" s="63"/>
    </row>
    <row r="67" spans="2:16" s="51" customFormat="1" ht="16.2" thickBot="1">
      <c r="B67" s="668"/>
      <c r="C67" s="668"/>
      <c r="D67" s="164"/>
      <c r="E67" s="773" t="s">
        <v>323</v>
      </c>
      <c r="F67" s="1932" t="s">
        <v>1066</v>
      </c>
      <c r="G67" s="1933"/>
      <c r="H67" s="1934"/>
      <c r="I67" s="462"/>
      <c r="J67" s="666"/>
      <c r="K67" s="666"/>
      <c r="L67" s="678"/>
      <c r="M67" s="63"/>
    </row>
    <row r="68" spans="2:16" s="51" customFormat="1" ht="16.2" thickBot="1">
      <c r="B68" s="668"/>
      <c r="C68" s="668"/>
      <c r="D68" s="164"/>
      <c r="E68" s="773" t="s">
        <v>1077</v>
      </c>
      <c r="F68" s="1932" t="s">
        <v>1067</v>
      </c>
      <c r="G68" s="1933"/>
      <c r="H68" s="1934"/>
      <c r="I68" s="462"/>
      <c r="J68" s="666"/>
      <c r="K68" s="666"/>
      <c r="L68" s="678"/>
      <c r="M68" s="63"/>
    </row>
    <row r="69" spans="2:16" s="51" customFormat="1" ht="16.2" thickBot="1">
      <c r="B69" s="668"/>
      <c r="C69" s="668"/>
      <c r="E69" s="773" t="s">
        <v>323</v>
      </c>
      <c r="F69" s="1935" t="s">
        <v>1068</v>
      </c>
      <c r="G69" s="1935"/>
      <c r="H69" s="1935"/>
      <c r="I69" s="462"/>
      <c r="J69" s="666"/>
      <c r="K69" s="666"/>
      <c r="L69" s="678"/>
      <c r="M69" s="666"/>
      <c r="N69" s="63"/>
      <c r="O69" s="63"/>
    </row>
    <row r="70" spans="2:16" s="51" customFormat="1" ht="16.2" thickBot="1">
      <c r="B70" s="668"/>
      <c r="C70" s="668"/>
      <c r="E70" s="773" t="s">
        <v>1077</v>
      </c>
      <c r="F70" s="1935" t="s">
        <v>1069</v>
      </c>
      <c r="G70" s="1935"/>
      <c r="H70" s="1935"/>
      <c r="I70" s="462"/>
      <c r="J70" s="666"/>
      <c r="K70" s="666"/>
      <c r="L70" s="678"/>
      <c r="M70" s="666"/>
      <c r="N70" s="63"/>
      <c r="O70" s="63"/>
    </row>
    <row r="71" spans="2:16" s="51" customFormat="1" ht="15.6">
      <c r="B71" s="668"/>
      <c r="C71" s="668"/>
      <c r="D71" s="164"/>
      <c r="F71" s="677"/>
      <c r="G71" s="677"/>
      <c r="H71" s="677"/>
      <c r="I71" s="462"/>
      <c r="J71" s="666"/>
      <c r="K71" s="666"/>
      <c r="L71" s="678"/>
      <c r="M71" s="666"/>
      <c r="N71" s="63"/>
      <c r="O71" s="63"/>
    </row>
    <row r="72" spans="2:16" s="51" customFormat="1" ht="16.2" hidden="1" thickBot="1">
      <c r="B72" s="668"/>
      <c r="C72" s="668"/>
      <c r="D72" s="448">
        <f>L81</f>
        <v>3</v>
      </c>
      <c r="E72" s="456" t="s">
        <v>1227</v>
      </c>
      <c r="F72" s="456"/>
      <c r="G72" s="456"/>
      <c r="H72" s="456"/>
      <c r="I72" s="456"/>
      <c r="J72" s="456"/>
      <c r="K72" s="456"/>
      <c r="L72" s="457"/>
      <c r="M72" s="666"/>
      <c r="N72" s="63"/>
      <c r="O72" s="63"/>
    </row>
    <row r="73" spans="2:16" s="50" customFormat="1" ht="15.6" hidden="1">
      <c r="B73" s="666"/>
      <c r="C73" s="668"/>
      <c r="D73" s="438" t="str">
        <f>IF(ROUNDDOWN(D72,0)=$N$2,$P$2,$O$2)</f>
        <v>　レベル　1</v>
      </c>
      <c r="E73" s="1936" t="s">
        <v>638</v>
      </c>
      <c r="F73" s="1937"/>
      <c r="G73" s="1937"/>
      <c r="H73" s="1937"/>
      <c r="I73" s="1937"/>
      <c r="J73" s="1937"/>
      <c r="K73" s="1937"/>
      <c r="L73" s="1938"/>
      <c r="M73" s="63"/>
      <c r="N73" s="451" t="s">
        <v>335</v>
      </c>
      <c r="O73" s="451" t="s">
        <v>336</v>
      </c>
    </row>
    <row r="74" spans="2:16" s="50" customFormat="1" ht="15.6" hidden="1">
      <c r="B74" s="666"/>
      <c r="C74" s="668"/>
      <c r="D74" s="439" t="str">
        <f>IF(ROUNDDOWN(D72,0)=$N$3,$P$3,$O$3)</f>
        <v>　レベル　2</v>
      </c>
      <c r="E74" s="1939"/>
      <c r="F74" s="1940"/>
      <c r="G74" s="1940"/>
      <c r="H74" s="1940"/>
      <c r="I74" s="1940"/>
      <c r="J74" s="1940"/>
      <c r="K74" s="1940"/>
      <c r="L74" s="1941"/>
      <c r="M74" s="666"/>
      <c r="N74" s="452">
        <v>1</v>
      </c>
      <c r="O74" s="455"/>
    </row>
    <row r="75" spans="2:16" s="50" customFormat="1" ht="15.6" hidden="1">
      <c r="B75" s="666"/>
      <c r="C75" s="668"/>
      <c r="D75" s="439" t="str">
        <f>IF(ROUNDDOWN(D72,0)=$N$4,$P$4,$O$4)</f>
        <v>■レベル　3</v>
      </c>
      <c r="E75" s="1939"/>
      <c r="F75" s="1940"/>
      <c r="G75" s="1940"/>
      <c r="H75" s="1940"/>
      <c r="I75" s="1940"/>
      <c r="J75" s="1940"/>
      <c r="K75" s="1940"/>
      <c r="L75" s="1941"/>
      <c r="M75" s="63"/>
      <c r="N75" s="452">
        <v>2</v>
      </c>
      <c r="O75" s="455"/>
    </row>
    <row r="76" spans="2:16" s="50" customFormat="1" ht="15.6" hidden="1">
      <c r="B76" s="666"/>
      <c r="C76" s="668"/>
      <c r="D76" s="439" t="str">
        <f>IF(ROUNDDOWN(D72,0)=$N$5,$P$5,$O$5)</f>
        <v>　レベル　4</v>
      </c>
      <c r="E76" s="1939"/>
      <c r="F76" s="1940"/>
      <c r="G76" s="1940"/>
      <c r="H76" s="1940"/>
      <c r="I76" s="1940"/>
      <c r="J76" s="1940"/>
      <c r="K76" s="1940"/>
      <c r="L76" s="1941"/>
      <c r="M76" s="666"/>
      <c r="N76" s="452">
        <v>3</v>
      </c>
      <c r="O76" s="455"/>
    </row>
    <row r="77" spans="2:16" s="50" customFormat="1" ht="15.6" hidden="1">
      <c r="B77" s="666"/>
      <c r="C77" s="668"/>
      <c r="D77" s="440" t="str">
        <f>IF(ROUNDDOWN(D72,0)=$N$6,$P$6,$O$6)</f>
        <v>　レベル　5</v>
      </c>
      <c r="E77" s="1942"/>
      <c r="F77" s="1943"/>
      <c r="G77" s="1943"/>
      <c r="H77" s="1943"/>
      <c r="I77" s="1943"/>
      <c r="J77" s="1943"/>
      <c r="K77" s="1943"/>
      <c r="L77" s="1944"/>
      <c r="M77" s="63"/>
      <c r="N77" s="452">
        <v>4</v>
      </c>
      <c r="O77" s="455"/>
    </row>
    <row r="78" spans="2:16" s="50" customFormat="1" ht="15.6" hidden="1">
      <c r="B78" s="666"/>
      <c r="C78" s="668"/>
      <c r="D78" s="441" t="s">
        <v>340</v>
      </c>
      <c r="E78" s="690"/>
      <c r="F78" s="497"/>
      <c r="G78" s="497"/>
      <c r="H78" s="681"/>
      <c r="I78"/>
      <c r="J78"/>
      <c r="K78"/>
      <c r="L78"/>
      <c r="M78" s="666"/>
      <c r="N78" s="452">
        <v>5</v>
      </c>
      <c r="O78" s="455"/>
    </row>
    <row r="79" spans="2:16" s="50" customFormat="1" ht="15.6" hidden="1">
      <c r="B79" s="666"/>
      <c r="C79" s="668"/>
      <c r="D79" s="515" t="s">
        <v>639</v>
      </c>
      <c r="E79" s="58"/>
      <c r="H79" s="339"/>
      <c r="I79" s="339" t="s">
        <v>640</v>
      </c>
      <c r="J79" s="339"/>
      <c r="K79" s="516"/>
      <c r="L79" s="517"/>
      <c r="M79" s="63"/>
      <c r="N79" s="454">
        <v>0</v>
      </c>
      <c r="O79" s="455"/>
    </row>
    <row r="80" spans="2:16" s="50" customFormat="1" ht="16.2" hidden="1" thickBot="1">
      <c r="B80" s="666"/>
      <c r="C80" s="668"/>
      <c r="D80"/>
      <c r="E80" s="518"/>
      <c r="F80" s="519" t="s">
        <v>204</v>
      </c>
      <c r="G80" s="520" t="s">
        <v>641</v>
      </c>
      <c r="H80" s="521" t="s">
        <v>206</v>
      </c>
      <c r="I80" s="519" t="s">
        <v>160</v>
      </c>
      <c r="J80" s="518" t="s">
        <v>642</v>
      </c>
      <c r="K80" s="528" t="s">
        <v>643</v>
      </c>
      <c r="L80" s="339"/>
      <c r="M80" s="517"/>
      <c r="N80"/>
      <c r="O80"/>
      <c r="P80"/>
    </row>
    <row r="81" spans="1:16" s="50" customFormat="1" ht="16.2" hidden="1" thickBot="1">
      <c r="B81" s="666"/>
      <c r="C81" s="668"/>
      <c r="D81"/>
      <c r="E81" s="522" t="s">
        <v>644</v>
      </c>
      <c r="F81" s="523">
        <f>SUM(F86:F91)</f>
        <v>30</v>
      </c>
      <c r="G81" s="523">
        <f t="shared" ref="G81:H81" si="9">SUM(G86:G91)</f>
        <v>20</v>
      </c>
      <c r="H81" s="523">
        <f t="shared" si="9"/>
        <v>60</v>
      </c>
      <c r="I81" s="524">
        <f>F81+G81+H81</f>
        <v>110</v>
      </c>
      <c r="J81" s="525">
        <v>1</v>
      </c>
      <c r="K81" s="441" t="s">
        <v>645</v>
      </c>
      <c r="L81" s="526">
        <f>IF(I81=0,0,ROUNDDOWN(IF(J82=N83,0,IF(J82&lt;0.5,5,IF(J82&gt;1.25,1,IF(J82&gt;1,-8*J82+11,3+(1-J82)*4)))),1))</f>
        <v>3</v>
      </c>
      <c r="N81"/>
      <c r="O81"/>
      <c r="P81"/>
    </row>
    <row r="82" spans="1:16" s="50" customFormat="1" ht="15.6" hidden="1">
      <c r="B82" s="666"/>
      <c r="C82" s="668"/>
      <c r="D82"/>
      <c r="E82" s="522" t="s">
        <v>646</v>
      </c>
      <c r="F82" s="523">
        <f>IF(I86="",$N$83,SUM(I86:I91))</f>
        <v>30</v>
      </c>
      <c r="G82" s="523">
        <f t="shared" ref="G82:H82" si="10">IF(J86="",$N$83,SUM(J86:J91))</f>
        <v>20</v>
      </c>
      <c r="H82" s="523">
        <f t="shared" si="10"/>
        <v>60</v>
      </c>
      <c r="I82" s="524">
        <f>F82+G82+H82</f>
        <v>110</v>
      </c>
      <c r="J82" s="527">
        <f>IF(I81=0,N83,I82/I81)</f>
        <v>1</v>
      </c>
      <c r="K82" s="339"/>
      <c r="L82"/>
      <c r="N82"/>
      <c r="O82"/>
      <c r="P82"/>
    </row>
    <row r="83" spans="1:16" s="50" customFormat="1" ht="15.6" hidden="1">
      <c r="B83" s="666"/>
      <c r="C83" s="668"/>
      <c r="D83"/>
      <c r="E83"/>
      <c r="F83"/>
      <c r="G83"/>
      <c r="H83"/>
      <c r="I83" s="339" t="s">
        <v>640</v>
      </c>
      <c r="J83"/>
      <c r="K83"/>
      <c r="L83"/>
      <c r="M83" s="339"/>
      <c r="N83" s="60" t="s">
        <v>219</v>
      </c>
      <c r="O83"/>
      <c r="P83"/>
    </row>
    <row r="84" spans="1:16" customFormat="1" ht="15.6" hidden="1">
      <c r="C84" s="668"/>
      <c r="E84" s="539"/>
      <c r="F84" s="534" t="s">
        <v>644</v>
      </c>
      <c r="G84" s="534"/>
      <c r="H84" s="535"/>
      <c r="I84" s="533" t="s">
        <v>646</v>
      </c>
      <c r="J84" s="534"/>
      <c r="K84" s="535"/>
    </row>
    <row r="85" spans="1:16" s="50" customFormat="1" ht="15.6" hidden="1">
      <c r="B85" s="666"/>
      <c r="C85" s="668"/>
      <c r="D85"/>
      <c r="E85" s="538"/>
      <c r="F85" s="536" t="s">
        <v>204</v>
      </c>
      <c r="G85" s="530" t="s">
        <v>641</v>
      </c>
      <c r="H85" s="531" t="s">
        <v>206</v>
      </c>
      <c r="I85" s="529" t="s">
        <v>204</v>
      </c>
      <c r="J85" s="530" t="s">
        <v>641</v>
      </c>
      <c r="K85" s="531" t="s">
        <v>206</v>
      </c>
      <c r="L85"/>
      <c r="M85" s="97"/>
      <c r="N85"/>
      <c r="O85"/>
      <c r="P85"/>
    </row>
    <row r="86" spans="1:16" s="50" customFormat="1" ht="15.6" hidden="1">
      <c r="B86" s="666"/>
      <c r="C86" s="668"/>
      <c r="D86"/>
      <c r="E86" s="537" t="s">
        <v>647</v>
      </c>
      <c r="F86" s="508">
        <v>30</v>
      </c>
      <c r="G86" s="508">
        <v>20</v>
      </c>
      <c r="H86" s="508">
        <v>60</v>
      </c>
      <c r="I86" s="508">
        <v>30</v>
      </c>
      <c r="J86" s="508">
        <v>20</v>
      </c>
      <c r="K86" s="508">
        <v>60</v>
      </c>
      <c r="L86"/>
      <c r="M86" s="97"/>
      <c r="N86"/>
      <c r="O86"/>
      <c r="P86"/>
    </row>
    <row r="87" spans="1:16" s="50" customFormat="1" ht="15.6" hidden="1">
      <c r="B87" s="666"/>
      <c r="C87" s="668"/>
      <c r="D87"/>
      <c r="E87" s="532" t="s">
        <v>648</v>
      </c>
      <c r="F87" s="506"/>
      <c r="G87" s="506"/>
      <c r="H87" s="506"/>
      <c r="I87" s="506"/>
      <c r="J87" s="506"/>
      <c r="K87" s="506"/>
      <c r="L87"/>
      <c r="M87" s="97"/>
      <c r="N87"/>
      <c r="O87"/>
      <c r="P87"/>
    </row>
    <row r="88" spans="1:16" s="50" customFormat="1" ht="15.6" hidden="1">
      <c r="B88" s="666"/>
      <c r="C88" s="668"/>
      <c r="D88"/>
      <c r="E88" s="532" t="s">
        <v>649</v>
      </c>
      <c r="F88" s="508"/>
      <c r="G88" s="508"/>
      <c r="H88" s="508"/>
      <c r="I88" s="508"/>
      <c r="J88" s="508"/>
      <c r="K88" s="508"/>
      <c r="L88"/>
      <c r="M88" s="97"/>
      <c r="N88"/>
      <c r="O88"/>
      <c r="P88"/>
    </row>
    <row r="89" spans="1:16" s="50" customFormat="1" ht="15.6" hidden="1">
      <c r="B89" s="666"/>
      <c r="C89" s="668"/>
      <c r="D89"/>
      <c r="E89" s="532" t="s">
        <v>650</v>
      </c>
      <c r="F89" s="506"/>
      <c r="G89" s="506"/>
      <c r="H89" s="506"/>
      <c r="I89" s="506"/>
      <c r="J89" s="506"/>
      <c r="K89" s="506"/>
      <c r="L89"/>
      <c r="M89" s="97"/>
      <c r="N89"/>
      <c r="O89"/>
      <c r="P89"/>
    </row>
    <row r="90" spans="1:16" s="50" customFormat="1" ht="15.6" hidden="1">
      <c r="B90" s="666"/>
      <c r="C90" s="668"/>
      <c r="D90"/>
      <c r="E90" s="532" t="s">
        <v>651</v>
      </c>
      <c r="F90" s="508"/>
      <c r="G90" s="508"/>
      <c r="H90" s="508"/>
      <c r="I90" s="508"/>
      <c r="J90" s="508"/>
      <c r="K90" s="508"/>
      <c r="L90"/>
      <c r="M90" s="97"/>
      <c r="N90"/>
      <c r="O90"/>
      <c r="P90"/>
    </row>
    <row r="91" spans="1:16" s="50" customFormat="1" ht="15.6" hidden="1">
      <c r="B91" s="666"/>
      <c r="C91" s="668"/>
      <c r="D91"/>
      <c r="E91" s="532" t="s">
        <v>652</v>
      </c>
      <c r="F91" s="506"/>
      <c r="G91" s="506"/>
      <c r="H91" s="506"/>
      <c r="I91" s="506"/>
      <c r="J91" s="506"/>
      <c r="K91" s="506"/>
      <c r="L91"/>
      <c r="M91" s="97"/>
      <c r="N91"/>
      <c r="O91"/>
      <c r="P91"/>
    </row>
    <row r="92" spans="1:16" s="50" customFormat="1" ht="15.6" hidden="1">
      <c r="B92" s="666"/>
      <c r="C92"/>
      <c r="D92"/>
      <c r="E92"/>
      <c r="F92"/>
      <c r="G92"/>
      <c r="H92"/>
      <c r="I92"/>
      <c r="J92"/>
      <c r="K92"/>
      <c r="L92"/>
      <c r="M92" s="97"/>
      <c r="N92"/>
      <c r="O92"/>
      <c r="P92"/>
    </row>
    <row r="93" spans="1:16" s="50" customFormat="1" ht="15.6">
      <c r="B93" s="687" t="s">
        <v>1029</v>
      </c>
      <c r="C93" s="668"/>
      <c r="D93"/>
      <c r="E93"/>
      <c r="F93"/>
      <c r="G93"/>
      <c r="H93"/>
      <c r="I93"/>
      <c r="J93"/>
      <c r="K93"/>
      <c r="L93"/>
      <c r="M93"/>
      <c r="N93"/>
      <c r="O93"/>
      <c r="P93"/>
    </row>
    <row r="94" spans="1:16" s="50" customFormat="1" ht="15.6">
      <c r="A94" s="666"/>
      <c r="C94" s="668" t="s">
        <v>1030</v>
      </c>
      <c r="D94"/>
      <c r="E94"/>
      <c r="F94"/>
      <c r="G94"/>
      <c r="H94"/>
      <c r="I94"/>
      <c r="J94"/>
      <c r="K94"/>
      <c r="L94"/>
      <c r="M94"/>
      <c r="N94"/>
      <c r="O94"/>
      <c r="P94"/>
    </row>
    <row r="95" spans="1:16" s="50" customFormat="1" ht="16.2" thickBot="1">
      <c r="A95" s="666"/>
      <c r="B95" s="164"/>
      <c r="C95" s="668"/>
      <c r="D95" s="164" t="s">
        <v>1031</v>
      </c>
      <c r="E95" s="666"/>
      <c r="F95" s="677"/>
      <c r="G95" s="677"/>
      <c r="H95" s="677"/>
      <c r="I95" s="462"/>
      <c r="J95" s="666"/>
      <c r="K95" s="666"/>
      <c r="L95" s="678"/>
      <c r="M95" s="666"/>
      <c r="N95" s="63"/>
      <c r="O95" s="63"/>
    </row>
    <row r="96" spans="1:16" s="50" customFormat="1" ht="16.2" thickBot="1">
      <c r="B96" s="666"/>
      <c r="C96" s="668"/>
      <c r="D96" s="437">
        <v>3</v>
      </c>
      <c r="E96" s="456" t="s">
        <v>1227</v>
      </c>
      <c r="F96" s="456"/>
      <c r="G96" s="456"/>
      <c r="H96" s="456"/>
      <c r="I96" s="456"/>
      <c r="J96" s="456"/>
      <c r="K96" s="456"/>
      <c r="L96" s="457"/>
      <c r="M96" s="63"/>
      <c r="N96" s="451" t="s">
        <v>335</v>
      </c>
      <c r="O96" s="451" t="s">
        <v>336</v>
      </c>
    </row>
    <row r="97" spans="1:15" s="50" customFormat="1" ht="15.6">
      <c r="B97" s="666"/>
      <c r="C97" s="668"/>
      <c r="D97" s="438" t="str">
        <f>IF(ROUNDDOWN(D96,0)=$N$2,$P$2,$O$2)</f>
        <v>　レベル　1</v>
      </c>
      <c r="E97" s="463" t="s">
        <v>653</v>
      </c>
      <c r="F97" s="503"/>
      <c r="G97" s="503"/>
      <c r="H97" s="503"/>
      <c r="I97" s="503"/>
      <c r="J97" s="503"/>
      <c r="K97" s="503"/>
      <c r="L97" s="510"/>
      <c r="M97" s="666"/>
      <c r="N97" s="452">
        <v>1</v>
      </c>
      <c r="O97" s="455"/>
    </row>
    <row r="98" spans="1:15" s="50" customFormat="1" ht="15.6">
      <c r="B98" s="666"/>
      <c r="C98" s="668"/>
      <c r="D98" s="439" t="str">
        <f>IF(ROUNDDOWN(D96,0)=$N$3,$P$3,$O$3)</f>
        <v>　レベル　2</v>
      </c>
      <c r="E98" s="466" t="s">
        <v>413</v>
      </c>
      <c r="F98" s="504"/>
      <c r="G98" s="504"/>
      <c r="H98" s="504"/>
      <c r="I98" s="504"/>
      <c r="J98" s="504"/>
      <c r="K98" s="504"/>
      <c r="L98" s="511"/>
      <c r="M98" s="63"/>
      <c r="N98" s="452" t="s">
        <v>311</v>
      </c>
      <c r="O98" s="455"/>
    </row>
    <row r="99" spans="1:15" s="50" customFormat="1" ht="15.6">
      <c r="B99" s="666"/>
      <c r="C99" s="668"/>
      <c r="D99" s="439" t="str">
        <f>IF(ROUNDDOWN(D96,0)=$N$4,$P$4,$O$4)</f>
        <v>■レベル　3</v>
      </c>
      <c r="E99" s="466" t="s">
        <v>654</v>
      </c>
      <c r="F99" s="504"/>
      <c r="G99" s="504"/>
      <c r="H99" s="504"/>
      <c r="I99" s="504"/>
      <c r="J99" s="504"/>
      <c r="K99" s="504"/>
      <c r="L99" s="511"/>
      <c r="M99" s="666"/>
      <c r="N99" s="452">
        <v>3</v>
      </c>
      <c r="O99" s="455"/>
    </row>
    <row r="100" spans="1:15" s="50" customFormat="1" ht="15.6">
      <c r="B100" s="666"/>
      <c r="C100" s="668"/>
      <c r="D100" s="439" t="str">
        <f>IF(ROUNDDOWN(D96,0)=$N$5,$P$5,$O$5)</f>
        <v>　レベル　4</v>
      </c>
      <c r="E100" s="469" t="s">
        <v>655</v>
      </c>
      <c r="F100" s="505"/>
      <c r="G100" s="505"/>
      <c r="H100" s="505"/>
      <c r="I100" s="505"/>
      <c r="J100" s="505"/>
      <c r="K100" s="505"/>
      <c r="L100" s="512"/>
      <c r="M100" s="63"/>
      <c r="N100" s="452">
        <v>4</v>
      </c>
      <c r="O100" s="455"/>
    </row>
    <row r="101" spans="1:15" s="50" customFormat="1" ht="15.6">
      <c r="B101" s="666"/>
      <c r="C101" s="668"/>
      <c r="D101" s="440" t="str">
        <f>IF(ROUNDDOWN(D96,0)=$N$6,$P$6,$O$6)</f>
        <v>　レベル　5</v>
      </c>
      <c r="E101" s="472" t="s">
        <v>656</v>
      </c>
      <c r="F101" s="483"/>
      <c r="G101" s="483"/>
      <c r="H101" s="483"/>
      <c r="I101" s="483"/>
      <c r="J101" s="483"/>
      <c r="K101" s="483"/>
      <c r="L101" s="513"/>
      <c r="M101" s="666"/>
      <c r="N101" s="452">
        <v>5</v>
      </c>
      <c r="O101" s="455"/>
    </row>
    <row r="102" spans="1:15" s="50" customFormat="1" ht="15.6">
      <c r="B102" s="666"/>
      <c r="C102" s="668"/>
      <c r="D102" s="441" t="s">
        <v>340</v>
      </c>
      <c r="E102" s="1010"/>
      <c r="F102" s="497"/>
      <c r="G102" s="497"/>
      <c r="H102" s="681"/>
      <c r="I102"/>
      <c r="J102"/>
      <c r="K102"/>
      <c r="L102"/>
      <c r="M102" s="63"/>
      <c r="N102" s="452" t="s">
        <v>311</v>
      </c>
      <c r="O102" s="455"/>
    </row>
    <row r="103" spans="1:15" customFormat="1"/>
    <row r="104" spans="1:15" s="50" customFormat="1" ht="16.2" thickBot="1">
      <c r="A104" s="666"/>
      <c r="B104" s="164"/>
      <c r="C104" s="668"/>
      <c r="D104" s="164" t="s">
        <v>1032</v>
      </c>
      <c r="E104" s="666"/>
      <c r="F104" s="677"/>
      <c r="G104" s="677"/>
      <c r="H104" s="677"/>
      <c r="I104" s="462"/>
      <c r="J104" s="666"/>
      <c r="K104" s="666"/>
      <c r="L104" s="678"/>
      <c r="M104" s="666"/>
      <c r="N104" s="63"/>
      <c r="O104" s="63"/>
    </row>
    <row r="105" spans="1:15" s="50" customFormat="1" ht="16.2" thickBot="1">
      <c r="B105" s="666"/>
      <c r="C105" s="668"/>
      <c r="D105" s="437">
        <v>3</v>
      </c>
      <c r="E105" s="456" t="s">
        <v>1227</v>
      </c>
      <c r="F105" s="456"/>
      <c r="G105" s="456"/>
      <c r="H105" s="456"/>
      <c r="I105" s="456"/>
      <c r="J105" s="456"/>
      <c r="K105" s="456"/>
      <c r="L105" s="457"/>
      <c r="M105" s="63"/>
      <c r="N105" s="451" t="s">
        <v>335</v>
      </c>
      <c r="O105" s="451" t="s">
        <v>336</v>
      </c>
    </row>
    <row r="106" spans="1:15" s="50" customFormat="1" ht="15.6">
      <c r="B106" s="666"/>
      <c r="C106" s="668"/>
      <c r="D106" s="438" t="str">
        <f>IF(ROUNDDOWN(D105,0)=$N$2,$P$2,$O$2)</f>
        <v>　レベル　1</v>
      </c>
      <c r="E106" s="463" t="s">
        <v>657</v>
      </c>
      <c r="F106" s="503"/>
      <c r="G106" s="503"/>
      <c r="H106" s="503"/>
      <c r="I106" s="503"/>
      <c r="J106" s="503"/>
      <c r="K106" s="503"/>
      <c r="L106" s="510"/>
      <c r="M106" s="666"/>
      <c r="N106" s="452">
        <v>1</v>
      </c>
      <c r="O106" s="455"/>
    </row>
    <row r="107" spans="1:15" s="50" customFormat="1" ht="15.6">
      <c r="B107" s="666"/>
      <c r="C107" s="668"/>
      <c r="D107" s="439" t="str">
        <f>IF(ROUNDDOWN(D105,0)=$N$3,$P$3,$O$3)</f>
        <v>　レベル　2</v>
      </c>
      <c r="E107" s="466" t="s">
        <v>413</v>
      </c>
      <c r="F107" s="504"/>
      <c r="G107" s="504"/>
      <c r="H107" s="504"/>
      <c r="I107" s="504"/>
      <c r="J107" s="504"/>
      <c r="K107" s="504"/>
      <c r="L107" s="511"/>
      <c r="M107" s="63"/>
      <c r="N107" s="452" t="s">
        <v>311</v>
      </c>
      <c r="O107" s="455"/>
    </row>
    <row r="108" spans="1:15" s="50" customFormat="1" ht="15.6">
      <c r="B108" s="666"/>
      <c r="C108" s="668"/>
      <c r="D108" s="439" t="str">
        <f>IF(ROUNDDOWN(D105,0)=$N$4,$P$4,$O$4)</f>
        <v>■レベル　3</v>
      </c>
      <c r="E108" s="466" t="s">
        <v>658</v>
      </c>
      <c r="F108" s="504"/>
      <c r="G108" s="504"/>
      <c r="H108" s="504"/>
      <c r="I108" s="504"/>
      <c r="J108" s="504"/>
      <c r="K108" s="504"/>
      <c r="L108" s="511"/>
      <c r="M108" s="666"/>
      <c r="N108" s="452">
        <v>3</v>
      </c>
      <c r="O108" s="455"/>
    </row>
    <row r="109" spans="1:15" s="50" customFormat="1" ht="15.6">
      <c r="B109" s="666"/>
      <c r="C109" s="668"/>
      <c r="D109" s="439" t="str">
        <f>IF(ROUNDDOWN(D105,0)=$N$5,$P$5,$O$5)</f>
        <v>　レベル　4</v>
      </c>
      <c r="E109" s="469" t="s">
        <v>413</v>
      </c>
      <c r="F109" s="505"/>
      <c r="G109" s="505"/>
      <c r="H109" s="505"/>
      <c r="I109" s="505"/>
      <c r="J109" s="505"/>
      <c r="K109" s="505"/>
      <c r="L109" s="512"/>
      <c r="M109" s="63"/>
      <c r="N109" s="452" t="s">
        <v>311</v>
      </c>
      <c r="O109" s="455"/>
    </row>
    <row r="110" spans="1:15" s="50" customFormat="1" ht="15.6">
      <c r="B110" s="666"/>
      <c r="C110" s="668"/>
      <c r="D110" s="440" t="str">
        <f>IF(ROUNDDOWN(D105,0)=$N$6,$P$6,$O$6)</f>
        <v>　レベル　5</v>
      </c>
      <c r="E110" s="472" t="s">
        <v>659</v>
      </c>
      <c r="F110" s="483"/>
      <c r="G110" s="483"/>
      <c r="H110" s="483"/>
      <c r="I110" s="483"/>
      <c r="J110" s="483"/>
      <c r="K110" s="483"/>
      <c r="L110" s="513"/>
      <c r="M110" s="666"/>
      <c r="N110" s="452">
        <v>5</v>
      </c>
      <c r="O110" s="455"/>
    </row>
    <row r="111" spans="1:15" s="50" customFormat="1" ht="15.6">
      <c r="B111" s="666"/>
      <c r="C111" s="668"/>
      <c r="D111" s="441" t="s">
        <v>340</v>
      </c>
      <c r="E111" s="1010"/>
      <c r="F111" s="497"/>
      <c r="G111" s="497"/>
      <c r="H111" s="681"/>
      <c r="I111"/>
      <c r="J111"/>
      <c r="K111"/>
      <c r="L111"/>
      <c r="M111" s="63"/>
      <c r="N111" s="452" t="s">
        <v>311</v>
      </c>
      <c r="O111" s="455"/>
    </row>
    <row r="112" spans="1:15" customFormat="1"/>
    <row r="113" spans="1:15" s="51" customFormat="1" ht="15.6">
      <c r="C113" s="668" t="s">
        <v>1033</v>
      </c>
      <c r="D113" s="674"/>
      <c r="H113" s="679"/>
      <c r="I113" s="97"/>
      <c r="J113" s="97"/>
      <c r="K113" s="97"/>
      <c r="L113" s="97"/>
      <c r="M113" s="97"/>
    </row>
    <row r="114" spans="1:15" s="50" customFormat="1" ht="16.2" thickBot="1">
      <c r="A114" s="666"/>
      <c r="B114" s="164"/>
      <c r="C114" s="668"/>
      <c r="D114" s="164" t="s">
        <v>660</v>
      </c>
      <c r="E114" s="666"/>
      <c r="F114" s="677"/>
      <c r="G114" s="677"/>
      <c r="H114" s="677"/>
      <c r="I114" s="462"/>
      <c r="J114" s="666"/>
      <c r="K114" s="666"/>
      <c r="L114" s="678"/>
      <c r="M114" s="666"/>
      <c r="N114" s="63"/>
      <c r="O114" s="63"/>
    </row>
    <row r="115" spans="1:15" s="50" customFormat="1" ht="16.2" thickBot="1">
      <c r="B115" s="666"/>
      <c r="C115" s="668"/>
      <c r="D115" s="437">
        <v>3</v>
      </c>
      <c r="E115" s="456" t="s">
        <v>1227</v>
      </c>
      <c r="F115" s="456"/>
      <c r="G115" s="456"/>
      <c r="H115" s="456"/>
      <c r="I115" s="456"/>
      <c r="J115" s="456"/>
      <c r="K115" s="456"/>
      <c r="L115" s="457"/>
      <c r="M115" s="63"/>
      <c r="N115" s="451" t="s">
        <v>335</v>
      </c>
      <c r="O115" s="451" t="s">
        <v>336</v>
      </c>
    </row>
    <row r="116" spans="1:15" s="50" customFormat="1" ht="15.6">
      <c r="B116" s="666"/>
      <c r="C116" s="668"/>
      <c r="D116" s="438" t="str">
        <f>IF(ROUNDDOWN(D115,0)=$N$2,$P$2,$O$2)</f>
        <v>　レベル　1</v>
      </c>
      <c r="E116" s="463" t="s">
        <v>661</v>
      </c>
      <c r="F116" s="503"/>
      <c r="G116" s="503"/>
      <c r="H116" s="503"/>
      <c r="I116" s="503"/>
      <c r="J116" s="503"/>
      <c r="K116" s="503"/>
      <c r="L116" s="510"/>
      <c r="M116" s="666"/>
      <c r="N116" s="452">
        <v>1</v>
      </c>
      <c r="O116" s="455"/>
    </row>
    <row r="117" spans="1:15" s="50" customFormat="1" ht="15.6">
      <c r="B117" s="666"/>
      <c r="C117" s="668"/>
      <c r="D117" s="439" t="str">
        <f>IF(ROUNDDOWN(D115,0)=$N$3,$P$3,$O$3)</f>
        <v>　レベル　2</v>
      </c>
      <c r="E117" s="466" t="s">
        <v>413</v>
      </c>
      <c r="F117" s="504"/>
      <c r="G117" s="504"/>
      <c r="H117" s="504"/>
      <c r="I117" s="504"/>
      <c r="J117" s="504"/>
      <c r="K117" s="504"/>
      <c r="L117" s="511"/>
      <c r="M117" s="63"/>
      <c r="N117" s="452" t="s">
        <v>311</v>
      </c>
      <c r="O117" s="455"/>
    </row>
    <row r="118" spans="1:15" s="50" customFormat="1" ht="15.6">
      <c r="B118" s="666"/>
      <c r="C118" s="668"/>
      <c r="D118" s="439" t="str">
        <f>IF(ROUNDDOWN(D115,0)=$N$4,$P$4,$O$4)</f>
        <v>■レベル　3</v>
      </c>
      <c r="E118" s="466" t="s">
        <v>662</v>
      </c>
      <c r="F118" s="504"/>
      <c r="G118" s="504"/>
      <c r="H118" s="504"/>
      <c r="I118" s="504"/>
      <c r="J118" s="504"/>
      <c r="K118" s="504"/>
      <c r="L118" s="511"/>
      <c r="M118" s="666"/>
      <c r="N118" s="452">
        <v>3</v>
      </c>
      <c r="O118" s="455"/>
    </row>
    <row r="119" spans="1:15" s="50" customFormat="1" ht="15.6">
      <c r="B119" s="666"/>
      <c r="C119" s="668"/>
      <c r="D119" s="439" t="str">
        <f>IF(ROUNDDOWN(D115,0)=$N$5,$P$5,$O$5)</f>
        <v>　レベル　4</v>
      </c>
      <c r="E119" s="469" t="s">
        <v>663</v>
      </c>
      <c r="F119" s="505"/>
      <c r="G119" s="505"/>
      <c r="H119" s="505"/>
      <c r="I119" s="505"/>
      <c r="J119" s="505"/>
      <c r="K119" s="505"/>
      <c r="L119" s="512"/>
      <c r="M119" s="63"/>
      <c r="N119" s="452">
        <v>4</v>
      </c>
      <c r="O119" s="455"/>
    </row>
    <row r="120" spans="1:15" s="50" customFormat="1" ht="15.6">
      <c r="B120" s="666"/>
      <c r="C120" s="668"/>
      <c r="D120" s="440" t="str">
        <f>IF(ROUNDDOWN(D115,0)=$N$6,$P$6,$O$6)</f>
        <v>　レベル　5</v>
      </c>
      <c r="E120" s="472" t="s">
        <v>664</v>
      </c>
      <c r="F120" s="483"/>
      <c r="G120" s="483"/>
      <c r="H120" s="483"/>
      <c r="I120" s="483"/>
      <c r="J120" s="483"/>
      <c r="K120" s="483"/>
      <c r="L120" s="513"/>
      <c r="M120" s="666"/>
      <c r="N120" s="452">
        <v>5</v>
      </c>
      <c r="O120" s="455"/>
    </row>
    <row r="121" spans="1:15" s="50" customFormat="1" ht="15.6">
      <c r="B121" s="666"/>
      <c r="C121" s="668"/>
      <c r="D121" s="441" t="s">
        <v>340</v>
      </c>
      <c r="E121" s="1010"/>
      <c r="F121" s="497"/>
      <c r="G121" s="497"/>
      <c r="H121" s="681"/>
      <c r="I121"/>
      <c r="J121"/>
      <c r="K121"/>
      <c r="L121"/>
      <c r="M121" s="63"/>
      <c r="N121" s="452" t="s">
        <v>311</v>
      </c>
      <c r="O121" s="455"/>
    </row>
    <row r="122" spans="1:15" customFormat="1"/>
    <row r="123" spans="1:15" s="50" customFormat="1" ht="16.2" thickBot="1">
      <c r="B123" s="666"/>
      <c r="C123" s="668"/>
      <c r="D123" s="164" t="s">
        <v>665</v>
      </c>
      <c r="E123" s="666"/>
      <c r="F123" s="677"/>
      <c r="G123" s="677"/>
      <c r="H123" s="677"/>
      <c r="I123" s="462"/>
      <c r="J123" s="666"/>
      <c r="K123" s="666"/>
      <c r="L123" s="678"/>
      <c r="M123" s="666"/>
      <c r="N123" s="63"/>
      <c r="O123" s="63"/>
    </row>
    <row r="124" spans="1:15" s="50" customFormat="1" ht="16.2" thickBot="1">
      <c r="B124" s="666"/>
      <c r="C124" s="668"/>
      <c r="D124" s="437">
        <v>3</v>
      </c>
      <c r="E124" s="456" t="s">
        <v>1227</v>
      </c>
      <c r="F124" s="456"/>
      <c r="G124" s="456"/>
      <c r="H124" s="456"/>
      <c r="I124" s="456"/>
      <c r="J124" s="456"/>
      <c r="K124" s="456"/>
      <c r="L124" s="457"/>
      <c r="M124" s="63"/>
      <c r="N124" s="451" t="s">
        <v>335</v>
      </c>
      <c r="O124" s="451" t="s">
        <v>336</v>
      </c>
    </row>
    <row r="125" spans="1:15" s="50" customFormat="1" ht="15.6">
      <c r="B125" s="666"/>
      <c r="C125" s="668"/>
      <c r="D125" s="438" t="str">
        <f>IF(ROUNDDOWN(D124,0)=$N$2,$P$2,$O$2)</f>
        <v>　レベル　1</v>
      </c>
      <c r="E125" s="463" t="s">
        <v>666</v>
      </c>
      <c r="F125" s="503"/>
      <c r="G125" s="503"/>
      <c r="H125" s="503"/>
      <c r="I125" s="503"/>
      <c r="J125" s="503"/>
      <c r="K125" s="503"/>
      <c r="L125" s="510"/>
      <c r="M125" s="666"/>
      <c r="N125" s="452">
        <v>1</v>
      </c>
      <c r="O125" s="455"/>
    </row>
    <row r="126" spans="1:15" s="50" customFormat="1" ht="15.6">
      <c r="B126" s="666"/>
      <c r="C126" s="668"/>
      <c r="D126" s="439" t="str">
        <f>IF(ROUNDDOWN(D124,0)=$N$3,$P$3,$O$3)</f>
        <v>　レベル　2</v>
      </c>
      <c r="E126" s="466" t="s">
        <v>413</v>
      </c>
      <c r="F126" s="504"/>
      <c r="G126" s="504"/>
      <c r="H126" s="504"/>
      <c r="I126" s="504"/>
      <c r="J126" s="504"/>
      <c r="K126" s="504"/>
      <c r="L126" s="511"/>
      <c r="M126" s="63"/>
      <c r="N126" s="452" t="s">
        <v>311</v>
      </c>
      <c r="O126" s="455"/>
    </row>
    <row r="127" spans="1:15" s="50" customFormat="1" ht="15.6">
      <c r="B127" s="666"/>
      <c r="C127" s="668"/>
      <c r="D127" s="439" t="str">
        <f>IF(ROUNDDOWN(D124,0)=$N$4,$P$4,$O$4)</f>
        <v>■レベル　3</v>
      </c>
      <c r="E127" s="466" t="s">
        <v>667</v>
      </c>
      <c r="F127" s="504"/>
      <c r="G127" s="504"/>
      <c r="H127" s="504"/>
      <c r="I127" s="504"/>
      <c r="J127" s="504"/>
      <c r="K127" s="504"/>
      <c r="L127" s="511"/>
      <c r="M127" s="666"/>
      <c r="N127" s="452">
        <v>3</v>
      </c>
      <c r="O127" s="455"/>
    </row>
    <row r="128" spans="1:15" s="50" customFormat="1" ht="15.6">
      <c r="B128" s="666"/>
      <c r="C128" s="668"/>
      <c r="D128" s="439" t="str">
        <f>IF(ROUNDDOWN(D124,0)=$N$5,$P$5,$O$5)</f>
        <v>　レベル　4</v>
      </c>
      <c r="E128" s="469" t="s">
        <v>413</v>
      </c>
      <c r="F128" s="505"/>
      <c r="G128" s="505"/>
      <c r="H128" s="505"/>
      <c r="I128" s="505"/>
      <c r="J128" s="505"/>
      <c r="K128" s="505"/>
      <c r="L128" s="512"/>
      <c r="M128" s="63"/>
      <c r="N128" s="452" t="s">
        <v>311</v>
      </c>
      <c r="O128" s="455"/>
    </row>
    <row r="129" spans="1:15" s="50" customFormat="1" ht="15.6">
      <c r="B129" s="666"/>
      <c r="C129" s="668"/>
      <c r="D129" s="440" t="str">
        <f>IF(ROUNDDOWN(D124,0)=$N$6,$P$6,$O$6)</f>
        <v>　レベル　5</v>
      </c>
      <c r="E129" s="472" t="s">
        <v>668</v>
      </c>
      <c r="F129" s="483"/>
      <c r="G129" s="483"/>
      <c r="H129" s="483"/>
      <c r="I129" s="483"/>
      <c r="J129" s="483"/>
      <c r="K129" s="483"/>
      <c r="L129" s="513"/>
      <c r="M129" s="666"/>
      <c r="N129" s="452">
        <v>5</v>
      </c>
      <c r="O129" s="455"/>
    </row>
    <row r="130" spans="1:15" s="50" customFormat="1" ht="15.6">
      <c r="B130" s="666"/>
      <c r="C130" s="668"/>
      <c r="D130" s="441" t="s">
        <v>340</v>
      </c>
      <c r="E130" s="1010"/>
      <c r="F130" s="497"/>
      <c r="G130" s="497"/>
      <c r="H130" s="681"/>
      <c r="I130"/>
      <c r="J130"/>
      <c r="K130"/>
      <c r="L130"/>
      <c r="M130" s="63"/>
      <c r="N130" s="452" t="s">
        <v>311</v>
      </c>
      <c r="O130" s="455"/>
    </row>
    <row r="131" spans="1:15" customFormat="1"/>
    <row r="132" spans="1:15" s="51" customFormat="1" ht="15.6">
      <c r="B132" s="668" t="s">
        <v>1034</v>
      </c>
      <c r="C132" s="668"/>
      <c r="D132" s="674"/>
      <c r="H132" s="679"/>
      <c r="I132" s="97"/>
      <c r="J132" s="97"/>
      <c r="K132" s="97"/>
      <c r="L132" s="97"/>
      <c r="M132" s="97"/>
    </row>
    <row r="133" spans="1:15" s="51" customFormat="1" ht="16.2" thickBot="1">
      <c r="C133" s="668" t="s">
        <v>669</v>
      </c>
      <c r="D133" s="674"/>
      <c r="F133" s="689"/>
      <c r="H133" s="679"/>
      <c r="I133" s="97"/>
      <c r="J133" s="97"/>
      <c r="K133" s="97"/>
      <c r="L133" s="97"/>
      <c r="M133" s="97"/>
    </row>
    <row r="134" spans="1:15" s="51" customFormat="1" ht="16.2" thickBot="1">
      <c r="B134" s="668"/>
      <c r="C134" s="668"/>
      <c r="D134" s="1239">
        <f>AVERAGE(J134:J136)</f>
        <v>3</v>
      </c>
      <c r="F134" s="733" t="s">
        <v>670</v>
      </c>
      <c r="G134" s="541" t="str">
        <f>スコア!C26</f>
        <v>1.2.1 水と緑</v>
      </c>
      <c r="H134" s="541"/>
      <c r="I134" s="541"/>
      <c r="J134" s="540">
        <f>スコア!V26</f>
        <v>3</v>
      </c>
      <c r="K134" s="97"/>
      <c r="L134" s="97"/>
      <c r="M134" s="97"/>
    </row>
    <row r="135" spans="1:15" s="51" customFormat="1" ht="15.6">
      <c r="B135" s="668"/>
      <c r="C135" s="668"/>
      <c r="F135" s="734"/>
      <c r="G135" s="544" t="str">
        <f>スコア!D34</f>
        <v>1.2.2.3 風通しの確保</v>
      </c>
      <c r="H135" s="544"/>
      <c r="I135" s="543"/>
      <c r="J135" s="540">
        <f>スコア!V34</f>
        <v>3</v>
      </c>
      <c r="K135" s="97"/>
      <c r="L135" s="97"/>
      <c r="M135" s="97"/>
    </row>
    <row r="136" spans="1:15" s="51" customFormat="1" ht="15.6">
      <c r="B136" s="668"/>
      <c r="C136" s="668"/>
      <c r="F136" s="735" t="s">
        <v>671</v>
      </c>
      <c r="G136" s="542" t="str">
        <f>スコア!B101</f>
        <v>1.1 都市・街区エネルギーの効率化</v>
      </c>
      <c r="H136" s="544"/>
      <c r="I136" s="543"/>
      <c r="J136" s="540">
        <f>スコア!V101</f>
        <v>3</v>
      </c>
      <c r="K136" s="97"/>
      <c r="L136" s="97"/>
      <c r="M136" s="97"/>
    </row>
    <row r="137" spans="1:15" customFormat="1"/>
    <row r="138" spans="1:15" s="50" customFormat="1" ht="19.8">
      <c r="C138" s="668" t="s">
        <v>955</v>
      </c>
      <c r="E138" s="51"/>
      <c r="F138" s="51"/>
      <c r="G138" s="684"/>
      <c r="H138" s="684"/>
      <c r="M138" s="97"/>
    </row>
    <row r="139" spans="1:15" s="50" customFormat="1" ht="16.2" thickBot="1">
      <c r="A139" s="666"/>
      <c r="B139" s="164"/>
      <c r="C139" s="668"/>
      <c r="D139" s="164" t="s">
        <v>1035</v>
      </c>
      <c r="E139" s="666"/>
      <c r="F139" s="677"/>
      <c r="G139" s="677"/>
      <c r="H139" s="677"/>
      <c r="I139" s="462"/>
      <c r="J139" s="666"/>
      <c r="K139" s="666"/>
      <c r="L139" s="752" t="s">
        <v>763</v>
      </c>
      <c r="M139" s="666"/>
      <c r="N139" s="63"/>
      <c r="O139" s="63"/>
    </row>
    <row r="140" spans="1:15" s="50" customFormat="1" ht="16.2" thickBot="1">
      <c r="B140" s="666"/>
      <c r="C140" s="668"/>
      <c r="D140" s="437">
        <v>3</v>
      </c>
      <c r="E140" s="456" t="s">
        <v>1227</v>
      </c>
      <c r="F140" s="456"/>
      <c r="G140" s="456"/>
      <c r="H140" s="456"/>
      <c r="I140" s="456"/>
      <c r="J140" s="456"/>
      <c r="K140" s="456"/>
      <c r="L140" s="457"/>
      <c r="M140" s="63"/>
      <c r="N140" s="451" t="s">
        <v>335</v>
      </c>
      <c r="O140" s="451" t="s">
        <v>336</v>
      </c>
    </row>
    <row r="141" spans="1:15" s="50" customFormat="1" ht="15.6">
      <c r="B141" s="666"/>
      <c r="C141" s="668"/>
      <c r="D141" s="438" t="str">
        <f>IF(ROUNDDOWN(D140,0)=$N$2,$P$2,$O$2)</f>
        <v>　レベル　1</v>
      </c>
      <c r="E141" s="463" t="s">
        <v>672</v>
      </c>
      <c r="F141" s="503"/>
      <c r="G141" s="503"/>
      <c r="H141" s="503"/>
      <c r="I141" s="503"/>
      <c r="J141" s="503"/>
      <c r="K141" s="503"/>
      <c r="L141" s="510"/>
      <c r="M141" s="666"/>
      <c r="N141" s="452">
        <v>1</v>
      </c>
      <c r="O141" s="455"/>
    </row>
    <row r="142" spans="1:15" s="50" customFormat="1" ht="15.6">
      <c r="B142" s="666"/>
      <c r="C142" s="668"/>
      <c r="D142" s="439" t="str">
        <f>IF(ROUNDDOWN(D140,0)=$N$3,$P$3,$O$3)</f>
        <v>　レベル　2</v>
      </c>
      <c r="E142" s="466" t="s">
        <v>413</v>
      </c>
      <c r="F142" s="504"/>
      <c r="G142" s="504"/>
      <c r="H142" s="504"/>
      <c r="I142" s="504"/>
      <c r="J142" s="504"/>
      <c r="K142" s="504"/>
      <c r="L142" s="511"/>
      <c r="M142" s="63"/>
      <c r="N142" s="452" t="s">
        <v>311</v>
      </c>
      <c r="O142" s="455"/>
    </row>
    <row r="143" spans="1:15" s="50" customFormat="1" ht="15.6">
      <c r="B143" s="666"/>
      <c r="C143" s="668"/>
      <c r="D143" s="439" t="str">
        <f>IF(ROUNDDOWN(D140,0)=$N$4,$P$4,$O$4)</f>
        <v>■レベル　3</v>
      </c>
      <c r="E143" s="466" t="s">
        <v>673</v>
      </c>
      <c r="F143" s="504"/>
      <c r="G143" s="504"/>
      <c r="H143" s="504"/>
      <c r="I143" s="504"/>
      <c r="J143" s="504"/>
      <c r="K143" s="504"/>
      <c r="L143" s="511"/>
      <c r="M143" s="666"/>
      <c r="N143" s="452">
        <v>3</v>
      </c>
      <c r="O143" s="455"/>
    </row>
    <row r="144" spans="1:15" s="50" customFormat="1" ht="15.6">
      <c r="B144" s="666"/>
      <c r="C144" s="668"/>
      <c r="D144" s="439" t="str">
        <f>IF(ROUNDDOWN(D140,0)=$N$5,$P$5,$O$5)</f>
        <v>　レベル　4</v>
      </c>
      <c r="E144" s="469" t="s">
        <v>674</v>
      </c>
      <c r="F144" s="505"/>
      <c r="G144" s="505"/>
      <c r="H144" s="505"/>
      <c r="I144" s="505"/>
      <c r="J144" s="505"/>
      <c r="K144" s="505"/>
      <c r="L144" s="512"/>
      <c r="M144" s="63"/>
      <c r="N144" s="452">
        <v>4</v>
      </c>
      <c r="O144" s="455"/>
    </row>
    <row r="145" spans="1:15" s="50" customFormat="1" ht="15.6">
      <c r="B145" s="666"/>
      <c r="C145" s="668"/>
      <c r="D145" s="440" t="str">
        <f>IF(ROUNDDOWN(D140,0)=$N$6,$P$6,$O$6)</f>
        <v>　レベル　5</v>
      </c>
      <c r="E145" s="472" t="s">
        <v>675</v>
      </c>
      <c r="F145" s="483"/>
      <c r="G145" s="483"/>
      <c r="H145" s="483"/>
      <c r="I145" s="483"/>
      <c r="J145" s="483"/>
      <c r="K145" s="483"/>
      <c r="L145" s="513"/>
      <c r="M145" s="666"/>
      <c r="N145" s="452">
        <v>5</v>
      </c>
      <c r="O145" s="455"/>
    </row>
    <row r="146" spans="1:15" s="50" customFormat="1" ht="15.6">
      <c r="B146" s="666"/>
      <c r="C146" s="668"/>
      <c r="D146" s="441" t="s">
        <v>340</v>
      </c>
      <c r="E146" s="1010"/>
      <c r="F146" s="497"/>
      <c r="G146" s="497"/>
      <c r="H146" s="681"/>
      <c r="I146" s="751" t="s">
        <v>713</v>
      </c>
      <c r="J146"/>
      <c r="K146"/>
      <c r="L146"/>
      <c r="M146" s="63"/>
      <c r="N146" s="454">
        <v>0</v>
      </c>
      <c r="O146" s="455"/>
    </row>
    <row r="147" spans="1:15" customFormat="1"/>
    <row r="148" spans="1:15" s="50" customFormat="1" ht="16.2" thickBot="1">
      <c r="A148" s="666"/>
      <c r="B148" s="164"/>
      <c r="C148" s="668"/>
      <c r="D148" s="164" t="s">
        <v>1036</v>
      </c>
      <c r="E148" s="666"/>
      <c r="F148" s="677"/>
      <c r="G148" s="677"/>
      <c r="H148" s="677"/>
      <c r="I148" s="462"/>
      <c r="J148" s="666"/>
      <c r="K148" s="666"/>
      <c r="L148" s="752" t="s">
        <v>762</v>
      </c>
      <c r="M148" s="666"/>
      <c r="N148" s="63"/>
      <c r="O148" s="63"/>
    </row>
    <row r="149" spans="1:15" s="50" customFormat="1" ht="16.2" thickBot="1">
      <c r="B149" s="666"/>
      <c r="C149" s="668"/>
      <c r="D149" s="437">
        <v>3</v>
      </c>
      <c r="E149" s="456" t="s">
        <v>1227</v>
      </c>
      <c r="F149" s="456"/>
      <c r="G149" s="456"/>
      <c r="H149" s="456"/>
      <c r="I149" s="456"/>
      <c r="J149" s="456"/>
      <c r="K149" s="456"/>
      <c r="L149" s="457"/>
      <c r="M149" s="63"/>
      <c r="N149" s="451" t="s">
        <v>335</v>
      </c>
      <c r="O149" s="451" t="s">
        <v>336</v>
      </c>
    </row>
    <row r="150" spans="1:15" s="50" customFormat="1" ht="15.6">
      <c r="B150" s="666"/>
      <c r="C150" s="668"/>
      <c r="D150" s="438" t="str">
        <f>IF(ROUNDDOWN(D149,0)=$N$2,$P$2,$O$2)</f>
        <v>　レベル　1</v>
      </c>
      <c r="E150" s="463" t="s">
        <v>413</v>
      </c>
      <c r="F150" s="503"/>
      <c r="G150" s="503"/>
      <c r="H150" s="503"/>
      <c r="I150" s="503"/>
      <c r="J150" s="503"/>
      <c r="K150" s="503"/>
      <c r="L150" s="510"/>
      <c r="M150" s="666"/>
      <c r="N150" s="452" t="s">
        <v>311</v>
      </c>
      <c r="O150" s="455"/>
    </row>
    <row r="151" spans="1:15" s="50" customFormat="1" ht="15.6">
      <c r="B151" s="666"/>
      <c r="C151" s="668"/>
      <c r="D151" s="439" t="str">
        <f>IF(ROUNDDOWN(D149,0)=$N$3,$P$3,$O$3)</f>
        <v>　レベル　2</v>
      </c>
      <c r="E151" s="466" t="s">
        <v>413</v>
      </c>
      <c r="F151" s="504"/>
      <c r="G151" s="504"/>
      <c r="H151" s="504"/>
      <c r="I151" s="504"/>
      <c r="J151" s="504"/>
      <c r="K151" s="504"/>
      <c r="L151" s="511"/>
      <c r="M151" s="63"/>
      <c r="N151" s="452" t="s">
        <v>311</v>
      </c>
      <c r="O151" s="455"/>
    </row>
    <row r="152" spans="1:15" s="50" customFormat="1" ht="15.6">
      <c r="B152" s="666"/>
      <c r="C152" s="668"/>
      <c r="D152" s="439" t="str">
        <f>IF(ROUNDDOWN(D149,0)=$N$4,$P$4,$O$4)</f>
        <v>■レベル　3</v>
      </c>
      <c r="E152" s="466" t="s">
        <v>752</v>
      </c>
      <c r="F152" s="504"/>
      <c r="G152" s="504"/>
      <c r="H152" s="504"/>
      <c r="I152" s="504"/>
      <c r="J152" s="504"/>
      <c r="K152" s="504"/>
      <c r="L152" s="511"/>
      <c r="M152" s="666"/>
      <c r="N152" s="452">
        <v>3</v>
      </c>
      <c r="O152" s="455"/>
    </row>
    <row r="153" spans="1:15" s="50" customFormat="1" ht="15.6">
      <c r="B153" s="666"/>
      <c r="C153" s="668"/>
      <c r="D153" s="439" t="str">
        <f>IF(ROUNDDOWN(D149,0)=$N$5,$P$5,$O$5)</f>
        <v>　レベル　4</v>
      </c>
      <c r="E153" s="469" t="s">
        <v>413</v>
      </c>
      <c r="F153" s="505"/>
      <c r="G153" s="505"/>
      <c r="H153" s="505"/>
      <c r="I153" s="505"/>
      <c r="J153" s="505"/>
      <c r="K153" s="505"/>
      <c r="L153" s="512"/>
      <c r="M153" s="63"/>
      <c r="N153" s="452" t="s">
        <v>311</v>
      </c>
      <c r="O153" s="455"/>
    </row>
    <row r="154" spans="1:15" s="50" customFormat="1" ht="15.6">
      <c r="B154" s="666"/>
      <c r="C154" s="668"/>
      <c r="D154" s="440" t="str">
        <f>IF(ROUNDDOWN(D149,0)=$N$6,$P$6,$O$6)</f>
        <v>　レベル　5</v>
      </c>
      <c r="E154" s="472" t="s">
        <v>753</v>
      </c>
      <c r="F154" s="483"/>
      <c r="G154" s="483"/>
      <c r="H154" s="483"/>
      <c r="I154" s="483"/>
      <c r="J154" s="483"/>
      <c r="K154" s="483"/>
      <c r="L154" s="513"/>
      <c r="M154" s="666"/>
      <c r="N154" s="452">
        <v>5</v>
      </c>
      <c r="O154" s="455"/>
    </row>
    <row r="155" spans="1:15" s="50" customFormat="1" ht="15.6">
      <c r="B155" s="666"/>
      <c r="C155" s="668"/>
      <c r="D155" s="441" t="s">
        <v>340</v>
      </c>
      <c r="E155" s="1010"/>
      <c r="F155" s="497"/>
      <c r="G155" s="497"/>
      <c r="H155" s="681"/>
      <c r="I155" s="751" t="s">
        <v>713</v>
      </c>
      <c r="J155"/>
      <c r="K155"/>
      <c r="L155"/>
      <c r="M155" s="63"/>
      <c r="N155" s="454">
        <v>0</v>
      </c>
      <c r="O155" s="455"/>
    </row>
    <row r="156" spans="1:15" customFormat="1"/>
    <row r="157" spans="1:15" s="50" customFormat="1" ht="16.2" thickBot="1">
      <c r="A157" s="666"/>
      <c r="B157" s="164"/>
      <c r="C157" s="668"/>
      <c r="D157" s="164" t="s">
        <v>974</v>
      </c>
      <c r="E157" s="450"/>
      <c r="F157" s="498"/>
      <c r="G157" s="498"/>
      <c r="H157" s="498"/>
      <c r="I157" s="462"/>
      <c r="J157" s="450"/>
      <c r="K157" s="450"/>
      <c r="L157" s="450"/>
      <c r="M157" s="450"/>
      <c r="N157" s="450"/>
      <c r="O157" s="63"/>
    </row>
    <row r="158" spans="1:15" s="50" customFormat="1" ht="16.2" thickBot="1">
      <c r="B158" s="666"/>
      <c r="C158" s="668"/>
      <c r="D158" s="1239">
        <f>IF(E166&gt;=O163,N163,IF(E166&gt;=O162,N162,IF(E166&gt;=O161,N161,IF(E166&gt;=O160,N160,N159))))</f>
        <v>3</v>
      </c>
      <c r="E158" s="456" t="s">
        <v>1227</v>
      </c>
      <c r="F158" s="456"/>
      <c r="G158" s="456"/>
      <c r="H158" s="456"/>
      <c r="I158" s="456"/>
      <c r="J158" s="456"/>
      <c r="K158" s="456"/>
      <c r="L158" s="457"/>
      <c r="M158" s="63"/>
      <c r="N158" s="451" t="s">
        <v>335</v>
      </c>
      <c r="O158" s="451" t="s">
        <v>336</v>
      </c>
    </row>
    <row r="159" spans="1:15" s="50" customFormat="1" ht="15.6">
      <c r="B159" s="666"/>
      <c r="C159" s="668"/>
      <c r="D159" s="438" t="str">
        <f>IF(ROUNDDOWN(D158,0)=$N$2,$P$2,$O$2)</f>
        <v>　レベル　1</v>
      </c>
      <c r="E159" s="463" t="s">
        <v>413</v>
      </c>
      <c r="F159" s="464"/>
      <c r="G159" s="464"/>
      <c r="H159" s="464"/>
      <c r="I159" s="464"/>
      <c r="J159" s="464"/>
      <c r="K159" s="464"/>
      <c r="L159" s="465"/>
      <c r="M159" s="666"/>
      <c r="N159" s="452" t="s">
        <v>311</v>
      </c>
      <c r="O159" s="451" t="s">
        <v>311</v>
      </c>
    </row>
    <row r="160" spans="1:15" s="50" customFormat="1" ht="15.6">
      <c r="B160" s="666"/>
      <c r="C160" s="668"/>
      <c r="D160" s="439" t="str">
        <f>IF(ROUNDDOWN(D158,0)=$N$3,$P$3,$O$3)</f>
        <v>　レベル　2</v>
      </c>
      <c r="E160" s="466" t="s">
        <v>472</v>
      </c>
      <c r="F160" s="467"/>
      <c r="G160" s="467"/>
      <c r="H160" s="467"/>
      <c r="I160" s="467"/>
      <c r="J160" s="467"/>
      <c r="K160" s="467"/>
      <c r="L160" s="468"/>
      <c r="M160" s="63"/>
      <c r="N160" s="452">
        <v>2</v>
      </c>
      <c r="O160" s="451">
        <v>0</v>
      </c>
    </row>
    <row r="161" spans="1:27" s="50" customFormat="1" ht="15.6">
      <c r="B161" s="666"/>
      <c r="C161" s="668"/>
      <c r="D161" s="439" t="str">
        <f>IF(ROUNDDOWN(D158,0)=$N$4,$P$4,$O$4)</f>
        <v>■レベル　3</v>
      </c>
      <c r="E161" s="466" t="s">
        <v>519</v>
      </c>
      <c r="F161" s="467"/>
      <c r="G161" s="467"/>
      <c r="H161" s="467"/>
      <c r="I161" s="467"/>
      <c r="J161" s="467"/>
      <c r="K161" s="467"/>
      <c r="L161" s="468"/>
      <c r="M161" s="666"/>
      <c r="N161" s="452">
        <v>3</v>
      </c>
      <c r="O161" s="451">
        <v>1</v>
      </c>
    </row>
    <row r="162" spans="1:27" s="50" customFormat="1" ht="15.6">
      <c r="B162" s="666"/>
      <c r="C162" s="668"/>
      <c r="D162" s="439" t="str">
        <f>IF(ROUNDDOWN(D158,0)=$N$5,$P$5,$O$5)</f>
        <v>　レベル　4</v>
      </c>
      <c r="E162" s="469" t="s">
        <v>514</v>
      </c>
      <c r="F162" s="470"/>
      <c r="G162" s="470"/>
      <c r="H162" s="470"/>
      <c r="I162" s="470"/>
      <c r="J162" s="470"/>
      <c r="K162" s="470"/>
      <c r="L162" s="471"/>
      <c r="M162" s="63"/>
      <c r="N162" s="452">
        <v>4</v>
      </c>
      <c r="O162" s="451">
        <v>2</v>
      </c>
    </row>
    <row r="163" spans="1:27" s="50" customFormat="1" ht="15.6">
      <c r="B163" s="666"/>
      <c r="C163" s="668"/>
      <c r="D163" s="440" t="str">
        <f>IF(ROUNDDOWN(D158,0)=$N$6,$P$6,$O$6)</f>
        <v>　レベル　5</v>
      </c>
      <c r="E163" s="472" t="s">
        <v>413</v>
      </c>
      <c r="F163" s="473"/>
      <c r="G163" s="473"/>
      <c r="H163" s="473"/>
      <c r="I163" s="473"/>
      <c r="J163" s="473"/>
      <c r="K163" s="473"/>
      <c r="L163" s="474"/>
      <c r="M163" s="666"/>
      <c r="N163" s="452" t="s">
        <v>311</v>
      </c>
      <c r="O163" s="451" t="s">
        <v>311</v>
      </c>
    </row>
    <row r="164" spans="1:27" s="50" customFormat="1" ht="15.6">
      <c r="B164" s="666"/>
      <c r="C164" s="668"/>
      <c r="D164" s="441" t="s">
        <v>340</v>
      </c>
      <c r="E164" s="1010"/>
      <c r="F164" s="497"/>
      <c r="G164" s="497"/>
      <c r="H164" s="681"/>
      <c r="I164" s="751"/>
      <c r="J164"/>
      <c r="K164"/>
      <c r="L164"/>
      <c r="M164" s="666"/>
      <c r="N164" s="452" t="s">
        <v>311</v>
      </c>
      <c r="O164" s="451"/>
    </row>
    <row r="165" spans="1:27" s="50" customFormat="1" ht="15.6">
      <c r="B165" s="666"/>
      <c r="C165" s="668"/>
      <c r="D165" s="441" t="s">
        <v>383</v>
      </c>
      <c r="E165" s="450"/>
      <c r="F165" s="498"/>
      <c r="G165" s="498"/>
      <c r="H165" s="498"/>
      <c r="I165" s="498"/>
      <c r="J165" s="450"/>
      <c r="K165" s="450"/>
      <c r="L165" s="450"/>
      <c r="M165" s="450"/>
    </row>
    <row r="166" spans="1:27" s="165" customFormat="1" ht="16.2" thickBot="1">
      <c r="A166" s="97"/>
      <c r="B166" s="97"/>
      <c r="C166" s="668"/>
      <c r="D166" s="175" t="s">
        <v>384</v>
      </c>
      <c r="E166" s="496">
        <f>COUNTIF(E167:E168,$R$3)</f>
        <v>1</v>
      </c>
      <c r="F166" s="1859" t="s">
        <v>828</v>
      </c>
      <c r="G166" s="1864"/>
      <c r="H166" s="1867" t="s">
        <v>829</v>
      </c>
      <c r="I166" s="1863"/>
      <c r="J166" s="1863"/>
      <c r="K166" s="1863"/>
      <c r="L166" s="1864"/>
      <c r="M166" s="450"/>
      <c r="N166"/>
      <c r="O166"/>
      <c r="P166" s="141"/>
      <c r="Q166" s="141"/>
      <c r="R166" s="141"/>
      <c r="S166" s="141"/>
      <c r="T166" s="141"/>
      <c r="U166" s="141"/>
      <c r="V166" s="141"/>
      <c r="W166" s="141"/>
      <c r="X166" s="141"/>
      <c r="Y166" s="141"/>
      <c r="Z166" s="97"/>
      <c r="AA166" s="97"/>
    </row>
    <row r="167" spans="1:27" s="165" customFormat="1" ht="26.1" customHeight="1">
      <c r="A167" s="97"/>
      <c r="B167" s="97"/>
      <c r="C167" s="668"/>
      <c r="D167" s="141"/>
      <c r="E167" s="546" t="s">
        <v>389</v>
      </c>
      <c r="F167" s="1891" t="s">
        <v>956</v>
      </c>
      <c r="G167" s="1890"/>
      <c r="H167" s="1889" t="s">
        <v>957</v>
      </c>
      <c r="I167" s="1889"/>
      <c r="J167" s="1889"/>
      <c r="K167" s="1889"/>
      <c r="L167" s="1890"/>
      <c r="M167" s="97"/>
      <c r="N167"/>
      <c r="O167"/>
      <c r="P167" s="97"/>
      <c r="Q167" s="97"/>
      <c r="R167" s="141"/>
      <c r="S167" s="141"/>
      <c r="T167" s="141"/>
      <c r="U167" s="141"/>
      <c r="V167" s="141"/>
      <c r="W167" s="141"/>
      <c r="X167" s="141"/>
      <c r="Y167" s="141"/>
      <c r="Z167" s="97"/>
      <c r="AA167" s="97"/>
    </row>
    <row r="168" spans="1:27" s="165" customFormat="1" ht="26.1" customHeight="1" thickBot="1">
      <c r="A168" s="97"/>
      <c r="B168" s="97"/>
      <c r="C168" s="668"/>
      <c r="D168" s="141"/>
      <c r="E168" s="547"/>
      <c r="F168" s="1891" t="s">
        <v>958</v>
      </c>
      <c r="G168" s="1890"/>
      <c r="H168" s="1889" t="s">
        <v>959</v>
      </c>
      <c r="I168" s="1889"/>
      <c r="J168" s="1889"/>
      <c r="K168" s="1889"/>
      <c r="L168" s="1890"/>
      <c r="M168" s="97"/>
      <c r="N168"/>
      <c r="O168"/>
      <c r="P168" s="141"/>
      <c r="Q168" s="141"/>
      <c r="R168" s="141"/>
      <c r="S168" s="141"/>
      <c r="T168" s="141"/>
      <c r="U168" s="141"/>
      <c r="V168" s="141"/>
      <c r="W168" s="141"/>
      <c r="X168" s="141"/>
      <c r="Y168" s="141"/>
      <c r="Z168" s="97"/>
      <c r="AA168" s="97"/>
    </row>
    <row r="169" spans="1:27" customFormat="1"/>
    <row r="170" spans="1:27" s="50" customFormat="1" ht="15.6">
      <c r="A170" s="666"/>
      <c r="C170" s="668" t="s">
        <v>975</v>
      </c>
      <c r="D170" s="164"/>
      <c r="E170" s="666"/>
      <c r="F170" s="666"/>
      <c r="G170" s="666"/>
      <c r="H170" s="666"/>
      <c r="I170" s="666"/>
      <c r="J170" s="666"/>
      <c r="K170" s="666"/>
      <c r="L170" s="175"/>
      <c r="M170" s="666"/>
      <c r="N170" s="97"/>
    </row>
    <row r="171" spans="1:27" s="50" customFormat="1" ht="16.2" thickBot="1">
      <c r="A171" s="666"/>
      <c r="B171" s="164"/>
      <c r="C171" s="668"/>
      <c r="D171" s="164" t="s">
        <v>676</v>
      </c>
      <c r="E171" s="666"/>
      <c r="F171" s="677"/>
      <c r="G171" s="677"/>
      <c r="H171" s="677"/>
      <c r="I171" s="462"/>
      <c r="J171" s="666"/>
      <c r="K171" s="666"/>
      <c r="L171" s="741"/>
      <c r="M171" s="666"/>
      <c r="N171" s="63"/>
      <c r="O171" s="63"/>
    </row>
    <row r="172" spans="1:27" s="50" customFormat="1" ht="16.2" thickBot="1">
      <c r="B172" s="666"/>
      <c r="C172" s="668"/>
      <c r="D172" s="437">
        <v>3</v>
      </c>
      <c r="E172" s="456" t="s">
        <v>1227</v>
      </c>
      <c r="F172" s="456"/>
      <c r="G172" s="456"/>
      <c r="H172" s="456"/>
      <c r="I172" s="456"/>
      <c r="J172" s="456"/>
      <c r="K172" s="456"/>
      <c r="L172" s="457"/>
      <c r="M172" s="63"/>
      <c r="N172" s="451" t="s">
        <v>335</v>
      </c>
      <c r="O172" s="451" t="s">
        <v>336</v>
      </c>
    </row>
    <row r="173" spans="1:27" s="50" customFormat="1" ht="15.6">
      <c r="B173" s="666"/>
      <c r="C173" s="668"/>
      <c r="D173" s="438" t="str">
        <f>IF(ROUNDDOWN(D172,0)=$N$2,$P$2,$O$2)</f>
        <v>　レベル　1</v>
      </c>
      <c r="E173" s="463" t="s">
        <v>611</v>
      </c>
      <c r="F173" s="503"/>
      <c r="G173" s="503"/>
      <c r="H173" s="503"/>
      <c r="I173" s="503"/>
      <c r="J173" s="503"/>
      <c r="K173" s="503"/>
      <c r="L173" s="510"/>
      <c r="M173" s="666"/>
      <c r="N173" s="452">
        <v>1</v>
      </c>
      <c r="O173" s="455"/>
    </row>
    <row r="174" spans="1:27" s="50" customFormat="1" ht="15.6">
      <c r="B174" s="666"/>
      <c r="C174" s="668"/>
      <c r="D174" s="439" t="str">
        <f>IF(ROUNDDOWN(D172,0)=$N$3,$P$3,$O$3)</f>
        <v>　レベル　2</v>
      </c>
      <c r="E174" s="466" t="s">
        <v>677</v>
      </c>
      <c r="F174" s="504"/>
      <c r="G174" s="504"/>
      <c r="H174" s="504"/>
      <c r="I174" s="504"/>
      <c r="J174" s="504"/>
      <c r="K174" s="504"/>
      <c r="L174" s="511"/>
      <c r="M174" s="63"/>
      <c r="N174" s="452">
        <v>2</v>
      </c>
      <c r="O174" s="455"/>
    </row>
    <row r="175" spans="1:27" s="50" customFormat="1" ht="15.6">
      <c r="B175" s="666"/>
      <c r="C175" s="668"/>
      <c r="D175" s="439" t="str">
        <f>IF(ROUNDDOWN(D172,0)=$N$4,$P$4,$O$4)</f>
        <v>■レベル　3</v>
      </c>
      <c r="E175" s="466" t="s">
        <v>678</v>
      </c>
      <c r="F175" s="504"/>
      <c r="G175" s="504"/>
      <c r="H175" s="504"/>
      <c r="I175" s="504"/>
      <c r="J175" s="504"/>
      <c r="K175" s="504"/>
      <c r="L175" s="511"/>
      <c r="M175" s="666"/>
      <c r="N175" s="452">
        <v>3</v>
      </c>
      <c r="O175" s="455"/>
    </row>
    <row r="176" spans="1:27" s="50" customFormat="1" ht="15.6">
      <c r="B176" s="666"/>
      <c r="C176" s="668"/>
      <c r="D176" s="439" t="str">
        <f>IF(ROUNDDOWN(D172,0)=$N$5,$P$5,$O$5)</f>
        <v>　レベル　4</v>
      </c>
      <c r="E176" s="469" t="s">
        <v>679</v>
      </c>
      <c r="F176" s="505"/>
      <c r="G176" s="505"/>
      <c r="H176" s="505"/>
      <c r="I176" s="505"/>
      <c r="J176" s="505"/>
      <c r="K176" s="505"/>
      <c r="L176" s="512"/>
      <c r="M176" s="63"/>
      <c r="N176" s="452">
        <v>4</v>
      </c>
      <c r="O176" s="455"/>
    </row>
    <row r="177" spans="1:28" s="50" customFormat="1" ht="15.6">
      <c r="B177" s="666"/>
      <c r="C177" s="668"/>
      <c r="D177" s="440" t="str">
        <f>IF(ROUNDDOWN(D172,0)=$N$6,$P$6,$O$6)</f>
        <v>　レベル　5</v>
      </c>
      <c r="E177" s="472" t="s">
        <v>680</v>
      </c>
      <c r="F177" s="483"/>
      <c r="G177" s="483"/>
      <c r="H177" s="483"/>
      <c r="I177" s="483"/>
      <c r="J177" s="483"/>
      <c r="K177" s="483"/>
      <c r="L177" s="513"/>
      <c r="M177" s="666"/>
      <c r="N177" s="452">
        <v>5</v>
      </c>
      <c r="O177" s="455"/>
    </row>
    <row r="178" spans="1:28" s="50" customFormat="1" ht="15.6">
      <c r="B178" s="666"/>
      <c r="C178" s="668"/>
      <c r="D178" s="441" t="s">
        <v>340</v>
      </c>
      <c r="E178" s="1010"/>
      <c r="F178" s="497"/>
      <c r="G178" s="497"/>
      <c r="H178" s="681"/>
      <c r="I178" s="751"/>
      <c r="J178"/>
      <c r="K178"/>
      <c r="L178"/>
      <c r="M178" s="63"/>
      <c r="N178" s="452" t="s">
        <v>311</v>
      </c>
      <c r="O178" s="455"/>
    </row>
    <row r="179" spans="1:28" customFormat="1"/>
    <row r="180" spans="1:28" s="50" customFormat="1" ht="16.2" thickBot="1">
      <c r="A180" s="666"/>
      <c r="B180" s="164"/>
      <c r="C180" s="668"/>
      <c r="D180" s="164" t="s">
        <v>681</v>
      </c>
      <c r="E180" s="666"/>
      <c r="F180" s="677"/>
      <c r="G180" s="677"/>
      <c r="H180" s="677"/>
      <c r="I180" s="462"/>
      <c r="J180" s="666"/>
      <c r="K180" s="666"/>
      <c r="L180" s="741" t="s">
        <v>754</v>
      </c>
      <c r="M180" s="666"/>
      <c r="N180" s="63"/>
      <c r="O180" s="63"/>
    </row>
    <row r="181" spans="1:28" s="50" customFormat="1" ht="16.2" thickBot="1">
      <c r="B181" s="666"/>
      <c r="C181" s="668"/>
      <c r="D181" s="437">
        <v>3</v>
      </c>
      <c r="E181" s="456" t="s">
        <v>1227</v>
      </c>
      <c r="F181" s="456"/>
      <c r="G181" s="456"/>
      <c r="H181" s="456"/>
      <c r="I181" s="456"/>
      <c r="J181" s="456"/>
      <c r="K181" s="456"/>
      <c r="L181" s="457"/>
      <c r="M181" s="63"/>
      <c r="N181" s="451" t="s">
        <v>335</v>
      </c>
      <c r="O181" s="451" t="s">
        <v>336</v>
      </c>
    </row>
    <row r="182" spans="1:28" s="50" customFormat="1" ht="15.6">
      <c r="B182" s="666"/>
      <c r="C182" s="668"/>
      <c r="D182" s="438" t="str">
        <f>IF(ROUNDDOWN(D181,0)=$N$2,$P$2,$O$2)</f>
        <v>　レベル　1</v>
      </c>
      <c r="E182" s="463" t="s">
        <v>611</v>
      </c>
      <c r="F182" s="503"/>
      <c r="G182" s="503"/>
      <c r="H182" s="503"/>
      <c r="I182" s="503"/>
      <c r="J182" s="503"/>
      <c r="K182" s="503"/>
      <c r="L182" s="510"/>
      <c r="M182" s="666"/>
      <c r="N182" s="452">
        <v>1</v>
      </c>
      <c r="O182" s="455"/>
    </row>
    <row r="183" spans="1:28" s="50" customFormat="1" ht="15.6">
      <c r="B183" s="666"/>
      <c r="C183" s="668"/>
      <c r="D183" s="439" t="str">
        <f>IF(ROUNDDOWN(D181,0)=$N$3,$P$3,$O$3)</f>
        <v>　レベル　2</v>
      </c>
      <c r="E183" s="466" t="s">
        <v>413</v>
      </c>
      <c r="F183" s="504"/>
      <c r="G183" s="504"/>
      <c r="H183" s="504"/>
      <c r="I183" s="504"/>
      <c r="J183" s="504"/>
      <c r="K183" s="504"/>
      <c r="L183" s="511"/>
      <c r="M183" s="63"/>
      <c r="N183" s="452" t="s">
        <v>311</v>
      </c>
      <c r="O183" s="455"/>
    </row>
    <row r="184" spans="1:28" s="50" customFormat="1" ht="15.6">
      <c r="B184" s="666"/>
      <c r="C184" s="668"/>
      <c r="D184" s="439" t="str">
        <f>IF(ROUNDDOWN(D181,0)=$N$4,$P$4,$O$4)</f>
        <v>■レベル　3</v>
      </c>
      <c r="E184" s="466" t="s">
        <v>682</v>
      </c>
      <c r="F184" s="504"/>
      <c r="G184" s="504"/>
      <c r="H184" s="504"/>
      <c r="I184" s="504"/>
      <c r="J184" s="504"/>
      <c r="K184" s="504"/>
      <c r="L184" s="511"/>
      <c r="M184" s="666"/>
      <c r="N184" s="452">
        <v>3</v>
      </c>
      <c r="O184" s="455"/>
    </row>
    <row r="185" spans="1:28" s="50" customFormat="1" ht="15.6">
      <c r="B185" s="666"/>
      <c r="C185" s="668"/>
      <c r="D185" s="439" t="str">
        <f>IF(ROUNDDOWN(D181,0)=$N$5,$P$5,$O$5)</f>
        <v>　レベル　4</v>
      </c>
      <c r="E185" s="469" t="s">
        <v>413</v>
      </c>
      <c r="F185" s="505"/>
      <c r="G185" s="505"/>
      <c r="H185" s="505"/>
      <c r="I185" s="505"/>
      <c r="J185" s="505"/>
      <c r="K185" s="505"/>
      <c r="L185" s="512"/>
      <c r="M185" s="63"/>
      <c r="N185" s="452" t="s">
        <v>311</v>
      </c>
      <c r="O185" s="455"/>
    </row>
    <row r="186" spans="1:28" s="50" customFormat="1" ht="15.6">
      <c r="B186" s="666"/>
      <c r="C186" s="668"/>
      <c r="D186" s="440" t="str">
        <f>IF(ROUNDDOWN(D181,0)=$N$6,$P$6,$O$6)</f>
        <v>　レベル　5</v>
      </c>
      <c r="E186" s="472" t="s">
        <v>413</v>
      </c>
      <c r="F186" s="483"/>
      <c r="G186" s="483"/>
      <c r="H186" s="483"/>
      <c r="I186" s="483"/>
      <c r="J186" s="483"/>
      <c r="K186" s="483"/>
      <c r="L186" s="513"/>
      <c r="M186" s="666"/>
      <c r="N186" s="452" t="s">
        <v>311</v>
      </c>
      <c r="O186" s="455"/>
    </row>
    <row r="187" spans="1:28" s="50" customFormat="1" ht="15.6">
      <c r="B187" s="666"/>
      <c r="C187" s="668"/>
      <c r="D187" s="441" t="s">
        <v>340</v>
      </c>
      <c r="E187" s="1010"/>
      <c r="F187" s="497"/>
      <c r="G187" s="497"/>
      <c r="H187" s="681"/>
      <c r="I187" s="751" t="s">
        <v>713</v>
      </c>
      <c r="J187"/>
      <c r="K187"/>
      <c r="L187"/>
      <c r="M187" s="63"/>
      <c r="N187" s="454">
        <v>0</v>
      </c>
      <c r="O187" s="455"/>
    </row>
    <row r="188" spans="1:28" customFormat="1"/>
    <row r="189" spans="1:28" s="165" customFormat="1" ht="16.2" thickBot="1">
      <c r="A189" s="97"/>
      <c r="B189" s="164"/>
      <c r="C189" s="668"/>
      <c r="D189" s="164" t="s">
        <v>683</v>
      </c>
      <c r="E189" s="450"/>
      <c r="F189" s="498"/>
      <c r="G189" s="498"/>
      <c r="H189" s="498"/>
      <c r="I189" s="462"/>
      <c r="J189" s="450"/>
      <c r="K189" s="450"/>
      <c r="L189" s="741" t="s">
        <v>712</v>
      </c>
      <c r="M189" s="450"/>
      <c r="N189" s="450"/>
      <c r="O189" s="63"/>
      <c r="P189" s="141"/>
      <c r="Q189" s="141"/>
      <c r="R189" s="141"/>
      <c r="S189" s="141"/>
      <c r="T189" s="141"/>
      <c r="U189" s="141"/>
      <c r="V189" s="141"/>
      <c r="W189" s="141"/>
      <c r="X189" s="141"/>
      <c r="Y189" s="141"/>
      <c r="Z189" s="141"/>
      <c r="AA189" s="97"/>
      <c r="AB189" s="97"/>
    </row>
    <row r="190" spans="1:28" s="165" customFormat="1" ht="16.2" thickBot="1">
      <c r="A190" s="97"/>
      <c r="B190" s="666"/>
      <c r="C190" s="668"/>
      <c r="D190" s="1239">
        <f>IF(G197=O197,0,IF(E198&gt;=O195,N195,IF(E198&gt;=O194,N194,IF(E198&gt;=O193,N193,IF(E198&gt;=O192,N192,N191)))))</f>
        <v>2</v>
      </c>
      <c r="E190" s="456" t="s">
        <v>1227</v>
      </c>
      <c r="F190" s="456"/>
      <c r="G190" s="456"/>
      <c r="H190" s="456"/>
      <c r="I190" s="456"/>
      <c r="J190" s="456"/>
      <c r="K190" s="456"/>
      <c r="L190" s="457"/>
      <c r="M190" s="63"/>
      <c r="N190" s="451" t="s">
        <v>335</v>
      </c>
      <c r="O190" s="451" t="s">
        <v>336</v>
      </c>
      <c r="P190" s="141"/>
      <c r="Q190" s="141"/>
      <c r="R190" s="141"/>
      <c r="S190" s="141"/>
      <c r="T190" s="141"/>
      <c r="U190" s="141"/>
      <c r="V190" s="141"/>
      <c r="W190" s="141"/>
      <c r="X190" s="141"/>
      <c r="Y190" s="141"/>
      <c r="Z190" s="141"/>
      <c r="AA190" s="97"/>
      <c r="AB190" s="97"/>
    </row>
    <row r="191" spans="1:28" s="165" customFormat="1" ht="15.6">
      <c r="A191" s="97"/>
      <c r="B191" s="666"/>
      <c r="C191" s="668"/>
      <c r="D191" s="438" t="str">
        <f>IF(ROUNDDOWN(D190,0)=$N$2,$P$2,$O$2)</f>
        <v>　レベル　1</v>
      </c>
      <c r="E191" s="463" t="s">
        <v>472</v>
      </c>
      <c r="F191" s="464"/>
      <c r="G191" s="464"/>
      <c r="H191" s="464"/>
      <c r="I191" s="464"/>
      <c r="J191" s="464"/>
      <c r="K191" s="464"/>
      <c r="L191" s="465"/>
      <c r="M191" s="666"/>
      <c r="N191" s="452">
        <v>1</v>
      </c>
      <c r="O191" s="451">
        <v>0</v>
      </c>
      <c r="P191" s="141"/>
      <c r="Q191" s="141"/>
      <c r="R191" s="141"/>
      <c r="S191" s="141"/>
      <c r="T191" s="141"/>
      <c r="U191" s="141"/>
      <c r="V191" s="141"/>
      <c r="W191" s="141"/>
      <c r="X191" s="141"/>
      <c r="Y191" s="141"/>
      <c r="Z191" s="141"/>
      <c r="AA191" s="97"/>
      <c r="AB191" s="97"/>
    </row>
    <row r="192" spans="1:28" s="165" customFormat="1" ht="15.6">
      <c r="A192" s="97"/>
      <c r="B192" s="666"/>
      <c r="C192" s="668"/>
      <c r="D192" s="439" t="str">
        <f>IF(ROUNDDOWN(D190,0)=$N$3,$P$3,$O$3)</f>
        <v>■レベル　2</v>
      </c>
      <c r="E192" s="466" t="s">
        <v>519</v>
      </c>
      <c r="F192" s="467"/>
      <c r="G192" s="467"/>
      <c r="H192" s="467"/>
      <c r="I192" s="467"/>
      <c r="J192" s="467"/>
      <c r="K192" s="467"/>
      <c r="L192" s="468"/>
      <c r="M192" s="63"/>
      <c r="N192" s="452">
        <v>2</v>
      </c>
      <c r="O192" s="451">
        <v>1</v>
      </c>
      <c r="P192" s="141"/>
      <c r="Q192" s="141"/>
      <c r="R192" s="141"/>
      <c r="S192" s="141"/>
      <c r="T192" s="141"/>
      <c r="U192" s="141"/>
      <c r="V192" s="141"/>
      <c r="W192" s="141"/>
      <c r="X192" s="141"/>
      <c r="Y192" s="141"/>
      <c r="Z192" s="141"/>
      <c r="AA192" s="97"/>
      <c r="AB192" s="97"/>
    </row>
    <row r="193" spans="1:28" s="165" customFormat="1" ht="15.6">
      <c r="A193" s="97"/>
      <c r="B193" s="666"/>
      <c r="C193" s="668"/>
      <c r="D193" s="439" t="str">
        <f>IF(ROUNDDOWN(D190,0)=$N$4,$P$4,$O$4)</f>
        <v>　レベル　3</v>
      </c>
      <c r="E193" s="466" t="s">
        <v>413</v>
      </c>
      <c r="F193" s="467"/>
      <c r="G193" s="467"/>
      <c r="H193" s="467"/>
      <c r="I193" s="467"/>
      <c r="J193" s="467"/>
      <c r="K193" s="467"/>
      <c r="L193" s="468"/>
      <c r="M193" s="666"/>
      <c r="N193" s="452" t="s">
        <v>311</v>
      </c>
      <c r="O193" s="451" t="s">
        <v>311</v>
      </c>
      <c r="P193" s="141"/>
      <c r="Q193" s="141"/>
      <c r="R193" s="141"/>
      <c r="S193" s="141"/>
      <c r="T193" s="141"/>
      <c r="U193" s="141"/>
      <c r="V193" s="141"/>
      <c r="W193" s="141"/>
      <c r="X193" s="141"/>
      <c r="Y193" s="141"/>
      <c r="Z193" s="141"/>
      <c r="AA193" s="97"/>
      <c r="AB193" s="97"/>
    </row>
    <row r="194" spans="1:28" s="165" customFormat="1" ht="15.6">
      <c r="A194" s="97"/>
      <c r="B194" s="666"/>
      <c r="C194" s="668"/>
      <c r="D194" s="439" t="str">
        <f>IF(ROUNDDOWN(D190,0)=$N$5,$P$5,$O$5)</f>
        <v>　レベル　4</v>
      </c>
      <c r="E194" s="469" t="s">
        <v>514</v>
      </c>
      <c r="F194" s="470"/>
      <c r="G194" s="470"/>
      <c r="H194" s="470"/>
      <c r="I194" s="470"/>
      <c r="J194" s="470"/>
      <c r="K194" s="470"/>
      <c r="L194" s="471"/>
      <c r="M194" s="63"/>
      <c r="N194" s="452">
        <v>4</v>
      </c>
      <c r="O194" s="451">
        <v>2</v>
      </c>
      <c r="P194" s="141"/>
      <c r="Q194" s="141"/>
      <c r="R194" s="141"/>
      <c r="S194" s="141"/>
      <c r="T194" s="141"/>
      <c r="U194" s="141"/>
      <c r="V194" s="141"/>
      <c r="W194" s="141"/>
      <c r="X194" s="141"/>
      <c r="Y194" s="141"/>
      <c r="Z194" s="141"/>
      <c r="AA194" s="97"/>
      <c r="AB194" s="97"/>
    </row>
    <row r="195" spans="1:28" s="165" customFormat="1" ht="15.6">
      <c r="A195" s="97"/>
      <c r="B195" s="666"/>
      <c r="C195" s="668"/>
      <c r="D195" s="440" t="str">
        <f>IF(ROUNDDOWN(D190,0)=$N$6,$P$6,$O$6)</f>
        <v>　レベル　5</v>
      </c>
      <c r="E195" s="472" t="s">
        <v>413</v>
      </c>
      <c r="F195" s="473"/>
      <c r="G195" s="473"/>
      <c r="H195" s="473"/>
      <c r="I195" s="473"/>
      <c r="J195" s="473"/>
      <c r="K195" s="473"/>
      <c r="L195" s="474"/>
      <c r="M195" s="666"/>
      <c r="N195" s="452" t="s">
        <v>311</v>
      </c>
      <c r="O195" s="451" t="s">
        <v>311</v>
      </c>
      <c r="P195" s="141"/>
      <c r="Q195" s="141"/>
      <c r="R195" s="141"/>
      <c r="S195" s="141"/>
      <c r="T195" s="141"/>
      <c r="U195" s="141"/>
      <c r="V195" s="141"/>
      <c r="W195" s="141"/>
      <c r="X195" s="141"/>
      <c r="Y195" s="141"/>
      <c r="Z195" s="141"/>
      <c r="AA195" s="97"/>
      <c r="AB195" s="97"/>
    </row>
    <row r="196" spans="1:28" s="165" customFormat="1" ht="15.6">
      <c r="A196" s="97"/>
      <c r="B196" s="666"/>
      <c r="C196" s="668"/>
      <c r="D196" s="441" t="s">
        <v>340</v>
      </c>
      <c r="E196" s="1010"/>
      <c r="F196" s="497"/>
      <c r="G196" s="497"/>
      <c r="H196" s="681"/>
      <c r="I196" s="751" t="s">
        <v>713</v>
      </c>
      <c r="J196"/>
      <c r="K196"/>
      <c r="L196"/>
      <c r="M196" s="666"/>
      <c r="N196" s="454">
        <v>0</v>
      </c>
      <c r="O196" s="451"/>
      <c r="P196" s="141"/>
      <c r="Q196" s="141"/>
      <c r="R196" s="141"/>
      <c r="S196" s="141"/>
      <c r="T196" s="141"/>
      <c r="U196" s="141"/>
      <c r="V196" s="141"/>
      <c r="W196" s="141"/>
      <c r="X196" s="141"/>
      <c r="Y196" s="141"/>
      <c r="Z196" s="141"/>
      <c r="AA196" s="97"/>
      <c r="AB196" s="97"/>
    </row>
    <row r="197" spans="1:28" s="165" customFormat="1" ht="15.6">
      <c r="A197" s="97"/>
      <c r="B197"/>
      <c r="C197" s="668"/>
      <c r="D197" s="441" t="s">
        <v>383</v>
      </c>
      <c r="E197" s="50"/>
      <c r="F197" s="816" t="s">
        <v>971</v>
      </c>
      <c r="G197" s="1256"/>
      <c r="H197" s="97"/>
      <c r="I197" s="97"/>
      <c r="J197" s="97"/>
      <c r="K197" s="97"/>
      <c r="L197" s="97"/>
      <c r="M197" s="97"/>
      <c r="N197" s="813"/>
      <c r="O197" s="813" t="s">
        <v>969</v>
      </c>
      <c r="P197" s="141"/>
      <c r="Q197" s="141"/>
      <c r="R197" s="141"/>
      <c r="S197" s="141"/>
      <c r="T197" s="141"/>
      <c r="U197" s="141"/>
      <c r="V197" s="141"/>
      <c r="W197" s="141"/>
      <c r="X197" s="141"/>
      <c r="Y197" s="141"/>
      <c r="Z197" s="141"/>
      <c r="AA197" s="97"/>
      <c r="AB197" s="97"/>
    </row>
    <row r="198" spans="1:28" s="165" customFormat="1" ht="16.2" thickBot="1">
      <c r="A198" s="97"/>
      <c r="B198" s="666"/>
      <c r="C198" s="668"/>
      <c r="D198" s="175" t="s">
        <v>384</v>
      </c>
      <c r="E198" s="496">
        <f>COUNTIF(E199:E200,$R$3)</f>
        <v>1</v>
      </c>
      <c r="F198" s="1859" t="s">
        <v>828</v>
      </c>
      <c r="G198" s="1864"/>
      <c r="H198" s="1867" t="s">
        <v>829</v>
      </c>
      <c r="I198" s="1863"/>
      <c r="J198" s="1863"/>
      <c r="K198" s="1863"/>
      <c r="L198" s="1864"/>
      <c r="M198" s="450"/>
      <c r="N198"/>
      <c r="O198"/>
      <c r="P198"/>
      <c r="Q198" s="141"/>
      <c r="R198" s="141"/>
      <c r="S198" s="141"/>
      <c r="T198" s="141"/>
      <c r="U198" s="141"/>
      <c r="V198" s="141"/>
      <c r="W198" s="141"/>
      <c r="X198" s="141"/>
      <c r="Y198" s="141"/>
      <c r="Z198" s="141"/>
      <c r="AA198" s="97"/>
      <c r="AB198" s="97"/>
    </row>
    <row r="199" spans="1:28" s="165" customFormat="1" ht="26.4" customHeight="1">
      <c r="A199" s="97"/>
      <c r="B199" s="666"/>
      <c r="C199" s="668"/>
      <c r="D199" s="141"/>
      <c r="E199" s="443" t="s">
        <v>389</v>
      </c>
      <c r="F199" s="1891" t="s">
        <v>960</v>
      </c>
      <c r="G199" s="1890"/>
      <c r="H199" s="1889" t="s">
        <v>961</v>
      </c>
      <c r="I199" s="1889"/>
      <c r="J199" s="1889"/>
      <c r="K199" s="1889"/>
      <c r="L199" s="1890"/>
      <c r="M199" s="97"/>
      <c r="N199"/>
      <c r="O199"/>
      <c r="P199"/>
      <c r="Q199" s="141"/>
      <c r="R199" s="141"/>
      <c r="S199" s="141"/>
      <c r="T199" s="141"/>
      <c r="U199" s="141"/>
      <c r="V199" s="141"/>
      <c r="W199" s="141"/>
      <c r="X199" s="141"/>
      <c r="Y199" s="141"/>
      <c r="Z199" s="141"/>
      <c r="AA199" s="97"/>
      <c r="AB199" s="97"/>
    </row>
    <row r="200" spans="1:28" s="165" customFormat="1" ht="26.4" customHeight="1" thickBot="1">
      <c r="A200" s="97"/>
      <c r="B200" s="666"/>
      <c r="C200" s="668"/>
      <c r="D200" s="141"/>
      <c r="E200" s="445"/>
      <c r="F200" s="1891" t="s">
        <v>962</v>
      </c>
      <c r="G200" s="1890"/>
      <c r="H200" s="1889" t="s">
        <v>963</v>
      </c>
      <c r="I200" s="1889"/>
      <c r="J200" s="1889"/>
      <c r="K200" s="1889"/>
      <c r="L200" s="1890"/>
      <c r="M200" s="97"/>
      <c r="N200"/>
      <c r="O200"/>
      <c r="P200"/>
      <c r="Q200" s="141"/>
      <c r="R200" s="141"/>
      <c r="S200" s="141"/>
      <c r="T200" s="141"/>
      <c r="U200" s="141"/>
      <c r="V200" s="141"/>
      <c r="W200" s="141"/>
      <c r="X200" s="141"/>
      <c r="Y200" s="141"/>
      <c r="Z200" s="141"/>
      <c r="AA200" s="97"/>
      <c r="AB200" s="97"/>
    </row>
    <row r="201" spans="1:28" customFormat="1"/>
    <row r="202" spans="1:28" s="165" customFormat="1" ht="16.2" thickBot="1">
      <c r="A202" s="97"/>
      <c r="B202" s="164"/>
      <c r="C202" s="668" t="s">
        <v>1037</v>
      </c>
      <c r="D202" s="164"/>
      <c r="E202" s="666"/>
      <c r="F202" s="677"/>
      <c r="G202" s="677"/>
      <c r="H202" s="677"/>
      <c r="I202" s="462"/>
      <c r="J202" s="666"/>
      <c r="K202" s="666"/>
      <c r="L202" s="741" t="s">
        <v>755</v>
      </c>
      <c r="M202" s="666"/>
      <c r="N202" s="63"/>
      <c r="O202" s="63"/>
      <c r="P202" s="141"/>
      <c r="Q202" s="141"/>
      <c r="R202" s="141"/>
      <c r="S202" s="141"/>
      <c r="T202" s="141"/>
      <c r="U202" s="141"/>
      <c r="V202" s="141"/>
      <c r="W202" s="141"/>
      <c r="X202" s="141"/>
      <c r="Y202" s="141"/>
      <c r="Z202" s="141"/>
      <c r="AA202" s="97"/>
      <c r="AB202" s="97"/>
    </row>
    <row r="203" spans="1:28" s="165" customFormat="1" ht="16.2" thickBot="1">
      <c r="A203" s="97"/>
      <c r="B203" s="666"/>
      <c r="C203" s="668"/>
      <c r="D203" s="437">
        <v>3</v>
      </c>
      <c r="E203" s="456" t="s">
        <v>1227</v>
      </c>
      <c r="F203" s="456"/>
      <c r="G203" s="456"/>
      <c r="H203" s="456"/>
      <c r="I203" s="456"/>
      <c r="J203" s="456"/>
      <c r="K203" s="456"/>
      <c r="L203" s="457"/>
      <c r="M203" s="63"/>
      <c r="N203" s="451" t="s">
        <v>335</v>
      </c>
      <c r="O203" s="451" t="s">
        <v>336</v>
      </c>
      <c r="P203" s="141"/>
      <c r="Q203" s="141"/>
      <c r="R203" s="141"/>
      <c r="S203" s="141"/>
      <c r="T203" s="141"/>
      <c r="U203" s="141"/>
      <c r="V203" s="141"/>
      <c r="W203" s="141"/>
      <c r="X203" s="141"/>
      <c r="Y203" s="141"/>
      <c r="Z203" s="141"/>
      <c r="AA203" s="97"/>
      <c r="AB203" s="97"/>
    </row>
    <row r="204" spans="1:28" s="165" customFormat="1" ht="15.6">
      <c r="A204" s="97"/>
      <c r="B204" s="666"/>
      <c r="C204" s="668"/>
      <c r="D204" s="438" t="str">
        <f>IF(ROUNDDOWN(D203,0)=$N$2,$P$2,$O$2)</f>
        <v>　レベル　1</v>
      </c>
      <c r="E204" s="463" t="s">
        <v>684</v>
      </c>
      <c r="F204" s="503"/>
      <c r="G204" s="503"/>
      <c r="H204" s="503"/>
      <c r="I204" s="503"/>
      <c r="J204" s="503"/>
      <c r="K204" s="503"/>
      <c r="L204" s="510"/>
      <c r="M204" s="666"/>
      <c r="N204" s="452">
        <v>1</v>
      </c>
      <c r="O204" s="455"/>
      <c r="P204" s="141"/>
      <c r="Q204" s="141"/>
      <c r="R204" s="141"/>
      <c r="S204" s="141"/>
      <c r="T204" s="141"/>
      <c r="U204" s="141"/>
      <c r="V204" s="141"/>
      <c r="W204" s="141"/>
      <c r="X204" s="141"/>
      <c r="Y204" s="141"/>
      <c r="Z204" s="141"/>
      <c r="AA204" s="97"/>
      <c r="AB204" s="97"/>
    </row>
    <row r="205" spans="1:28" ht="15.6">
      <c r="B205" s="666"/>
      <c r="C205" s="668"/>
      <c r="D205" s="439" t="str">
        <f>IF(ROUNDDOWN(D203,0)=$N$3,$P$3,$O$3)</f>
        <v>　レベル　2</v>
      </c>
      <c r="E205" s="466" t="s">
        <v>685</v>
      </c>
      <c r="F205" s="504"/>
      <c r="G205" s="504"/>
      <c r="H205" s="504"/>
      <c r="I205" s="504"/>
      <c r="J205" s="504"/>
      <c r="K205" s="504"/>
      <c r="L205" s="511"/>
      <c r="M205" s="63"/>
      <c r="N205" s="452">
        <v>2</v>
      </c>
      <c r="O205" s="455"/>
    </row>
    <row r="206" spans="1:28" ht="15.6">
      <c r="B206" s="666"/>
      <c r="C206" s="668"/>
      <c r="D206" s="439" t="str">
        <f>IF(ROUNDDOWN(D203,0)=$N$4,$P$4,$O$4)</f>
        <v>■レベル　3</v>
      </c>
      <c r="E206" s="466" t="s">
        <v>686</v>
      </c>
      <c r="F206" s="504"/>
      <c r="G206" s="504"/>
      <c r="H206" s="504"/>
      <c r="I206" s="504"/>
      <c r="J206" s="504"/>
      <c r="K206" s="504"/>
      <c r="L206" s="511"/>
      <c r="M206" s="666"/>
      <c r="N206" s="452">
        <v>3</v>
      </c>
      <c r="O206" s="455"/>
      <c r="P206" s="165"/>
      <c r="Q206" s="165"/>
      <c r="R206" s="165"/>
      <c r="S206" s="165"/>
      <c r="T206" s="165"/>
      <c r="U206" s="165"/>
      <c r="V206" s="165"/>
      <c r="W206" s="165"/>
      <c r="X206" s="165"/>
      <c r="Y206" s="165"/>
      <c r="Z206" s="165"/>
    </row>
    <row r="207" spans="1:28" ht="33" customHeight="1">
      <c r="B207" s="666"/>
      <c r="C207" s="668"/>
      <c r="D207" s="439" t="str">
        <f>IF(ROUNDDOWN(D203,0)=$N$5,$P$5,$O$5)</f>
        <v>　レベル　4</v>
      </c>
      <c r="E207" s="1883" t="s">
        <v>687</v>
      </c>
      <c r="F207" s="1908"/>
      <c r="G207" s="1908"/>
      <c r="H207" s="1908"/>
      <c r="I207" s="1908"/>
      <c r="J207" s="1908"/>
      <c r="K207" s="1908"/>
      <c r="L207" s="1909"/>
      <c r="M207" s="63"/>
      <c r="N207" s="452">
        <v>4</v>
      </c>
      <c r="O207" s="455"/>
      <c r="P207" s="165"/>
      <c r="Q207" s="165"/>
      <c r="R207" s="165"/>
      <c r="S207" s="165"/>
      <c r="T207" s="165"/>
      <c r="U207" s="165"/>
      <c r="V207" s="165"/>
      <c r="W207" s="165"/>
      <c r="X207" s="165"/>
      <c r="Y207" s="165"/>
      <c r="Z207" s="165"/>
    </row>
    <row r="208" spans="1:28" ht="33" customHeight="1">
      <c r="B208" s="666"/>
      <c r="C208" s="668"/>
      <c r="D208" s="440" t="str">
        <f>IF(ROUNDDOWN(D203,0)=$N$6,$P$6,$O$6)</f>
        <v>　レベル　5</v>
      </c>
      <c r="E208" s="1844" t="s">
        <v>688</v>
      </c>
      <c r="F208" s="1873"/>
      <c r="G208" s="1873"/>
      <c r="H208" s="1873"/>
      <c r="I208" s="1873"/>
      <c r="J208" s="1873"/>
      <c r="K208" s="1873"/>
      <c r="L208" s="1874"/>
      <c r="M208" s="666"/>
      <c r="N208" s="452">
        <v>5</v>
      </c>
      <c r="O208" s="455"/>
      <c r="P208" s="165"/>
      <c r="Q208" s="165"/>
      <c r="R208" s="165"/>
      <c r="S208" s="165"/>
      <c r="T208" s="165"/>
      <c r="U208" s="165"/>
      <c r="V208" s="165"/>
      <c r="W208" s="165"/>
      <c r="X208" s="165"/>
      <c r="Y208" s="165"/>
      <c r="Z208" s="165"/>
    </row>
    <row r="209" spans="2:26" ht="15.6">
      <c r="B209" s="666"/>
      <c r="C209" s="668"/>
      <c r="D209" s="441" t="s">
        <v>340</v>
      </c>
      <c r="E209" s="1010"/>
      <c r="F209" s="497"/>
      <c r="G209" s="497"/>
      <c r="H209" s="681"/>
      <c r="I209" s="751" t="s">
        <v>713</v>
      </c>
      <c r="J209"/>
      <c r="K209"/>
      <c r="L209"/>
      <c r="M209" s="63"/>
      <c r="N209" s="454">
        <v>0</v>
      </c>
      <c r="O209" s="455"/>
      <c r="P209" s="165"/>
      <c r="Q209" s="165"/>
      <c r="R209" s="165"/>
      <c r="S209" s="165"/>
      <c r="T209" s="165"/>
      <c r="U209" s="165"/>
      <c r="V209" s="165"/>
      <c r="W209" s="165"/>
      <c r="X209" s="165"/>
      <c r="Y209" s="165"/>
      <c r="Z209" s="165"/>
    </row>
    <row r="210" spans="2:26" customFormat="1"/>
    <row r="211" spans="2:26" ht="16.2" thickBot="1">
      <c r="C211" s="668" t="s">
        <v>1038</v>
      </c>
      <c r="D211" s="164"/>
      <c r="E211" s="666"/>
      <c r="F211" s="677"/>
      <c r="G211" s="677"/>
      <c r="H211" s="677"/>
      <c r="I211" s="462"/>
      <c r="J211" s="666"/>
      <c r="K211" s="666"/>
      <c r="L211" s="741" t="s">
        <v>756</v>
      </c>
      <c r="M211" s="666"/>
      <c r="N211" s="63"/>
      <c r="O211" s="63"/>
      <c r="P211" s="165"/>
      <c r="Q211" s="165"/>
      <c r="R211" s="165"/>
      <c r="S211" s="165"/>
      <c r="T211" s="165"/>
      <c r="U211" s="165"/>
      <c r="V211" s="165"/>
      <c r="W211" s="165"/>
      <c r="X211" s="165"/>
      <c r="Y211" s="165"/>
      <c r="Z211" s="165"/>
    </row>
    <row r="212" spans="2:26" ht="16.2" thickBot="1">
      <c r="C212" s="668"/>
      <c r="D212" s="437">
        <v>3</v>
      </c>
      <c r="E212" s="456" t="s">
        <v>1227</v>
      </c>
      <c r="F212" s="456"/>
      <c r="G212" s="456"/>
      <c r="H212" s="456"/>
      <c r="I212" s="456"/>
      <c r="J212" s="456"/>
      <c r="K212" s="456"/>
      <c r="L212" s="457"/>
      <c r="M212" s="63"/>
      <c r="N212" s="451" t="s">
        <v>335</v>
      </c>
      <c r="O212" s="451" t="s">
        <v>336</v>
      </c>
      <c r="P212" s="165"/>
      <c r="Q212" s="165"/>
      <c r="R212" s="165"/>
      <c r="S212" s="165"/>
      <c r="T212" s="165"/>
      <c r="U212" s="165"/>
      <c r="V212" s="165"/>
      <c r="W212" s="165"/>
      <c r="X212" s="165"/>
      <c r="Y212" s="165"/>
      <c r="Z212" s="165"/>
    </row>
    <row r="213" spans="2:26" ht="15.6">
      <c r="C213" s="668"/>
      <c r="D213" s="438" t="str">
        <f>IF(ROUNDDOWN(D212,0)=$N$2,$P$2,$O$2)</f>
        <v>　レベル　1</v>
      </c>
      <c r="E213" s="463" t="s">
        <v>689</v>
      </c>
      <c r="F213" s="503"/>
      <c r="G213" s="503"/>
      <c r="H213" s="503"/>
      <c r="I213" s="503"/>
      <c r="J213" s="503"/>
      <c r="K213" s="503"/>
      <c r="L213" s="510"/>
      <c r="M213" s="666"/>
      <c r="N213" s="452">
        <v>1</v>
      </c>
      <c r="O213" s="455"/>
      <c r="P213" s="165"/>
      <c r="Q213" s="165"/>
      <c r="R213" s="165"/>
      <c r="S213" s="165"/>
      <c r="T213" s="165"/>
      <c r="U213" s="165"/>
      <c r="V213" s="165"/>
      <c r="W213" s="165"/>
      <c r="X213" s="165"/>
      <c r="Y213" s="165"/>
      <c r="Z213" s="165"/>
    </row>
    <row r="214" spans="2:26" ht="15.6">
      <c r="C214" s="668"/>
      <c r="D214" s="439" t="str">
        <f>IF(ROUNDDOWN(D212,0)=$N$3,$P$3,$O$3)</f>
        <v>　レベル　2</v>
      </c>
      <c r="E214" s="466" t="s">
        <v>413</v>
      </c>
      <c r="F214" s="504"/>
      <c r="G214" s="504"/>
      <c r="H214" s="504"/>
      <c r="I214" s="504"/>
      <c r="J214" s="504"/>
      <c r="K214" s="504"/>
      <c r="L214" s="511"/>
      <c r="M214" s="63"/>
      <c r="N214" s="452" t="s">
        <v>311</v>
      </c>
      <c r="O214" s="455"/>
      <c r="P214" s="165"/>
      <c r="Q214" s="165"/>
      <c r="R214" s="165"/>
      <c r="S214" s="165"/>
      <c r="T214" s="165"/>
      <c r="U214" s="165"/>
      <c r="V214" s="165"/>
      <c r="W214" s="165"/>
      <c r="X214" s="165"/>
      <c r="Y214" s="165"/>
      <c r="Z214" s="165"/>
    </row>
    <row r="215" spans="2:26" ht="15.6">
      <c r="C215" s="668"/>
      <c r="D215" s="439" t="str">
        <f>IF(ROUNDDOWN(D212,0)=$N$4,$P$4,$O$4)</f>
        <v>■レベル　3</v>
      </c>
      <c r="E215" s="466" t="s">
        <v>690</v>
      </c>
      <c r="F215" s="504"/>
      <c r="G215" s="504"/>
      <c r="H215" s="504"/>
      <c r="I215" s="504"/>
      <c r="J215" s="504"/>
      <c r="K215" s="504"/>
      <c r="L215" s="511"/>
      <c r="M215" s="666"/>
      <c r="N215" s="452">
        <v>3</v>
      </c>
      <c r="O215" s="455"/>
      <c r="P215" s="165"/>
      <c r="Q215" s="165"/>
      <c r="R215" s="165"/>
      <c r="S215" s="165"/>
      <c r="T215" s="165"/>
      <c r="U215" s="165"/>
      <c r="V215" s="165"/>
      <c r="W215" s="165"/>
      <c r="X215" s="165"/>
      <c r="Y215" s="165"/>
      <c r="Z215" s="165"/>
    </row>
    <row r="216" spans="2:26" ht="15.6">
      <c r="C216" s="668"/>
      <c r="D216" s="439" t="str">
        <f>IF(ROUNDDOWN(D212,0)=$N$5,$P$5,$O$5)</f>
        <v>　レベル　4</v>
      </c>
      <c r="E216" s="469" t="s">
        <v>691</v>
      </c>
      <c r="F216" s="505"/>
      <c r="G216" s="505"/>
      <c r="H216" s="505"/>
      <c r="I216" s="505"/>
      <c r="J216" s="505"/>
      <c r="K216" s="505"/>
      <c r="L216" s="512"/>
      <c r="M216" s="63"/>
      <c r="N216" s="452">
        <v>4</v>
      </c>
      <c r="O216" s="455"/>
      <c r="P216" s="165"/>
      <c r="Q216" s="165"/>
      <c r="R216" s="165"/>
      <c r="S216" s="165"/>
      <c r="T216" s="165"/>
      <c r="U216" s="165"/>
      <c r="V216" s="165"/>
      <c r="W216" s="165"/>
      <c r="X216" s="165"/>
      <c r="Y216" s="165"/>
      <c r="Z216" s="165"/>
    </row>
    <row r="217" spans="2:26" ht="15.6">
      <c r="C217" s="668"/>
      <c r="D217" s="440" t="str">
        <f>IF(ROUNDDOWN(D212,0)=$N$6,$P$6,$O$6)</f>
        <v>　レベル　5</v>
      </c>
      <c r="E217" s="472" t="s">
        <v>413</v>
      </c>
      <c r="F217" s="483"/>
      <c r="G217" s="483"/>
      <c r="H217" s="483"/>
      <c r="I217" s="483"/>
      <c r="J217" s="483"/>
      <c r="K217" s="483"/>
      <c r="L217" s="513"/>
      <c r="M217" s="666"/>
      <c r="N217" s="452" t="s">
        <v>311</v>
      </c>
      <c r="O217" s="455"/>
      <c r="P217" s="165"/>
      <c r="Q217" s="165"/>
      <c r="R217" s="165"/>
      <c r="S217" s="165"/>
      <c r="T217" s="165"/>
      <c r="U217" s="165"/>
      <c r="V217" s="165"/>
      <c r="W217" s="165"/>
      <c r="X217" s="165"/>
      <c r="Y217" s="165"/>
      <c r="Z217" s="165"/>
    </row>
    <row r="218" spans="2:26" ht="15.6">
      <c r="C218" s="668"/>
      <c r="D218" s="441" t="s">
        <v>340</v>
      </c>
      <c r="E218" s="1010"/>
      <c r="F218" s="497"/>
      <c r="G218" s="497"/>
      <c r="H218" s="681"/>
      <c r="I218" s="751" t="s">
        <v>713</v>
      </c>
      <c r="J218"/>
      <c r="K218"/>
      <c r="L218"/>
      <c r="M218" s="63"/>
      <c r="N218" s="454">
        <v>0</v>
      </c>
      <c r="O218" s="455"/>
      <c r="P218" s="165"/>
      <c r="Q218" s="165"/>
      <c r="R218" s="165"/>
      <c r="S218" s="165"/>
      <c r="T218" s="165"/>
      <c r="U218" s="165"/>
      <c r="V218" s="165"/>
      <c r="W218" s="165"/>
      <c r="X218" s="165"/>
      <c r="Y218" s="165"/>
      <c r="Z218" s="165"/>
    </row>
    <row r="219" spans="2:26" customFormat="1"/>
    <row r="220" spans="2:26" ht="15.6">
      <c r="C220" s="668" t="s">
        <v>1039</v>
      </c>
      <c r="P220" s="165"/>
      <c r="Q220" s="165"/>
      <c r="R220" s="165"/>
      <c r="S220" s="165"/>
      <c r="T220" s="165"/>
      <c r="U220" s="165"/>
      <c r="V220" s="165"/>
      <c r="W220" s="165"/>
      <c r="X220" s="165"/>
      <c r="Y220" s="165"/>
      <c r="Z220" s="165"/>
    </row>
    <row r="221" spans="2:26" ht="16.2" thickBot="1">
      <c r="C221" s="668"/>
      <c r="D221" s="164" t="s">
        <v>692</v>
      </c>
      <c r="E221" s="450"/>
      <c r="F221" s="498"/>
      <c r="G221" s="498"/>
      <c r="H221" s="498"/>
      <c r="I221" s="462"/>
      <c r="J221" s="450"/>
      <c r="K221" s="450"/>
      <c r="L221" s="450"/>
      <c r="M221" s="450"/>
      <c r="N221" s="450"/>
      <c r="O221" s="63"/>
      <c r="P221" s="165"/>
      <c r="Q221" s="165"/>
      <c r="R221" s="165"/>
      <c r="S221" s="165"/>
      <c r="T221" s="165"/>
      <c r="U221" s="165"/>
      <c r="V221" s="165"/>
      <c r="W221" s="165"/>
      <c r="X221" s="165"/>
      <c r="Y221" s="165"/>
      <c r="Z221" s="165"/>
    </row>
    <row r="222" spans="2:26" ht="16.2" thickBot="1">
      <c r="C222" s="668"/>
      <c r="D222" s="1239">
        <f>IF(E230&gt;=O227,N227,IF(E230&gt;=O226,N226,IF(E230&gt;=O225,N225,IF(E230&gt;=O224,N224,N223))))</f>
        <v>3</v>
      </c>
      <c r="E222" s="456" t="s">
        <v>1227</v>
      </c>
      <c r="F222" s="456"/>
      <c r="G222" s="456"/>
      <c r="H222" s="456"/>
      <c r="I222" s="456"/>
      <c r="J222" s="456"/>
      <c r="K222" s="456"/>
      <c r="L222" s="457"/>
      <c r="M222" s="63"/>
      <c r="N222" s="451" t="s">
        <v>335</v>
      </c>
      <c r="O222" s="451" t="s">
        <v>336</v>
      </c>
      <c r="P222" s="165"/>
      <c r="Q222" s="165"/>
      <c r="R222" s="165"/>
      <c r="S222" s="165"/>
      <c r="T222" s="165"/>
      <c r="U222" s="165"/>
      <c r="V222" s="165"/>
      <c r="W222" s="165"/>
      <c r="X222" s="165"/>
      <c r="Y222" s="165"/>
      <c r="Z222" s="165"/>
    </row>
    <row r="223" spans="2:26" ht="15.6">
      <c r="C223" s="668"/>
      <c r="D223" s="438" t="str">
        <f>IF(ROUNDDOWN(D222,0)=$N$2,$P$2,$O$2)</f>
        <v>　レベル　1</v>
      </c>
      <c r="E223" s="463" t="s">
        <v>1302</v>
      </c>
      <c r="F223" s="464"/>
      <c r="G223" s="464"/>
      <c r="H223" s="464"/>
      <c r="I223" s="464"/>
      <c r="J223" s="464"/>
      <c r="K223" s="464"/>
      <c r="L223" s="465"/>
      <c r="M223" s="666"/>
      <c r="N223" s="452">
        <v>1</v>
      </c>
      <c r="O223" s="451">
        <v>3</v>
      </c>
      <c r="P223" s="165"/>
      <c r="Q223" s="165"/>
      <c r="R223" s="165"/>
      <c r="S223" s="165"/>
      <c r="T223" s="165"/>
      <c r="U223" s="165"/>
      <c r="V223" s="165"/>
      <c r="W223" s="165"/>
      <c r="X223" s="165"/>
      <c r="Y223" s="165"/>
      <c r="Z223" s="165"/>
    </row>
    <row r="224" spans="2:26" ht="15.6">
      <c r="C224" s="668"/>
      <c r="D224" s="439" t="str">
        <f>IF(ROUNDDOWN(D222,0)=$N$3,$P$3,$O$3)</f>
        <v>　レベル　2</v>
      </c>
      <c r="E224" s="466" t="s">
        <v>1303</v>
      </c>
      <c r="F224" s="467"/>
      <c r="G224" s="467"/>
      <c r="H224" s="467"/>
      <c r="I224" s="467"/>
      <c r="J224" s="467"/>
      <c r="K224" s="467"/>
      <c r="L224" s="468"/>
      <c r="M224" s="63"/>
      <c r="N224" s="452">
        <v>2</v>
      </c>
      <c r="O224" s="451">
        <v>4</v>
      </c>
      <c r="P224" s="165"/>
      <c r="Q224" s="165"/>
      <c r="R224" s="165"/>
      <c r="S224" s="165"/>
      <c r="T224" s="165"/>
      <c r="U224" s="165"/>
      <c r="V224" s="165"/>
      <c r="W224" s="165"/>
      <c r="X224" s="165"/>
      <c r="Y224" s="165"/>
      <c r="Z224" s="165"/>
    </row>
    <row r="225" spans="3:26" ht="15.6">
      <c r="C225" s="668"/>
      <c r="D225" s="439" t="str">
        <f>IF(ROUNDDOWN(D222,0)=$N$4,$P$4,$O$4)</f>
        <v>■レベル　3</v>
      </c>
      <c r="E225" s="466" t="s">
        <v>1304</v>
      </c>
      <c r="F225" s="467"/>
      <c r="G225" s="467"/>
      <c r="H225" s="467"/>
      <c r="I225" s="467"/>
      <c r="J225" s="467"/>
      <c r="K225" s="467"/>
      <c r="L225" s="468"/>
      <c r="M225" s="666"/>
      <c r="N225" s="452">
        <v>3</v>
      </c>
      <c r="O225" s="451">
        <v>6</v>
      </c>
      <c r="P225" s="165"/>
      <c r="Q225" s="165"/>
      <c r="R225" s="165"/>
      <c r="S225" s="165"/>
      <c r="T225" s="165"/>
      <c r="U225" s="165"/>
      <c r="V225" s="165"/>
      <c r="W225" s="165"/>
      <c r="X225" s="165"/>
      <c r="Y225" s="165"/>
      <c r="Z225" s="165"/>
    </row>
    <row r="226" spans="3:26" ht="15.6">
      <c r="C226" s="668"/>
      <c r="D226" s="439" t="str">
        <f>IF(ROUNDDOWN(D222,0)=$N$5,$P$5,$O$5)</f>
        <v>　レベル　4</v>
      </c>
      <c r="E226" s="469" t="s">
        <v>1305</v>
      </c>
      <c r="F226" s="470"/>
      <c r="G226" s="470"/>
      <c r="H226" s="470"/>
      <c r="I226" s="470"/>
      <c r="J226" s="470"/>
      <c r="K226" s="470"/>
      <c r="L226" s="471"/>
      <c r="M226" s="63"/>
      <c r="N226" s="452">
        <v>4</v>
      </c>
      <c r="O226" s="451">
        <v>9</v>
      </c>
      <c r="P226" s="165"/>
      <c r="Q226" s="165"/>
      <c r="R226" s="165"/>
      <c r="S226" s="165"/>
      <c r="T226" s="165"/>
      <c r="U226" s="165"/>
      <c r="V226" s="165"/>
      <c r="W226" s="165"/>
      <c r="X226" s="165"/>
      <c r="Y226" s="165"/>
      <c r="Z226" s="165"/>
    </row>
    <row r="227" spans="3:26" ht="15.6">
      <c r="C227" s="668"/>
      <c r="D227" s="440" t="str">
        <f>IF(ROUNDDOWN(D222,0)=$N$6,$P$6,$O$6)</f>
        <v>　レベル　5</v>
      </c>
      <c r="E227" s="472" t="s">
        <v>1306</v>
      </c>
      <c r="F227" s="473"/>
      <c r="G227" s="473"/>
      <c r="H227" s="473"/>
      <c r="I227" s="473"/>
      <c r="J227" s="473"/>
      <c r="K227" s="473"/>
      <c r="L227" s="474"/>
      <c r="M227" s="666"/>
      <c r="N227" s="452">
        <v>5</v>
      </c>
      <c r="O227" s="451">
        <v>11</v>
      </c>
      <c r="P227" s="165"/>
      <c r="Q227" s="165"/>
      <c r="R227" s="165"/>
      <c r="S227" s="165"/>
      <c r="T227" s="165"/>
      <c r="U227" s="165"/>
      <c r="V227" s="165"/>
      <c r="W227" s="165"/>
      <c r="X227" s="165"/>
      <c r="Y227" s="165"/>
      <c r="Z227" s="165"/>
    </row>
    <row r="228" spans="3:26" ht="15.6">
      <c r="C228" s="668"/>
      <c r="D228" s="441" t="s">
        <v>340</v>
      </c>
      <c r="E228" s="1010"/>
      <c r="F228" s="497"/>
      <c r="G228" s="497"/>
      <c r="H228" s="681"/>
      <c r="I228" s="751"/>
      <c r="J228"/>
      <c r="K228"/>
      <c r="L228"/>
      <c r="M228" s="666"/>
      <c r="N228" s="452" t="s">
        <v>311</v>
      </c>
      <c r="O228" s="451"/>
      <c r="P228" s="165"/>
      <c r="Q228" s="165"/>
      <c r="R228" s="165"/>
      <c r="S228" s="165"/>
      <c r="T228" s="165"/>
      <c r="U228" s="165"/>
      <c r="V228" s="165"/>
      <c r="W228" s="165"/>
      <c r="X228" s="165"/>
      <c r="Y228" s="165"/>
      <c r="Z228" s="165"/>
    </row>
    <row r="229" spans="3:26" ht="15.6">
      <c r="C229" s="668"/>
      <c r="D229" s="441" t="s">
        <v>383</v>
      </c>
      <c r="E229" s="450"/>
      <c r="F229" s="498"/>
      <c r="G229" s="498"/>
      <c r="H229" s="498"/>
      <c r="I229" s="498"/>
      <c r="J229" s="450"/>
      <c r="K229" s="450"/>
      <c r="L229" s="450"/>
      <c r="M229" s="450"/>
      <c r="N229" s="97"/>
      <c r="O229" s="97"/>
      <c r="P229" s="165"/>
      <c r="Q229" s="165"/>
      <c r="R229" s="165"/>
      <c r="S229" s="165"/>
      <c r="T229" s="165"/>
      <c r="U229" s="165"/>
      <c r="V229" s="165"/>
      <c r="W229" s="165"/>
      <c r="X229" s="165"/>
      <c r="Y229" s="165"/>
      <c r="Z229" s="165"/>
    </row>
    <row r="230" spans="3:26" ht="16.2" thickBot="1">
      <c r="C230" s="668"/>
      <c r="D230" s="175" t="s">
        <v>384</v>
      </c>
      <c r="E230" s="496">
        <f>COUNTIF(E231:E242,$R$3)</f>
        <v>6</v>
      </c>
      <c r="F230" s="810" t="s">
        <v>828</v>
      </c>
      <c r="G230" s="804"/>
      <c r="H230" s="809" t="s">
        <v>829</v>
      </c>
      <c r="I230" s="460"/>
      <c r="J230" s="460"/>
      <c r="K230" s="460"/>
      <c r="L230" s="461"/>
      <c r="M230" s="450"/>
      <c r="N230"/>
      <c r="O230"/>
      <c r="P230" s="165"/>
      <c r="Q230" s="165"/>
      <c r="R230" s="165"/>
      <c r="S230" s="165"/>
      <c r="T230" s="165"/>
      <c r="U230" s="165"/>
      <c r="V230" s="165"/>
      <c r="W230" s="165"/>
      <c r="X230" s="165"/>
      <c r="Y230" s="165"/>
      <c r="Z230" s="165"/>
    </row>
    <row r="231" spans="3:26" ht="27.6" customHeight="1">
      <c r="C231" s="668"/>
      <c r="D231" s="442" t="s">
        <v>299</v>
      </c>
      <c r="E231" s="443" t="s">
        <v>389</v>
      </c>
      <c r="F231" s="1929" t="s">
        <v>693</v>
      </c>
      <c r="G231" s="812" t="s">
        <v>838</v>
      </c>
      <c r="H231" s="1876" t="s">
        <v>757</v>
      </c>
      <c r="I231" s="1876"/>
      <c r="J231" s="1876"/>
      <c r="K231" s="1876"/>
      <c r="L231" s="1877"/>
      <c r="N231"/>
      <c r="O231"/>
      <c r="P231" s="165"/>
      <c r="Q231" s="165"/>
      <c r="R231" s="165"/>
      <c r="S231" s="165"/>
      <c r="T231" s="165"/>
      <c r="U231" s="165"/>
      <c r="V231" s="165"/>
      <c r="W231" s="165"/>
      <c r="X231" s="165"/>
      <c r="Y231" s="165"/>
      <c r="Z231" s="165"/>
    </row>
    <row r="232" spans="3:26" ht="15.6">
      <c r="C232" s="668"/>
      <c r="D232" s="442" t="s">
        <v>300</v>
      </c>
      <c r="E232" s="444"/>
      <c r="F232" s="1931"/>
      <c r="G232" s="808" t="s">
        <v>923</v>
      </c>
      <c r="H232" s="729" t="s">
        <v>694</v>
      </c>
      <c r="I232" s="729"/>
      <c r="J232" s="729"/>
      <c r="K232" s="729"/>
      <c r="L232" s="736"/>
      <c r="N232"/>
      <c r="O232"/>
      <c r="P232" s="165"/>
      <c r="Q232" s="165"/>
      <c r="R232" s="165"/>
      <c r="S232" s="165"/>
      <c r="T232" s="165"/>
      <c r="U232" s="165"/>
      <c r="V232" s="165"/>
      <c r="W232" s="165"/>
      <c r="X232" s="165"/>
      <c r="Y232" s="165"/>
      <c r="Z232" s="165"/>
    </row>
    <row r="233" spans="3:26" ht="27.6" customHeight="1">
      <c r="C233" s="668"/>
      <c r="D233" s="442" t="s">
        <v>301</v>
      </c>
      <c r="E233" s="444" t="s">
        <v>389</v>
      </c>
      <c r="F233" s="811" t="s">
        <v>695</v>
      </c>
      <c r="G233" s="812" t="s">
        <v>842</v>
      </c>
      <c r="H233" s="729" t="s">
        <v>696</v>
      </c>
      <c r="I233" s="729"/>
      <c r="J233" s="729"/>
      <c r="K233" s="729"/>
      <c r="L233" s="736"/>
      <c r="N233"/>
      <c r="O233"/>
      <c r="P233" s="165"/>
      <c r="Q233" s="165"/>
      <c r="R233" s="165"/>
      <c r="S233" s="165"/>
      <c r="T233" s="165"/>
      <c r="U233" s="165"/>
      <c r="V233" s="165"/>
      <c r="W233" s="165"/>
      <c r="X233" s="165"/>
      <c r="Y233" s="165"/>
      <c r="Z233" s="165"/>
    </row>
    <row r="234" spans="3:26" ht="27.6" customHeight="1">
      <c r="C234" s="668"/>
      <c r="D234" s="442" t="s">
        <v>302</v>
      </c>
      <c r="E234" s="444"/>
      <c r="F234" s="1929" t="s">
        <v>697</v>
      </c>
      <c r="G234" s="808" t="s">
        <v>844</v>
      </c>
      <c r="H234" s="1876" t="s">
        <v>698</v>
      </c>
      <c r="I234" s="1927"/>
      <c r="J234" s="1927"/>
      <c r="K234" s="1927"/>
      <c r="L234" s="1928"/>
      <c r="N234"/>
      <c r="O234"/>
      <c r="P234" s="165"/>
      <c r="Q234" s="165"/>
      <c r="R234" s="165"/>
      <c r="S234" s="165"/>
      <c r="T234" s="165"/>
      <c r="U234" s="165"/>
      <c r="V234" s="165"/>
      <c r="W234" s="165"/>
      <c r="X234" s="165"/>
      <c r="Y234" s="165"/>
      <c r="Z234" s="165"/>
    </row>
    <row r="235" spans="3:26" ht="15.6">
      <c r="C235" s="668"/>
      <c r="D235" s="442" t="s">
        <v>303</v>
      </c>
      <c r="E235" s="444"/>
      <c r="F235" s="1930"/>
      <c r="G235" s="812" t="s">
        <v>864</v>
      </c>
      <c r="H235" s="729" t="s">
        <v>699</v>
      </c>
      <c r="I235" s="729"/>
      <c r="J235" s="729"/>
      <c r="K235" s="729"/>
      <c r="L235" s="736"/>
      <c r="N235"/>
      <c r="O235"/>
      <c r="P235" s="165"/>
      <c r="Q235" s="165"/>
      <c r="R235" s="165"/>
      <c r="S235" s="165"/>
      <c r="T235" s="165"/>
      <c r="U235" s="165"/>
      <c r="V235" s="165"/>
      <c r="W235" s="165"/>
      <c r="X235" s="165"/>
      <c r="Y235" s="165"/>
      <c r="Z235" s="165"/>
    </row>
    <row r="236" spans="3:26" ht="15.6">
      <c r="C236" s="668"/>
      <c r="D236" s="442" t="s">
        <v>304</v>
      </c>
      <c r="E236" s="444" t="s">
        <v>389</v>
      </c>
      <c r="F236" s="1931"/>
      <c r="G236" s="808" t="s">
        <v>866</v>
      </c>
      <c r="H236" s="729" t="s">
        <v>700</v>
      </c>
      <c r="I236" s="729"/>
      <c r="J236" s="729"/>
      <c r="K236" s="729"/>
      <c r="L236" s="736"/>
      <c r="N236"/>
      <c r="O236"/>
      <c r="P236" s="165"/>
      <c r="Q236" s="165"/>
      <c r="R236" s="165"/>
      <c r="S236" s="165"/>
      <c r="T236" s="165"/>
      <c r="U236" s="165"/>
      <c r="V236" s="165"/>
      <c r="W236" s="165"/>
      <c r="X236" s="165"/>
      <c r="Y236" s="165"/>
      <c r="Z236" s="165"/>
    </row>
    <row r="237" spans="3:26" ht="15.6">
      <c r="C237" s="668"/>
      <c r="D237" s="442" t="s">
        <v>305</v>
      </c>
      <c r="E237" s="444" t="s">
        <v>389</v>
      </c>
      <c r="F237" s="1929" t="s">
        <v>701</v>
      </c>
      <c r="G237" s="812" t="s">
        <v>918</v>
      </c>
      <c r="H237" s="729" t="s">
        <v>702</v>
      </c>
      <c r="I237" s="729"/>
      <c r="J237" s="729"/>
      <c r="K237" s="729"/>
      <c r="L237" s="736"/>
      <c r="N237"/>
      <c r="O237"/>
      <c r="P237" s="165"/>
      <c r="Q237" s="165"/>
      <c r="R237" s="165"/>
      <c r="S237" s="165"/>
      <c r="T237" s="165"/>
      <c r="U237" s="165"/>
      <c r="V237" s="165"/>
      <c r="W237" s="165"/>
      <c r="X237" s="165"/>
      <c r="Y237" s="165"/>
      <c r="Z237" s="165"/>
    </row>
    <row r="238" spans="3:26" ht="15.6">
      <c r="C238" s="668"/>
      <c r="D238" s="442" t="s">
        <v>306</v>
      </c>
      <c r="E238" s="444"/>
      <c r="F238" s="1930"/>
      <c r="G238" s="808" t="s">
        <v>920</v>
      </c>
      <c r="H238" s="729" t="s">
        <v>703</v>
      </c>
      <c r="I238" s="729"/>
      <c r="J238" s="729"/>
      <c r="K238" s="729"/>
      <c r="L238" s="736"/>
      <c r="N238"/>
      <c r="O238"/>
      <c r="P238" s="165"/>
      <c r="Q238" s="165"/>
      <c r="R238" s="165"/>
      <c r="S238" s="165"/>
      <c r="T238" s="165"/>
      <c r="U238" s="165"/>
      <c r="V238" s="165"/>
      <c r="W238" s="165"/>
      <c r="X238" s="165"/>
      <c r="Y238" s="165"/>
      <c r="Z238" s="165"/>
    </row>
    <row r="239" spans="3:26" ht="15.6">
      <c r="C239" s="668"/>
      <c r="D239" s="442" t="s">
        <v>307</v>
      </c>
      <c r="E239" s="444" t="s">
        <v>389</v>
      </c>
      <c r="F239" s="1931"/>
      <c r="G239" s="812" t="s">
        <v>964</v>
      </c>
      <c r="H239" s="729" t="s">
        <v>704</v>
      </c>
      <c r="I239" s="729"/>
      <c r="J239" s="729"/>
      <c r="K239" s="729"/>
      <c r="L239" s="736"/>
      <c r="N239"/>
      <c r="O239"/>
      <c r="P239" s="165"/>
      <c r="Q239" s="165"/>
      <c r="R239" s="165"/>
      <c r="S239" s="165"/>
      <c r="T239" s="165"/>
      <c r="U239" s="165"/>
      <c r="V239" s="165"/>
      <c r="W239" s="165"/>
      <c r="X239" s="165"/>
      <c r="Y239" s="165"/>
      <c r="Z239" s="165"/>
    </row>
    <row r="240" spans="3:26" ht="15.6">
      <c r="C240" s="668"/>
      <c r="D240" s="442" t="s">
        <v>308</v>
      </c>
      <c r="E240" s="444"/>
      <c r="F240" s="1929" t="s">
        <v>705</v>
      </c>
      <c r="G240" s="808" t="s">
        <v>965</v>
      </c>
      <c r="H240" s="729" t="s">
        <v>706</v>
      </c>
      <c r="I240" s="729"/>
      <c r="J240" s="729"/>
      <c r="K240" s="729"/>
      <c r="L240" s="736"/>
      <c r="N240"/>
      <c r="O240"/>
      <c r="P240" s="165"/>
      <c r="Q240" s="165"/>
      <c r="R240" s="165"/>
      <c r="S240" s="165"/>
      <c r="T240" s="165"/>
      <c r="U240" s="165"/>
      <c r="V240" s="165"/>
      <c r="W240" s="165"/>
      <c r="X240" s="165"/>
      <c r="Y240" s="165"/>
      <c r="Z240" s="165"/>
    </row>
    <row r="241" spans="3:26" ht="27.6" customHeight="1">
      <c r="C241" s="668"/>
      <c r="D241" s="442" t="s">
        <v>309</v>
      </c>
      <c r="E241" s="545"/>
      <c r="F241" s="1930"/>
      <c r="G241" s="812" t="s">
        <v>966</v>
      </c>
      <c r="H241" s="1876" t="s">
        <v>707</v>
      </c>
      <c r="I241" s="1927"/>
      <c r="J241" s="1927"/>
      <c r="K241" s="1927"/>
      <c r="L241" s="1928"/>
      <c r="N241"/>
      <c r="O241"/>
      <c r="P241" s="165"/>
      <c r="Q241" s="165"/>
      <c r="R241" s="165"/>
      <c r="S241" s="165"/>
      <c r="T241" s="165"/>
      <c r="U241" s="165"/>
      <c r="V241" s="165"/>
      <c r="W241" s="165"/>
      <c r="X241" s="165"/>
      <c r="Y241" s="165"/>
      <c r="Z241" s="165"/>
    </row>
    <row r="242" spans="3:26" ht="16.2" thickBot="1">
      <c r="C242" s="668"/>
      <c r="D242" s="442" t="s">
        <v>310</v>
      </c>
      <c r="E242" s="445" t="s">
        <v>389</v>
      </c>
      <c r="F242" s="1931"/>
      <c r="G242" s="808" t="s">
        <v>967</v>
      </c>
      <c r="H242" s="729" t="s">
        <v>708</v>
      </c>
      <c r="I242" s="729"/>
      <c r="J242" s="729"/>
      <c r="K242" s="729"/>
      <c r="L242" s="736"/>
      <c r="N242"/>
      <c r="O242"/>
      <c r="P242" s="165"/>
      <c r="Q242" s="165"/>
      <c r="R242" s="165"/>
      <c r="S242" s="165"/>
      <c r="T242" s="165"/>
      <c r="U242" s="165"/>
      <c r="V242" s="165"/>
      <c r="W242" s="165"/>
      <c r="X242" s="165"/>
      <c r="Y242" s="165"/>
      <c r="Z242" s="165"/>
    </row>
    <row r="243" spans="3:26" ht="15.6">
      <c r="C243" s="668"/>
      <c r="P243" s="165"/>
      <c r="Q243" s="165"/>
      <c r="R243" s="165"/>
      <c r="S243" s="165"/>
      <c r="T243" s="165"/>
      <c r="U243" s="165"/>
      <c r="V243" s="165"/>
      <c r="W243" s="165"/>
      <c r="X243" s="165"/>
      <c r="Y243" s="165"/>
      <c r="Z243" s="165"/>
    </row>
    <row r="244" spans="3:26" ht="16.2" thickBot="1">
      <c r="C244" s="668"/>
      <c r="D244" s="164" t="s">
        <v>709</v>
      </c>
      <c r="E244" s="666"/>
      <c r="F244" s="677"/>
      <c r="G244" s="677"/>
      <c r="H244" s="677"/>
      <c r="I244" s="462"/>
      <c r="J244" s="666"/>
      <c r="K244" s="666"/>
      <c r="L244" s="678"/>
      <c r="M244" s="666"/>
      <c r="N244" s="63"/>
      <c r="O244" s="63"/>
      <c r="P244" s="165"/>
      <c r="Q244" s="165"/>
      <c r="R244" s="165"/>
      <c r="S244" s="165"/>
      <c r="T244" s="165"/>
      <c r="U244" s="165"/>
      <c r="V244" s="165"/>
      <c r="W244" s="165"/>
      <c r="X244" s="165"/>
      <c r="Y244" s="165"/>
      <c r="Z244" s="165"/>
    </row>
    <row r="245" spans="3:26" ht="16.2" thickBot="1">
      <c r="C245" s="668"/>
      <c r="D245" s="437">
        <v>3</v>
      </c>
      <c r="E245" s="456" t="s">
        <v>1227</v>
      </c>
      <c r="F245" s="456"/>
      <c r="G245" s="456"/>
      <c r="H245" s="456"/>
      <c r="I245" s="456"/>
      <c r="J245" s="456"/>
      <c r="K245" s="456"/>
      <c r="L245" s="457"/>
      <c r="M245" s="63"/>
      <c r="N245" s="451" t="s">
        <v>335</v>
      </c>
      <c r="O245" s="451" t="s">
        <v>336</v>
      </c>
      <c r="P245" s="165"/>
      <c r="Q245" s="165"/>
      <c r="R245" s="165"/>
      <c r="S245" s="165"/>
      <c r="T245" s="165"/>
      <c r="U245" s="165"/>
      <c r="V245" s="165"/>
      <c r="W245" s="165"/>
      <c r="X245" s="165"/>
      <c r="Y245" s="165"/>
      <c r="Z245" s="165"/>
    </row>
    <row r="246" spans="3:26" ht="15.6">
      <c r="C246" s="668"/>
      <c r="D246" s="438" t="str">
        <f>IF(ROUNDDOWN(D245,0)=$N$2,$P$2,$O$2)</f>
        <v>　レベル　1</v>
      </c>
      <c r="E246" s="463" t="s">
        <v>611</v>
      </c>
      <c r="F246" s="503"/>
      <c r="G246" s="503"/>
      <c r="H246" s="503"/>
      <c r="I246" s="503"/>
      <c r="J246" s="503"/>
      <c r="K246" s="503"/>
      <c r="L246" s="510"/>
      <c r="M246" s="666"/>
      <c r="N246" s="452">
        <v>1</v>
      </c>
      <c r="O246" s="455"/>
      <c r="P246" s="165"/>
      <c r="Q246" s="165"/>
      <c r="R246" s="165"/>
      <c r="S246" s="165"/>
      <c r="T246" s="165"/>
      <c r="U246" s="165"/>
      <c r="V246" s="165"/>
      <c r="W246" s="165"/>
      <c r="X246" s="165"/>
      <c r="Y246" s="165"/>
      <c r="Z246" s="165"/>
    </row>
    <row r="247" spans="3:26" ht="15.6">
      <c r="C247" s="668"/>
      <c r="D247" s="439" t="str">
        <f>IF(ROUNDDOWN(D245,0)=$N$3,$P$3,$O$3)</f>
        <v>　レベル　2</v>
      </c>
      <c r="E247" s="466" t="s">
        <v>413</v>
      </c>
      <c r="F247" s="504"/>
      <c r="G247" s="504"/>
      <c r="H247" s="504"/>
      <c r="I247" s="504"/>
      <c r="J247" s="504"/>
      <c r="K247" s="504"/>
      <c r="L247" s="511"/>
      <c r="M247" s="63"/>
      <c r="N247" s="452" t="s">
        <v>311</v>
      </c>
      <c r="O247" s="455"/>
      <c r="P247" s="165"/>
      <c r="Q247" s="165"/>
      <c r="R247" s="165"/>
      <c r="S247" s="165"/>
      <c r="T247" s="165"/>
      <c r="U247" s="165"/>
      <c r="V247" s="165"/>
      <c r="W247" s="165"/>
      <c r="X247" s="165"/>
      <c r="Y247" s="165"/>
      <c r="Z247" s="165"/>
    </row>
    <row r="248" spans="3:26" ht="15.6">
      <c r="C248" s="668"/>
      <c r="D248" s="439" t="str">
        <f>IF(ROUNDDOWN(D245,0)=$N$4,$P$4,$O$4)</f>
        <v>■レベル　3</v>
      </c>
      <c r="E248" s="466" t="s">
        <v>673</v>
      </c>
      <c r="F248" s="504"/>
      <c r="G248" s="504"/>
      <c r="H248" s="504"/>
      <c r="I248" s="504"/>
      <c r="J248" s="504"/>
      <c r="K248" s="504"/>
      <c r="L248" s="511"/>
      <c r="M248" s="666"/>
      <c r="N248" s="452">
        <v>3</v>
      </c>
      <c r="O248" s="455"/>
      <c r="P248" s="165"/>
      <c r="Q248" s="165"/>
      <c r="R248" s="165"/>
      <c r="S248" s="165"/>
      <c r="T248" s="165"/>
      <c r="U248" s="165"/>
      <c r="V248" s="165"/>
      <c r="W248" s="165"/>
      <c r="X248" s="165"/>
      <c r="Y248" s="165"/>
      <c r="Z248" s="165"/>
    </row>
    <row r="249" spans="3:26" ht="15.6">
      <c r="C249" s="668"/>
      <c r="D249" s="439" t="str">
        <f>IF(ROUNDDOWN(D245,0)=$N$5,$P$5,$O$5)</f>
        <v>　レベル　4</v>
      </c>
      <c r="E249" s="469" t="s">
        <v>413</v>
      </c>
      <c r="F249" s="505"/>
      <c r="G249" s="505"/>
      <c r="H249" s="505"/>
      <c r="I249" s="505"/>
      <c r="J249" s="505"/>
      <c r="K249" s="505"/>
      <c r="L249" s="512"/>
      <c r="M249" s="63"/>
      <c r="N249" s="452" t="s">
        <v>311</v>
      </c>
      <c r="O249" s="455"/>
      <c r="P249" s="165"/>
      <c r="Q249" s="165"/>
      <c r="R249" s="165"/>
      <c r="S249" s="165"/>
      <c r="T249" s="165"/>
      <c r="U249" s="165"/>
      <c r="V249" s="165"/>
      <c r="W249" s="165"/>
      <c r="X249" s="165"/>
      <c r="Y249" s="165"/>
      <c r="Z249" s="165"/>
    </row>
    <row r="250" spans="3:26" ht="15.6">
      <c r="C250" s="668"/>
      <c r="D250" s="440" t="str">
        <f>IF(ROUNDDOWN(D245,0)=$N$6,$P$6,$O$6)</f>
        <v>　レベル　5</v>
      </c>
      <c r="E250" s="472" t="s">
        <v>710</v>
      </c>
      <c r="F250" s="483"/>
      <c r="G250" s="483"/>
      <c r="H250" s="483"/>
      <c r="I250" s="483"/>
      <c r="J250" s="483"/>
      <c r="K250" s="483"/>
      <c r="L250" s="513"/>
      <c r="M250" s="666"/>
      <c r="N250" s="452">
        <v>5</v>
      </c>
      <c r="O250" s="455"/>
      <c r="P250" s="165"/>
      <c r="Q250" s="165"/>
      <c r="R250" s="165"/>
      <c r="S250" s="165"/>
      <c r="T250" s="165"/>
      <c r="U250" s="165"/>
      <c r="V250" s="165"/>
      <c r="W250" s="165"/>
      <c r="X250" s="165"/>
      <c r="Y250" s="165"/>
      <c r="Z250" s="165"/>
    </row>
    <row r="251" spans="3:26" ht="15.6">
      <c r="C251" s="668"/>
      <c r="D251" s="441" t="s">
        <v>340</v>
      </c>
      <c r="E251" s="1010"/>
      <c r="F251" s="497"/>
      <c r="G251" s="497"/>
      <c r="H251" s="681"/>
      <c r="I251"/>
      <c r="J251"/>
      <c r="K251"/>
      <c r="L251"/>
      <c r="M251" s="63"/>
      <c r="N251" s="452" t="s">
        <v>311</v>
      </c>
      <c r="O251" s="455"/>
      <c r="P251" s="165"/>
      <c r="Q251" s="165"/>
      <c r="R251" s="165"/>
      <c r="S251" s="165"/>
      <c r="T251" s="165"/>
      <c r="U251" s="165"/>
      <c r="V251" s="165"/>
      <c r="W251" s="165"/>
      <c r="X251" s="165"/>
      <c r="Y251" s="165"/>
      <c r="Z251" s="165"/>
    </row>
    <row r="252" spans="3:26" ht="15.6">
      <c r="C252" s="668"/>
      <c r="P252" s="165"/>
      <c r="Q252" s="165"/>
      <c r="R252" s="165"/>
      <c r="S252" s="165"/>
      <c r="T252" s="165"/>
      <c r="U252" s="165"/>
      <c r="V252" s="165"/>
      <c r="W252" s="165"/>
      <c r="X252" s="165"/>
      <c r="Y252" s="165"/>
      <c r="Z252" s="165"/>
    </row>
    <row r="253" spans="3:26">
      <c r="N253" s="165"/>
      <c r="O253" s="165"/>
      <c r="P253" s="165"/>
      <c r="Q253" s="165"/>
      <c r="R253" s="165"/>
      <c r="S253" s="165"/>
      <c r="T253" s="165"/>
      <c r="U253" s="165"/>
      <c r="V253" s="165"/>
      <c r="W253" s="165"/>
      <c r="X253" s="165"/>
      <c r="Y253" s="165"/>
      <c r="Z253" s="165"/>
    </row>
    <row r="254" spans="3:26" customFormat="1"/>
    <row r="255" spans="3:26" customFormat="1"/>
  </sheetData>
  <sheetProtection algorithmName="SHA-512" hashValue="ZJofOHEaXmZsPM21hii/fHM4Zokm5PD5cf1j8fGGHHBNDuqoc202S8Nr6dtWD96Y5dVNZ2i/qkjx0tXNC79FqQ==" saltValue="be9vmc3yB3PkzqRny5FDLg==" spinCount="100000" sheet="1" objects="1" formatCells="0"/>
  <mergeCells count="50">
    <mergeCell ref="E29:J29"/>
    <mergeCell ref="E15:L15"/>
    <mergeCell ref="E16:L16"/>
    <mergeCell ref="E17:L17"/>
    <mergeCell ref="E18:L18"/>
    <mergeCell ref="F21:L21"/>
    <mergeCell ref="F22:L22"/>
    <mergeCell ref="F23:L23"/>
    <mergeCell ref="F24:L24"/>
    <mergeCell ref="F25:L25"/>
    <mergeCell ref="E26:E27"/>
    <mergeCell ref="F26:L27"/>
    <mergeCell ref="F66:H66"/>
    <mergeCell ref="E34:J34"/>
    <mergeCell ref="E39:J39"/>
    <mergeCell ref="E44:J44"/>
    <mergeCell ref="E49:J49"/>
    <mergeCell ref="E54:J54"/>
    <mergeCell ref="F60:H60"/>
    <mergeCell ref="F61:H61"/>
    <mergeCell ref="F62:H62"/>
    <mergeCell ref="F63:H63"/>
    <mergeCell ref="F64:H64"/>
    <mergeCell ref="F65:H65"/>
    <mergeCell ref="F198:G198"/>
    <mergeCell ref="H198:L198"/>
    <mergeCell ref="F67:H67"/>
    <mergeCell ref="F68:H68"/>
    <mergeCell ref="F69:H69"/>
    <mergeCell ref="F70:H70"/>
    <mergeCell ref="E73:L77"/>
    <mergeCell ref="F166:G166"/>
    <mergeCell ref="H166:L166"/>
    <mergeCell ref="F167:G167"/>
    <mergeCell ref="H167:L167"/>
    <mergeCell ref="F168:G168"/>
    <mergeCell ref="H168:L168"/>
    <mergeCell ref="H241:L241"/>
    <mergeCell ref="F199:G199"/>
    <mergeCell ref="H199:L199"/>
    <mergeCell ref="F200:G200"/>
    <mergeCell ref="H200:L200"/>
    <mergeCell ref="H231:L231"/>
    <mergeCell ref="H234:L234"/>
    <mergeCell ref="F234:F236"/>
    <mergeCell ref="F237:F239"/>
    <mergeCell ref="F240:F242"/>
    <mergeCell ref="E207:L207"/>
    <mergeCell ref="E208:L208"/>
    <mergeCell ref="F231:F232"/>
  </mergeCells>
  <phoneticPr fontId="3"/>
  <conditionalFormatting sqref="D13">
    <cfRule type="expression" dxfId="29" priority="1" stopIfTrue="1">
      <formula>AND(OR(D13&lt;1,D13&gt;5),D13&lt;&gt;0)</formula>
    </cfRule>
  </conditionalFormatting>
  <conditionalFormatting sqref="D72">
    <cfRule type="expression" dxfId="28" priority="22" stopIfTrue="1">
      <formula>AND(OR(D72&lt;1,D72&gt;5),D72&lt;&gt;0)</formula>
    </cfRule>
  </conditionalFormatting>
  <conditionalFormatting sqref="D96">
    <cfRule type="expression" dxfId="27" priority="15" stopIfTrue="1">
      <formula>AND(OR(D96&lt;1,D96&gt;5),D96&lt;&gt;0)</formula>
    </cfRule>
  </conditionalFormatting>
  <conditionalFormatting sqref="D105">
    <cfRule type="expression" dxfId="26" priority="14" stopIfTrue="1">
      <formula>AND(OR(D105&lt;1,D105&gt;5),D105&lt;&gt;0)</formula>
    </cfRule>
  </conditionalFormatting>
  <conditionalFormatting sqref="D115">
    <cfRule type="expression" dxfId="25" priority="13" stopIfTrue="1">
      <formula>AND(OR(D115&lt;1,D115&gt;5),D115&lt;&gt;0)</formula>
    </cfRule>
  </conditionalFormatting>
  <conditionalFormatting sqref="D124">
    <cfRule type="expression" dxfId="24" priority="12" stopIfTrue="1">
      <formula>AND(OR(D124&lt;1,D124&gt;5),D124&lt;&gt;0)</formula>
    </cfRule>
  </conditionalFormatting>
  <conditionalFormatting sqref="D134">
    <cfRule type="expression" dxfId="23" priority="16" stopIfTrue="1">
      <formula>AND(OR(D134&lt;1,D134&gt;5),D134&lt;&gt;0)</formula>
    </cfRule>
  </conditionalFormatting>
  <conditionalFormatting sqref="D140">
    <cfRule type="expression" dxfId="22" priority="11" stopIfTrue="1">
      <formula>AND(OR(D140&lt;1,D140&gt;5),D140&lt;&gt;0)</formula>
    </cfRule>
  </conditionalFormatting>
  <conditionalFormatting sqref="D149">
    <cfRule type="expression" dxfId="21" priority="10" stopIfTrue="1">
      <formula>AND(OR(D149&lt;1,D149&gt;5),D149&lt;&gt;0)</formula>
    </cfRule>
  </conditionalFormatting>
  <conditionalFormatting sqref="D158">
    <cfRule type="expression" dxfId="20" priority="4" stopIfTrue="1">
      <formula>AND(OR(D158&lt;1,D158&gt;5),D158&lt;&gt;0)</formula>
    </cfRule>
  </conditionalFormatting>
  <conditionalFormatting sqref="D172">
    <cfRule type="expression" dxfId="19" priority="9" stopIfTrue="1">
      <formula>AND(OR(D172&lt;1,D172&gt;5),D172&lt;&gt;0)</formula>
    </cfRule>
  </conditionalFormatting>
  <conditionalFormatting sqref="D181">
    <cfRule type="expression" dxfId="18" priority="8" stopIfTrue="1">
      <formula>AND(OR(D181&lt;1,D181&gt;5),D181&lt;&gt;0)</formula>
    </cfRule>
  </conditionalFormatting>
  <conditionalFormatting sqref="D190">
    <cfRule type="expression" dxfId="17" priority="2" stopIfTrue="1">
      <formula>AND(OR(D190&lt;1,D190&gt;5),D190&lt;&gt;0)</formula>
    </cfRule>
  </conditionalFormatting>
  <conditionalFormatting sqref="D203">
    <cfRule type="expression" dxfId="16" priority="7" stopIfTrue="1">
      <formula>AND(OR(D203&lt;1,D203&gt;5),D203&lt;&gt;0)</formula>
    </cfRule>
  </conditionalFormatting>
  <conditionalFormatting sqref="D212">
    <cfRule type="expression" dxfId="15" priority="6" stopIfTrue="1">
      <formula>AND(OR(D212&lt;1,D212&gt;5),D212&lt;&gt;0)</formula>
    </cfRule>
  </conditionalFormatting>
  <conditionalFormatting sqref="D222">
    <cfRule type="expression" dxfId="14" priority="3" stopIfTrue="1">
      <formula>AND(OR(D222&lt;1,D222&gt;5),D222&lt;&gt;0)</formula>
    </cfRule>
  </conditionalFormatting>
  <conditionalFormatting sqref="D245">
    <cfRule type="expression" dxfId="13" priority="5" stopIfTrue="1">
      <formula>AND(OR(D245&lt;1,D245&gt;5),D245&lt;&gt;0)</formula>
    </cfRule>
  </conditionalFormatting>
  <conditionalFormatting sqref="E21:E26">
    <cfRule type="expression" dxfId="12" priority="20" stopIfTrue="1">
      <formula>$E$166="対象外"</formula>
    </cfRule>
  </conditionalFormatting>
  <conditionalFormatting sqref="E61:E70">
    <cfRule type="expression" dxfId="11" priority="19" stopIfTrue="1">
      <formula>$E$166="対象外"</formula>
    </cfRule>
  </conditionalFormatting>
  <conditionalFormatting sqref="E167:E168">
    <cfRule type="expression" dxfId="10" priority="17" stopIfTrue="1">
      <formula>$E$166="対象外"</formula>
    </cfRule>
  </conditionalFormatting>
  <conditionalFormatting sqref="E231:E242">
    <cfRule type="expression" dxfId="9" priority="18" stopIfTrue="1">
      <formula>$E$272="対象外"</formula>
    </cfRule>
  </conditionalFormatting>
  <dataValidations count="5">
    <dataValidation type="list" allowBlank="1" showInputMessage="1" showErrorMessage="1" sqref="E21:E25 E61:E70" xr:uid="{697ECE71-5EF3-4CE2-A1C6-224EE7D719B0}">
      <formula1>$R$2:$R$3</formula1>
    </dataValidation>
    <dataValidation type="list" allowBlank="1" showInputMessage="1" sqref="D96 D203 D105 D115 D124 D140 D149 D245 D172 D181 D212" xr:uid="{51FC752A-F54E-4BA3-9256-D530219FAE39}">
      <formula1>N97:N102</formula1>
    </dataValidation>
    <dataValidation allowBlank="1" showInputMessage="1" sqref="D72 D134 D222 D158 D190 D13" xr:uid="{C8E32A23-DA83-4252-9A18-1D62E78453FD}"/>
    <dataValidation type="list" allowBlank="1" showInputMessage="1" showErrorMessage="1" sqref="E26 E167:E168 E199:E200 E231:E242" xr:uid="{D8031602-56B1-44D1-B86E-EF138443E483}">
      <formula1>$R$2:$R$4</formula1>
    </dataValidation>
    <dataValidation type="list" allowBlank="1" showInputMessage="1" showErrorMessage="1" sqref="G197" xr:uid="{ADBDB7CA-EB5E-4C55-8AF8-8B3F84A47708}">
      <formula1>O196:O197</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2" manualBreakCount="2">
    <brk id="112" max="12" man="1"/>
    <brk id="132" max="12"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ABE3D-D940-4940-A948-95F2923BF9F2}">
  <sheetPr codeName="Sheet9">
    <pageSetUpPr fitToPage="1"/>
  </sheetPr>
  <dimension ref="A1:BL176"/>
  <sheetViews>
    <sheetView showGridLines="0" view="pageBreakPreview" zoomScale="75" zoomScaleNormal="100" zoomScaleSheetLayoutView="75" workbookViewId="0">
      <selection activeCell="F10" sqref="F10"/>
    </sheetView>
  </sheetViews>
  <sheetFormatPr defaultColWidth="4.33203125" defaultRowHeight="0" customHeight="1" zeroHeight="1"/>
  <cols>
    <col min="1" max="1" width="1.5546875" customWidth="1"/>
    <col min="2" max="2" width="11.77734375" customWidth="1"/>
    <col min="3" max="3" width="4.77734375" customWidth="1"/>
    <col min="4" max="4" width="20.77734375" customWidth="1"/>
    <col min="5" max="5" width="7.33203125" customWidth="1"/>
    <col min="6" max="6" width="27.44140625" customWidth="1"/>
    <col min="7" max="7" width="51.77734375" customWidth="1"/>
    <col min="8" max="8" width="25.21875" bestFit="1" customWidth="1"/>
    <col min="9" max="12" width="4.44140625" hidden="1" customWidth="1"/>
    <col min="13" max="13" width="2.5546875" hidden="1" customWidth="1"/>
    <col min="14" max="14" width="8.44140625" bestFit="1" customWidth="1"/>
    <col min="15" max="17" width="10.44140625" customWidth="1"/>
    <col min="18" max="18" width="49.5546875" customWidth="1"/>
    <col min="19" max="19" width="6.88671875" customWidth="1"/>
    <col min="20" max="20" width="6.5546875" customWidth="1"/>
    <col min="21" max="21" width="3.109375" customWidth="1"/>
    <col min="22" max="22" width="10" hidden="1" customWidth="1"/>
    <col min="23" max="26" width="5.21875" customWidth="1"/>
    <col min="27" max="31" width="10" hidden="1" customWidth="1"/>
    <col min="32" max="34" width="9.33203125" hidden="1" customWidth="1"/>
    <col min="35" max="35" width="18.21875" hidden="1" customWidth="1"/>
    <col min="36" max="37" width="5.33203125" hidden="1" customWidth="1"/>
    <col min="38" max="38" width="1.44140625" hidden="1" customWidth="1"/>
    <col min="39" max="39" width="2.44140625" hidden="1" customWidth="1"/>
    <col min="40" max="42" width="0" hidden="1" customWidth="1"/>
    <col min="43" max="43" width="4.5546875" hidden="1" customWidth="1"/>
    <col min="44" max="48" width="0" hidden="1" customWidth="1"/>
    <col min="49" max="49" width="12.44140625" hidden="1" customWidth="1"/>
    <col min="50" max="50" width="7.5546875" hidden="1" customWidth="1"/>
    <col min="51" max="51" width="9.5546875" hidden="1" customWidth="1"/>
    <col min="52" max="57" width="0" hidden="1" customWidth="1"/>
    <col min="58" max="58" width="39" hidden="1" customWidth="1"/>
    <col min="59" max="102" width="0" hidden="1" customWidth="1"/>
  </cols>
  <sheetData>
    <row r="1" spans="1:64" ht="16.8" thickBot="1">
      <c r="A1" s="1263"/>
      <c r="B1" s="1264"/>
      <c r="C1" s="1265"/>
      <c r="D1" s="1266"/>
      <c r="E1" s="1265"/>
      <c r="F1" s="1267"/>
      <c r="G1" s="339"/>
      <c r="H1" s="339"/>
      <c r="N1" s="339"/>
      <c r="O1" s="339"/>
      <c r="P1" s="339"/>
      <c r="Q1" s="339"/>
      <c r="R1" s="339"/>
      <c r="S1" s="339"/>
      <c r="AF1" s="686"/>
      <c r="AG1" s="686"/>
      <c r="AH1" s="686"/>
      <c r="AI1" s="313"/>
      <c r="AJ1" s="1268"/>
      <c r="AK1" s="1269"/>
      <c r="AO1" s="312"/>
      <c r="AP1" s="312"/>
      <c r="AR1" s="1263"/>
      <c r="AS1" s="1263"/>
      <c r="AT1" s="1270"/>
      <c r="AW1" s="1264"/>
      <c r="AX1" s="1271"/>
      <c r="AY1" s="1272"/>
      <c r="AZ1" s="1265"/>
    </row>
    <row r="2" spans="1:64" s="686" customFormat="1" ht="26.25" customHeight="1" thickTop="1">
      <c r="A2" s="1273"/>
      <c r="B2" s="1274" t="s">
        <v>1956</v>
      </c>
      <c r="C2" s="339"/>
      <c r="D2" s="1275"/>
      <c r="E2" s="339"/>
      <c r="F2" s="339"/>
      <c r="G2" s="339"/>
      <c r="H2" s="339"/>
      <c r="I2"/>
      <c r="J2"/>
      <c r="K2"/>
      <c r="L2"/>
      <c r="M2"/>
      <c r="N2" s="339"/>
      <c r="O2" s="339"/>
      <c r="P2" s="2027" t="s">
        <v>1332</v>
      </c>
      <c r="Q2" s="2027"/>
      <c r="R2" s="1276" t="str">
        <f>メイン!C10</f>
        <v>Aプロジェクト</v>
      </c>
      <c r="S2" s="339"/>
      <c r="T2"/>
      <c r="U2"/>
      <c r="V2"/>
      <c r="W2"/>
      <c r="X2"/>
      <c r="Y2"/>
      <c r="Z2"/>
      <c r="AA2"/>
      <c r="AB2"/>
      <c r="AC2"/>
      <c r="AD2"/>
      <c r="AE2"/>
      <c r="AK2" s="1268"/>
      <c r="AL2" s="2028"/>
      <c r="AM2" s="2029" t="s">
        <v>70</v>
      </c>
      <c r="AO2" s="312"/>
      <c r="AP2" s="312"/>
      <c r="AR2" s="1268"/>
      <c r="AS2" s="1268"/>
      <c r="AT2" s="1277"/>
      <c r="AW2" s="1278"/>
      <c r="AX2" s="1271"/>
      <c r="AY2" s="1272"/>
      <c r="AZ2" s="339"/>
      <c r="BL2"/>
    </row>
    <row r="3" spans="1:64" s="686" customFormat="1" ht="7.5" customHeight="1" thickBot="1">
      <c r="A3" s="1273"/>
      <c r="B3" s="1278"/>
      <c r="C3" s="339"/>
      <c r="D3" s="1275"/>
      <c r="E3" s="339"/>
      <c r="F3" s="339"/>
      <c r="G3" s="339"/>
      <c r="H3" s="339"/>
      <c r="I3"/>
      <c r="J3"/>
      <c r="K3"/>
      <c r="L3"/>
      <c r="M3"/>
      <c r="N3" s="339"/>
      <c r="O3" s="339"/>
      <c r="P3" s="339"/>
      <c r="Q3" s="339"/>
      <c r="R3" s="339"/>
      <c r="S3" s="339"/>
      <c r="T3"/>
      <c r="U3"/>
      <c r="V3"/>
      <c r="W3"/>
      <c r="X3"/>
      <c r="Y3"/>
      <c r="Z3"/>
      <c r="AA3"/>
      <c r="AB3"/>
      <c r="AC3"/>
      <c r="AD3"/>
      <c r="AE3"/>
      <c r="AG3" s="1268"/>
      <c r="AH3" s="1268"/>
      <c r="AK3" s="1268"/>
      <c r="AL3" s="2028"/>
      <c r="AM3" s="2030"/>
      <c r="AO3" s="312"/>
      <c r="AP3" s="312"/>
      <c r="AR3" s="1268"/>
      <c r="AS3" s="1268"/>
      <c r="AT3" s="1277"/>
      <c r="AW3" s="1278"/>
      <c r="AX3" s="1271"/>
      <c r="AY3" s="1272"/>
      <c r="AZ3" s="339"/>
      <c r="BL3"/>
    </row>
    <row r="4" spans="1:64" s="686" customFormat="1" ht="21.75" customHeight="1" thickBot="1">
      <c r="A4" s="1273"/>
      <c r="B4" s="1278"/>
      <c r="D4" s="1279"/>
      <c r="E4" s="1280" t="s">
        <v>1333</v>
      </c>
      <c r="F4" s="1281" t="s">
        <v>1947</v>
      </c>
      <c r="G4" s="339"/>
      <c r="H4" s="339"/>
      <c r="I4"/>
      <c r="J4"/>
      <c r="K4"/>
      <c r="L4"/>
      <c r="M4"/>
      <c r="N4" s="339"/>
      <c r="O4" s="339"/>
      <c r="P4" s="339"/>
      <c r="Q4" s="339"/>
      <c r="R4" s="339"/>
      <c r="S4" s="339"/>
      <c r="T4"/>
      <c r="U4"/>
      <c r="V4"/>
      <c r="W4"/>
      <c r="X4"/>
      <c r="Y4"/>
      <c r="Z4"/>
      <c r="AA4"/>
      <c r="AB4"/>
      <c r="AC4"/>
      <c r="AD4"/>
      <c r="AE4"/>
      <c r="AG4" s="1268"/>
      <c r="AH4" s="1268"/>
      <c r="AK4" s="1282" t="s">
        <v>1334</v>
      </c>
      <c r="AL4" s="2028"/>
      <c r="AM4" s="2030"/>
      <c r="AO4" s="312"/>
      <c r="AP4" s="312"/>
      <c r="AR4" s="1268"/>
      <c r="AS4" s="1268"/>
      <c r="AT4" s="1277"/>
      <c r="AW4" s="1278"/>
      <c r="AX4" s="1271"/>
      <c r="AY4" s="1272"/>
      <c r="AZ4" s="339"/>
      <c r="BL4"/>
    </row>
    <row r="5" spans="1:64" ht="10.5" customHeight="1" thickBot="1">
      <c r="A5" s="1263"/>
      <c r="B5" s="1264"/>
      <c r="C5" s="1283"/>
      <c r="D5" s="1713"/>
      <c r="E5" s="1283"/>
      <c r="F5" s="1283"/>
      <c r="G5" s="1283"/>
      <c r="H5" s="1283"/>
      <c r="N5" s="1283"/>
      <c r="O5" s="1283"/>
      <c r="P5" s="1283"/>
      <c r="Q5" s="1283"/>
      <c r="R5" s="1283"/>
      <c r="S5" s="1283"/>
      <c r="AF5" s="1284"/>
      <c r="AG5" s="1284"/>
      <c r="AH5" s="1284"/>
      <c r="AI5" s="1285"/>
      <c r="AJ5" s="1284"/>
      <c r="AK5" s="1286"/>
      <c r="AL5" s="2028"/>
      <c r="AM5" s="2031"/>
      <c r="AO5" s="312"/>
      <c r="AP5" s="312"/>
      <c r="AR5" s="1263"/>
      <c r="AS5" s="1263"/>
      <c r="AT5" s="1270">
        <f>COUNTIF(AT10:AT159,"E")</f>
        <v>0</v>
      </c>
      <c r="AW5" s="1264"/>
      <c r="AX5" s="1271"/>
      <c r="AY5" s="1272"/>
      <c r="AZ5" s="339"/>
    </row>
    <row r="6" spans="1:64" s="311" customFormat="1" ht="17.25" customHeight="1" thickTop="1">
      <c r="A6" s="1287"/>
      <c r="B6" s="2014" t="s">
        <v>1335</v>
      </c>
      <c r="C6" s="2032" t="s">
        <v>1984</v>
      </c>
      <c r="D6" s="2032"/>
      <c r="E6" s="2032"/>
      <c r="F6" s="2032"/>
      <c r="G6" s="2033" t="s">
        <v>1336</v>
      </c>
      <c r="H6" s="1714"/>
      <c r="I6" s="340" t="s">
        <v>969</v>
      </c>
      <c r="J6" s="340" t="s">
        <v>1337</v>
      </c>
      <c r="K6" s="340" t="s">
        <v>1946</v>
      </c>
      <c r="L6" s="340" t="s">
        <v>1947</v>
      </c>
      <c r="M6" s="340"/>
      <c r="N6" s="2014" t="s">
        <v>1338</v>
      </c>
      <c r="O6" s="2025" t="s">
        <v>1339</v>
      </c>
      <c r="P6" s="2023" t="s">
        <v>1340</v>
      </c>
      <c r="Q6" s="2023" t="s">
        <v>1341</v>
      </c>
      <c r="R6" s="2014" t="s">
        <v>2008</v>
      </c>
      <c r="S6" s="2023" t="s">
        <v>1343</v>
      </c>
      <c r="T6" s="2014" t="s">
        <v>1344</v>
      </c>
      <c r="U6"/>
      <c r="V6"/>
      <c r="W6"/>
      <c r="X6"/>
      <c r="Y6"/>
      <c r="Z6"/>
      <c r="AA6"/>
      <c r="AB6"/>
      <c r="AC6"/>
      <c r="AD6"/>
      <c r="AE6"/>
      <c r="AF6" s="2025" t="s">
        <v>1345</v>
      </c>
      <c r="AG6" s="2023" t="s">
        <v>1346</v>
      </c>
      <c r="AH6" s="2023" t="s">
        <v>1341</v>
      </c>
      <c r="AI6" s="2012" t="s">
        <v>1342</v>
      </c>
      <c r="AJ6" s="1288"/>
      <c r="AK6" s="2014" t="s">
        <v>1344</v>
      </c>
      <c r="AO6" s="1289" t="s">
        <v>1347</v>
      </c>
      <c r="AP6" s="1290" t="s">
        <v>1348</v>
      </c>
      <c r="AQ6" s="2016" t="s">
        <v>1349</v>
      </c>
      <c r="AR6" s="2017"/>
      <c r="AS6" s="2018"/>
      <c r="AT6" s="2019" t="s">
        <v>1350</v>
      </c>
      <c r="AU6" s="2021"/>
      <c r="AW6" s="1293"/>
      <c r="AX6" s="1271"/>
      <c r="AY6" s="1272"/>
      <c r="BL6"/>
    </row>
    <row r="7" spans="1:64" s="311" customFormat="1" ht="46.5" customHeight="1">
      <c r="A7" s="1287"/>
      <c r="B7" s="2015"/>
      <c r="C7" s="2022" t="s">
        <v>1351</v>
      </c>
      <c r="D7" s="2022"/>
      <c r="E7" s="2022" t="s">
        <v>1352</v>
      </c>
      <c r="F7" s="2022"/>
      <c r="G7" s="2034"/>
      <c r="H7" s="1715" t="s">
        <v>1353</v>
      </c>
      <c r="I7" s="340" t="s">
        <v>1354</v>
      </c>
      <c r="J7" s="340" t="s">
        <v>1355</v>
      </c>
      <c r="K7" s="340">
        <f>O7</f>
        <v>0</v>
      </c>
      <c r="L7" s="340">
        <f t="shared" ref="L7:M7" si="0">P7</f>
        <v>0</v>
      </c>
      <c r="M7" s="340">
        <f t="shared" si="0"/>
        <v>0</v>
      </c>
      <c r="N7" s="2015"/>
      <c r="O7" s="2026"/>
      <c r="P7" s="2024"/>
      <c r="Q7" s="2024"/>
      <c r="R7" s="2015"/>
      <c r="S7" s="2024"/>
      <c r="T7" s="2015"/>
      <c r="U7"/>
      <c r="W7" s="1686" t="s">
        <v>1356</v>
      </c>
      <c r="X7" s="1686" t="s">
        <v>1357</v>
      </c>
      <c r="Y7" s="1686" t="s">
        <v>1944</v>
      </c>
      <c r="Z7" s="1686" t="s">
        <v>1945</v>
      </c>
      <c r="AA7"/>
      <c r="AB7"/>
      <c r="AC7"/>
      <c r="AD7"/>
      <c r="AE7"/>
      <c r="AF7" s="2026"/>
      <c r="AG7" s="2024"/>
      <c r="AH7" s="2024"/>
      <c r="AI7" s="2013"/>
      <c r="AJ7" s="1294" t="s">
        <v>1358</v>
      </c>
      <c r="AK7" s="2015"/>
      <c r="AO7" s="1295" t="s">
        <v>1337</v>
      </c>
      <c r="AP7" s="1296" t="s">
        <v>1337</v>
      </c>
      <c r="AQ7" s="1291">
        <v>2</v>
      </c>
      <c r="AR7" s="1291">
        <v>3</v>
      </c>
      <c r="AS7" s="1292">
        <v>4</v>
      </c>
      <c r="AT7" s="2020"/>
      <c r="AU7" s="2021"/>
      <c r="AW7" s="2005" t="s">
        <v>1359</v>
      </c>
      <c r="AX7" s="2006"/>
      <c r="AY7" s="1297" t="s">
        <v>1360</v>
      </c>
      <c r="AZ7" s="1298" t="s">
        <v>1361</v>
      </c>
      <c r="BA7" s="1298"/>
      <c r="BB7" s="1299" t="s">
        <v>1362</v>
      </c>
      <c r="BL7"/>
    </row>
    <row r="8" spans="1:64" s="311" customFormat="1" ht="90.9" customHeight="1">
      <c r="A8" s="1300"/>
      <c r="B8" s="1301" t="s">
        <v>1363</v>
      </c>
      <c r="C8" s="1302" t="s">
        <v>1954</v>
      </c>
      <c r="D8" s="1303"/>
      <c r="E8" s="1303"/>
      <c r="F8" s="1303"/>
      <c r="G8" s="1303"/>
      <c r="H8" s="1303"/>
      <c r="I8" s="1303"/>
      <c r="J8" s="1303"/>
      <c r="K8" s="1303"/>
      <c r="L8" s="1303"/>
      <c r="M8" s="1303"/>
      <c r="N8" s="1303"/>
      <c r="O8" s="1303"/>
      <c r="P8" s="1303"/>
      <c r="Q8" s="1303"/>
      <c r="R8" s="1303"/>
      <c r="S8" s="1303"/>
      <c r="T8" s="1693"/>
      <c r="U8"/>
      <c r="V8" s="1304"/>
      <c r="W8"/>
      <c r="X8"/>
      <c r="Y8"/>
      <c r="Z8"/>
      <c r="AA8"/>
      <c r="AB8"/>
      <c r="AC8"/>
      <c r="AD8"/>
      <c r="AE8"/>
      <c r="AF8" s="1305"/>
      <c r="AG8" s="1305"/>
      <c r="AH8" s="1305"/>
      <c r="AI8" s="1306"/>
      <c r="AJ8" s="1307"/>
      <c r="AK8" s="1308"/>
      <c r="AO8" s="1309"/>
      <c r="AP8" s="1310"/>
      <c r="AQ8" s="1311"/>
      <c r="AR8" s="1311"/>
      <c r="AS8" s="1311"/>
      <c r="AT8" s="1312"/>
      <c r="AU8" s="1313"/>
      <c r="AW8" s="1314"/>
      <c r="AX8" s="1315"/>
      <c r="AY8" s="1316"/>
      <c r="AZ8" s="1317"/>
      <c r="BA8" s="1311"/>
      <c r="BB8" s="1318"/>
      <c r="BL8"/>
    </row>
    <row r="9" spans="1:64" s="311" customFormat="1" ht="90.6" customHeight="1">
      <c r="A9" s="1300"/>
      <c r="B9" s="1319" t="s">
        <v>1364</v>
      </c>
      <c r="C9" s="1587" t="s">
        <v>1955</v>
      </c>
      <c r="D9" s="1588"/>
      <c r="E9" s="1588"/>
      <c r="F9" s="1588"/>
      <c r="G9" s="1588"/>
      <c r="H9" s="1588"/>
      <c r="I9" s="1588"/>
      <c r="J9" s="1588"/>
      <c r="K9" s="1588"/>
      <c r="L9" s="1588"/>
      <c r="M9" s="1588"/>
      <c r="N9" s="1588"/>
      <c r="O9" s="1588"/>
      <c r="P9" s="1588"/>
      <c r="Q9" s="1588"/>
      <c r="R9" s="1588"/>
      <c r="S9" s="1588"/>
      <c r="T9" s="1641"/>
      <c r="U9"/>
      <c r="V9" s="1304"/>
      <c r="W9"/>
      <c r="X9"/>
      <c r="Y9"/>
      <c r="Z9"/>
      <c r="AA9"/>
      <c r="AB9"/>
      <c r="AC9"/>
      <c r="AD9"/>
      <c r="AE9"/>
      <c r="AF9" s="1320"/>
      <c r="AG9" s="1320"/>
      <c r="AH9" s="1320"/>
      <c r="AI9" s="1311"/>
      <c r="AJ9" s="1321"/>
      <c r="AK9" s="1322"/>
      <c r="AO9" s="1323"/>
      <c r="AP9" s="1324"/>
      <c r="AQ9" s="1325"/>
      <c r="AR9" s="1325"/>
      <c r="AS9" s="1325"/>
      <c r="AT9" s="1312"/>
      <c r="AU9" s="1313"/>
      <c r="AW9" s="2007"/>
      <c r="AX9" s="2008"/>
      <c r="AY9" s="1326"/>
      <c r="AZ9" s="2009"/>
      <c r="BA9" s="2010"/>
      <c r="BB9" s="1327"/>
      <c r="BL9"/>
    </row>
    <row r="10" spans="1:64" ht="64.8">
      <c r="A10" s="1328"/>
      <c r="B10" s="1329" t="s">
        <v>1365</v>
      </c>
      <c r="C10" s="1967" t="s">
        <v>1366</v>
      </c>
      <c r="D10" s="1968" t="s">
        <v>1367</v>
      </c>
      <c r="E10" s="1330" t="s">
        <v>1368</v>
      </c>
      <c r="F10" s="1332" t="s">
        <v>1369</v>
      </c>
      <c r="G10" s="1333" t="s">
        <v>1370</v>
      </c>
      <c r="H10" s="1333"/>
      <c r="I10" s="340"/>
      <c r="J10" s="340"/>
      <c r="K10" s="340">
        <v>1</v>
      </c>
      <c r="L10" s="340">
        <v>2</v>
      </c>
      <c r="M10" s="340">
        <v>3</v>
      </c>
      <c r="N10" s="1334">
        <v>1</v>
      </c>
      <c r="O10" s="1335" t="str">
        <f t="shared" ref="O10:O66" si="1">IF(N10=1,$J$6,"")</f>
        <v>●</v>
      </c>
      <c r="P10" s="1335" t="str">
        <f t="shared" ref="P10:P66" si="2">IF(N10=2,$J$6,"")</f>
        <v/>
      </c>
      <c r="Q10" s="1335" t="str">
        <f>IF(N10=3,$J$6,"")</f>
        <v/>
      </c>
      <c r="R10" s="1336"/>
      <c r="S10" s="1334"/>
      <c r="T10" s="1337">
        <f t="shared" ref="T10:T66" si="3">IF(N10="",$I$6,IF(N10+S10&gt;3,3,N10+S10))</f>
        <v>1</v>
      </c>
      <c r="V10" s="1304" t="str">
        <f t="shared" ref="V10:V34" si="4">C10</f>
        <v>3.1</v>
      </c>
      <c r="W10" s="1338">
        <f>IF(SUM(T10:T11)=0,"",AVERAGE(T10:T11))</f>
        <v>1</v>
      </c>
      <c r="X10" s="1338">
        <f>IF(SUM(W10:W25)=0,"",AVERAGE(W10:W25))</f>
        <v>1.6666666666666667</v>
      </c>
      <c r="Y10" s="1338">
        <f>IF(SUM(X10:X159)=0,"",AVERAGE(X10:X159))</f>
        <v>1.4577894327894327</v>
      </c>
      <c r="Z10" s="1182">
        <f>(Y10-1)*2+1</f>
        <v>1.9155788655788655</v>
      </c>
      <c r="AF10" s="1339"/>
      <c r="AG10" s="1340"/>
      <c r="AH10" s="1341"/>
      <c r="AI10" s="1342"/>
      <c r="AJ10" s="1343"/>
      <c r="AK10" s="1344" t="str">
        <f>AS10</f>
        <v/>
      </c>
      <c r="AO10" s="1345"/>
      <c r="AP10" s="1346"/>
      <c r="AQ10" s="1347"/>
      <c r="AR10" s="1348" t="str">
        <f>IF(AQ10="","",IF(AQ10=4,"",AQ10))</f>
        <v/>
      </c>
      <c r="AS10" s="1348" t="str">
        <f>IF(AR10="","",IF(AR10=3,3,IF(AT10=TRUE,AR10+1,AR10)))</f>
        <v/>
      </c>
      <c r="AT10" s="1349" t="b">
        <v>0</v>
      </c>
      <c r="AW10" s="2011"/>
      <c r="AX10" s="1350">
        <f>IFERROR(SUM(BA10:BA25)/AY10,"")</f>
        <v>0</v>
      </c>
      <c r="AY10" s="1351">
        <f>COUNTA(BB10:BB25)</f>
        <v>6</v>
      </c>
      <c r="AZ10" s="2004" t="s">
        <v>1366</v>
      </c>
      <c r="BA10" s="1352">
        <f>IFERROR(SUM(AK10:AK39)/BB10,"")</f>
        <v>0</v>
      </c>
      <c r="BB10" s="1353">
        <f>COUNTA(E10:E11)</f>
        <v>2</v>
      </c>
      <c r="BG10" s="340"/>
    </row>
    <row r="11" spans="1:64" ht="43.2">
      <c r="A11" s="1300"/>
      <c r="B11" s="1354"/>
      <c r="C11" s="1967"/>
      <c r="D11" s="1968"/>
      <c r="E11" s="1330" t="s">
        <v>1371</v>
      </c>
      <c r="F11" s="1332" t="s">
        <v>1372</v>
      </c>
      <c r="G11" s="1333" t="s">
        <v>1373</v>
      </c>
      <c r="H11" s="1333"/>
      <c r="I11" s="340"/>
      <c r="J11" s="340"/>
      <c r="K11" s="340">
        <v>1</v>
      </c>
      <c r="L11" s="340">
        <v>2</v>
      </c>
      <c r="M11" s="340">
        <v>3</v>
      </c>
      <c r="N11" s="1334">
        <v>1</v>
      </c>
      <c r="O11" s="1335" t="str">
        <f t="shared" si="1"/>
        <v>●</v>
      </c>
      <c r="P11" s="1335" t="str">
        <f t="shared" si="2"/>
        <v/>
      </c>
      <c r="Q11" s="1335" t="str">
        <f t="shared" ref="Q11:Q66" si="5">IF(N11=3,$J$6,"")</f>
        <v/>
      </c>
      <c r="R11" s="1355"/>
      <c r="S11" s="1333"/>
      <c r="T11" s="1337">
        <f t="shared" si="3"/>
        <v>1</v>
      </c>
      <c r="V11" s="1304">
        <f t="shared" si="4"/>
        <v>0</v>
      </c>
      <c r="AF11" s="1356"/>
      <c r="AG11" s="1357"/>
      <c r="AH11" s="1358"/>
      <c r="AI11" s="1359"/>
      <c r="AJ11" s="1360"/>
      <c r="AK11" s="1361" t="str">
        <f>AS11</f>
        <v/>
      </c>
      <c r="AL11" s="1362"/>
      <c r="AM11" s="1362"/>
      <c r="AN11" s="1362"/>
      <c r="AO11" s="1363"/>
      <c r="AP11" s="1364"/>
      <c r="AQ11" s="1365"/>
      <c r="AR11" s="1348" t="str">
        <f>IF(AQ11="","",IF(AQ11=4,"",AQ11))</f>
        <v/>
      </c>
      <c r="AS11" s="1348" t="str">
        <f>IF(AR11="","",IF(AR11=3,3,IF(AT11=TRUE,AR11+1,AR11)))</f>
        <v/>
      </c>
      <c r="AT11" s="1366" t="b">
        <v>0</v>
      </c>
      <c r="AW11" s="2011"/>
      <c r="AX11" s="1350"/>
      <c r="AY11" s="1351"/>
      <c r="AZ11" s="1969"/>
      <c r="BA11" s="1368"/>
      <c r="BB11" s="1351"/>
      <c r="BG11" s="340"/>
    </row>
    <row r="12" spans="1:64" ht="21.6">
      <c r="A12" s="1300"/>
      <c r="B12" s="1369"/>
      <c r="C12" s="1967" t="s">
        <v>1374</v>
      </c>
      <c r="D12" s="1968" t="s">
        <v>1375</v>
      </c>
      <c r="E12" s="1330" t="s">
        <v>1376</v>
      </c>
      <c r="F12" s="1332" t="s">
        <v>1377</v>
      </c>
      <c r="G12" s="1333" t="s">
        <v>1378</v>
      </c>
      <c r="H12" s="1333" t="s">
        <v>1379</v>
      </c>
      <c r="I12" s="340">
        <f>スコア!P58</f>
        <v>3</v>
      </c>
      <c r="J12" s="340">
        <f t="shared" ref="J12" si="6">IF(I12&gt;=4,3,IF(I12&gt;=2,2,IF(I12=1,1,"")))</f>
        <v>2</v>
      </c>
      <c r="K12" s="340"/>
      <c r="L12" s="340"/>
      <c r="M12" s="340"/>
      <c r="N12" s="1370">
        <f>IF(SUM(J12)=0,"",ROUND(AVERAGE(J12),0))</f>
        <v>2</v>
      </c>
      <c r="O12" s="1335" t="str">
        <f t="shared" si="1"/>
        <v/>
      </c>
      <c r="P12" s="1335" t="str">
        <f t="shared" si="2"/>
        <v>●</v>
      </c>
      <c r="Q12" s="1335" t="str">
        <f t="shared" si="5"/>
        <v/>
      </c>
      <c r="R12" s="1336"/>
      <c r="S12" s="1333"/>
      <c r="T12" s="1337">
        <f t="shared" si="3"/>
        <v>2</v>
      </c>
      <c r="V12" s="1304" t="str">
        <f t="shared" si="4"/>
        <v>3.2</v>
      </c>
      <c r="W12" s="1338">
        <f>IF(SUM(T12:T13)=0,"",AVERAGE(T12:T13))</f>
        <v>1.5</v>
      </c>
      <c r="AF12" s="1371" t="str">
        <f t="shared" ref="AF12" si="7">IF(AR12=1,"●","")</f>
        <v/>
      </c>
      <c r="AG12" s="1372" t="str">
        <f t="shared" ref="AG12" si="8">IF(AR12=2,"●","")</f>
        <v/>
      </c>
      <c r="AH12" s="1373" t="str">
        <f t="shared" ref="AH12" si="9">IF(AR12=3,"●","")</f>
        <v/>
      </c>
      <c r="AI12" s="1374"/>
      <c r="AJ12" s="1375"/>
      <c r="AK12" s="1376" t="str">
        <f t="shared" ref="AK12:AK53" si="10">AS12</f>
        <v/>
      </c>
      <c r="AO12" s="1377"/>
      <c r="AP12" s="1378"/>
      <c r="AQ12" s="1379"/>
      <c r="AR12" s="1380" t="str">
        <f t="shared" ref="AR12:AR23" si="11">IF(AQ12="","",IF(AQ12&lt;=AQ$7,1,IF(AQ12&lt;AS$7,2,IF(AQ12&gt;=AS$7,3,""))))</f>
        <v/>
      </c>
      <c r="AS12" s="1380" t="str">
        <f t="shared" ref="AS12:AS16" si="12">IF(AR12="","",IF(AR12=3,3,IF(AT12=TRUE,AR12+1,AR12)))</f>
        <v/>
      </c>
      <c r="AT12" s="1381" t="b">
        <v>0</v>
      </c>
      <c r="AW12" s="1382"/>
      <c r="AX12" s="1350"/>
      <c r="AY12" s="1351"/>
      <c r="AZ12" s="2004" t="s">
        <v>1374</v>
      </c>
      <c r="BA12" s="1352">
        <f>IFERROR(SUM(AK12:AK19)/BB12,"")</f>
        <v>0</v>
      </c>
      <c r="BB12" s="1353">
        <f>COUNTA(E12:E13)</f>
        <v>2</v>
      </c>
      <c r="BF12" t="str">
        <f>H12</f>
        <v>Q2.3.3「医療施設」</v>
      </c>
      <c r="BG12" s="340" t="str">
        <f>スコア!BN58</f>
        <v>2.3.3 医療施設</v>
      </c>
    </row>
    <row r="13" spans="1:64" ht="54">
      <c r="A13" s="1300"/>
      <c r="B13" s="1369"/>
      <c r="C13" s="1967"/>
      <c r="D13" s="1968"/>
      <c r="E13" s="1330" t="s">
        <v>1380</v>
      </c>
      <c r="F13" s="1332" t="s">
        <v>1381</v>
      </c>
      <c r="G13" s="1333" t="s">
        <v>1382</v>
      </c>
      <c r="H13" s="1333"/>
      <c r="I13" s="340"/>
      <c r="J13" s="340"/>
      <c r="K13" s="340">
        <v>1</v>
      </c>
      <c r="L13" s="340">
        <v>2</v>
      </c>
      <c r="M13" s="340">
        <v>3</v>
      </c>
      <c r="N13" s="1334">
        <v>1</v>
      </c>
      <c r="O13" s="1335" t="str">
        <f t="shared" si="1"/>
        <v>●</v>
      </c>
      <c r="P13" s="1335" t="str">
        <f t="shared" si="2"/>
        <v/>
      </c>
      <c r="Q13" s="1335" t="str">
        <f t="shared" si="5"/>
        <v/>
      </c>
      <c r="R13" s="1355"/>
      <c r="S13" s="1333"/>
      <c r="T13" s="1337">
        <f t="shared" si="3"/>
        <v>1</v>
      </c>
      <c r="V13" s="1304">
        <f t="shared" si="4"/>
        <v>0</v>
      </c>
      <c r="AF13" s="1383"/>
      <c r="AG13" s="1384"/>
      <c r="AH13" s="1385"/>
      <c r="AI13" s="1342"/>
      <c r="AJ13" s="1343"/>
      <c r="AK13" s="1344" t="str">
        <f>AS13</f>
        <v/>
      </c>
      <c r="AO13" s="1345"/>
      <c r="AP13" s="1346"/>
      <c r="AQ13" s="1347"/>
      <c r="AR13" s="1348" t="str">
        <f>IF(AQ13="","",IF(AQ13=4,"",AQ13))</f>
        <v/>
      </c>
      <c r="AS13" s="1348" t="str">
        <f>IF(AR13="","",IF(AR13=3,3,IF(AT13=TRUE,AR13+1,AR13)))</f>
        <v/>
      </c>
      <c r="AT13" s="1349"/>
      <c r="AW13" s="1382"/>
      <c r="AX13" s="1350"/>
      <c r="AY13" s="1351"/>
      <c r="AZ13" s="1969"/>
      <c r="BA13" s="1368"/>
      <c r="BB13" s="1351"/>
      <c r="BF13">
        <f t="shared" ref="BF13:BF76" si="13">H13</f>
        <v>0</v>
      </c>
      <c r="BG13" s="340"/>
    </row>
    <row r="14" spans="1:64" ht="21.6">
      <c r="A14" s="1300"/>
      <c r="B14" s="1369"/>
      <c r="C14" s="1967" t="s">
        <v>1383</v>
      </c>
      <c r="D14" s="1968" t="s">
        <v>1384</v>
      </c>
      <c r="E14" s="1330" t="s">
        <v>1385</v>
      </c>
      <c r="F14" s="1332" t="s">
        <v>1386</v>
      </c>
      <c r="G14" s="1333" t="s">
        <v>1387</v>
      </c>
      <c r="H14" s="1333" t="s">
        <v>1388</v>
      </c>
      <c r="I14" s="340">
        <f>スコア!P66</f>
        <v>3</v>
      </c>
      <c r="J14" s="340">
        <f t="shared" ref="J14:J16" si="14">IF(I14&gt;=4,3,IF(I14&gt;=2,2,IF(I14=1,1,"")))</f>
        <v>2</v>
      </c>
      <c r="K14" s="340"/>
      <c r="L14" s="340"/>
      <c r="M14" s="340"/>
      <c r="N14" s="1370">
        <f>IF(SUM(J14)=0,"",ROUND(AVERAGE(J14),0))</f>
        <v>2</v>
      </c>
      <c r="O14" s="1335" t="str">
        <f t="shared" si="1"/>
        <v/>
      </c>
      <c r="P14" s="1335" t="str">
        <f t="shared" si="2"/>
        <v>●</v>
      </c>
      <c r="Q14" s="1335" t="str">
        <f t="shared" si="5"/>
        <v/>
      </c>
      <c r="R14" s="1336"/>
      <c r="S14" s="1334"/>
      <c r="T14" s="1337">
        <f t="shared" si="3"/>
        <v>2</v>
      </c>
      <c r="V14" s="1304" t="str">
        <f t="shared" si="4"/>
        <v>3.3</v>
      </c>
      <c r="W14" s="1338">
        <f>IF(SUM(T14:T15)=0,"",AVERAGE(T14:T15))</f>
        <v>2</v>
      </c>
      <c r="AF14" s="1386" t="str">
        <f>IF(AR14=1,"●","")</f>
        <v/>
      </c>
      <c r="AG14" s="1387" t="str">
        <f>IF(AR14=2,"●","")</f>
        <v/>
      </c>
      <c r="AH14" s="1387" t="str">
        <f>IF(AR14=3,"●","")</f>
        <v/>
      </c>
      <c r="AI14" s="1374"/>
      <c r="AJ14" s="1388"/>
      <c r="AK14" s="1376" t="str">
        <f t="shared" si="10"/>
        <v/>
      </c>
      <c r="AO14" s="1377"/>
      <c r="AP14" s="1378"/>
      <c r="AQ14" s="1389"/>
      <c r="AR14" s="1380" t="str">
        <f t="shared" si="11"/>
        <v/>
      </c>
      <c r="AS14" s="1380" t="str">
        <f t="shared" si="12"/>
        <v/>
      </c>
      <c r="AT14" s="1381"/>
      <c r="AW14" s="1382"/>
      <c r="AX14" s="1350"/>
      <c r="AY14" s="1351"/>
      <c r="AZ14" s="2004" t="s">
        <v>1383</v>
      </c>
      <c r="BA14" s="1352">
        <f>IFERROR(SUM(AK14:AK15)/BB14,"")</f>
        <v>0</v>
      </c>
      <c r="BB14" s="1353">
        <f>COUNTA(E14:E15)</f>
        <v>2</v>
      </c>
      <c r="BF14" t="str">
        <f t="shared" si="13"/>
        <v>Q2.4.3「交通安全」</v>
      </c>
      <c r="BG14" s="340" t="str">
        <f>スコア!BN66</f>
        <v>2.4.3 交通安全</v>
      </c>
    </row>
    <row r="15" spans="1:64" s="1362" customFormat="1" ht="21.6">
      <c r="A15" s="1390"/>
      <c r="B15" s="1369"/>
      <c r="C15" s="1967"/>
      <c r="D15" s="1968"/>
      <c r="E15" s="1330" t="s">
        <v>1389</v>
      </c>
      <c r="F15" s="1333" t="s">
        <v>1390</v>
      </c>
      <c r="G15" s="1333" t="s">
        <v>1391</v>
      </c>
      <c r="H15" s="1333" t="s">
        <v>1392</v>
      </c>
      <c r="I15" s="340">
        <f>スコア!P71</f>
        <v>3</v>
      </c>
      <c r="J15" s="340">
        <f t="shared" si="14"/>
        <v>2</v>
      </c>
      <c r="K15" s="340"/>
      <c r="L15" s="340"/>
      <c r="M15" s="340"/>
      <c r="N15" s="1370">
        <f>IF(SUM(J15)=0,"",ROUND(AVERAGE(J15),0))</f>
        <v>2</v>
      </c>
      <c r="O15" s="1335" t="str">
        <f t="shared" si="1"/>
        <v/>
      </c>
      <c r="P15" s="1335" t="str">
        <f t="shared" si="2"/>
        <v>●</v>
      </c>
      <c r="Q15" s="1335" t="str">
        <f t="shared" si="5"/>
        <v/>
      </c>
      <c r="R15" s="1336"/>
      <c r="S15" s="1334"/>
      <c r="T15" s="1337">
        <f t="shared" si="3"/>
        <v>2</v>
      </c>
      <c r="U15"/>
      <c r="V15" s="1304">
        <f t="shared" si="4"/>
        <v>0</v>
      </c>
      <c r="W15"/>
      <c r="X15"/>
      <c r="Y15"/>
      <c r="Z15"/>
      <c r="AA15"/>
      <c r="AB15"/>
      <c r="AC15"/>
      <c r="AD15"/>
      <c r="AE15"/>
      <c r="AF15" s="1391" t="str">
        <f>IF(AR15=1,"●","")</f>
        <v/>
      </c>
      <c r="AG15" s="1392" t="str">
        <f>IF(AR15=2,"●","")</f>
        <v/>
      </c>
      <c r="AH15" s="1393" t="str">
        <f>IF(AR15=3,"●","")</f>
        <v/>
      </c>
      <c r="AI15" s="1394"/>
      <c r="AJ15" s="1395"/>
      <c r="AK15" s="1396" t="str">
        <f>AS15</f>
        <v/>
      </c>
      <c r="AL15"/>
      <c r="AM15"/>
      <c r="AN15"/>
      <c r="AO15" s="1397"/>
      <c r="AP15" s="1398"/>
      <c r="AQ15" s="1399"/>
      <c r="AR15" s="1400" t="str">
        <f>IF(AQ15="","",IF(AQ15&lt;=AQ$7,1,IF(AQ15&lt;AS$7,2,IF(AQ15&gt;=AS$7,3,""))))</f>
        <v/>
      </c>
      <c r="AS15" s="1400" t="str">
        <f>IF(AR15="","",IF(AR15=3,3,IF(AT15=TRUE,AR15+1,AR15)))</f>
        <v/>
      </c>
      <c r="AT15" s="1401"/>
      <c r="AW15" s="1382"/>
      <c r="AX15" s="1402"/>
      <c r="AY15" s="1403"/>
      <c r="AZ15" s="1969"/>
      <c r="BA15" s="1404"/>
      <c r="BB15" s="1405"/>
      <c r="BF15" t="str">
        <f t="shared" si="13"/>
        <v>Q2.5.3「ユニバーサルデザイン」</v>
      </c>
      <c r="BG15" s="340" t="str">
        <f>スコア!BN71</f>
        <v>2.5.3 ユニバーサルデザイン</v>
      </c>
      <c r="BL15"/>
    </row>
    <row r="16" spans="1:64" ht="21.6">
      <c r="A16" s="1300"/>
      <c r="B16" s="1369"/>
      <c r="C16" s="1961" t="s">
        <v>1393</v>
      </c>
      <c r="D16" s="1964" t="s">
        <v>1394</v>
      </c>
      <c r="E16" s="1700" t="s">
        <v>1395</v>
      </c>
      <c r="F16" s="1699" t="s">
        <v>1396</v>
      </c>
      <c r="G16" s="1699" t="s">
        <v>1397</v>
      </c>
      <c r="H16" s="1333" t="s">
        <v>1720</v>
      </c>
      <c r="I16" s="340">
        <f>スコア!P138</f>
        <v>3</v>
      </c>
      <c r="J16" s="340">
        <f t="shared" si="14"/>
        <v>2</v>
      </c>
      <c r="K16" s="340"/>
      <c r="L16" s="340"/>
      <c r="M16" s="340"/>
      <c r="N16" s="1370">
        <f>IF(SUM(J16)=0,"",ROUND(AVERAGE(J16),0))</f>
        <v>2</v>
      </c>
      <c r="O16" s="1335" t="str">
        <f t="shared" si="1"/>
        <v/>
      </c>
      <c r="P16" s="1335" t="str">
        <f t="shared" si="2"/>
        <v>●</v>
      </c>
      <c r="Q16" s="1335" t="str">
        <f t="shared" si="5"/>
        <v/>
      </c>
      <c r="R16" s="1336"/>
      <c r="S16" s="1333"/>
      <c r="T16" s="1337">
        <f t="shared" si="3"/>
        <v>2</v>
      </c>
      <c r="V16" s="1304" t="str">
        <f t="shared" si="4"/>
        <v>3.4</v>
      </c>
      <c r="W16" s="1338">
        <f>IF(SUM(T16:T22)=0,"",AVERAGE(T16:T22))</f>
        <v>2</v>
      </c>
      <c r="AF16" s="1406" t="str">
        <f>IF(AR16=1,"●","")</f>
        <v/>
      </c>
      <c r="AG16" s="1407" t="str">
        <f>IF(AR16=2,"●","")</f>
        <v/>
      </c>
      <c r="AH16" s="1407" t="str">
        <f>IF(AR16=3,"●","")</f>
        <v/>
      </c>
      <c r="AI16" s="1342"/>
      <c r="AJ16" s="1408"/>
      <c r="AK16" s="1344" t="str">
        <f t="shared" si="10"/>
        <v/>
      </c>
      <c r="AO16" s="1409"/>
      <c r="AP16" s="1410"/>
      <c r="AQ16" s="1411"/>
      <c r="AR16" s="1412" t="str">
        <f t="shared" si="11"/>
        <v/>
      </c>
      <c r="AS16" s="1412" t="str">
        <f t="shared" si="12"/>
        <v/>
      </c>
      <c r="AT16" s="1413"/>
      <c r="AW16" s="1382"/>
      <c r="AX16" s="1350"/>
      <c r="AY16" s="1351"/>
      <c r="AZ16" s="1414" t="s">
        <v>1393</v>
      </c>
      <c r="BA16" s="1415">
        <f>IFERROR(SUM(AK16)/BB16,"")</f>
        <v>0</v>
      </c>
      <c r="BB16" s="1416">
        <f>COUNTA(E16)</f>
        <v>1</v>
      </c>
      <c r="BF16" t="str">
        <f t="shared" si="13"/>
        <v>LR3.3.2「対象区域外に対する大気汚染の防止」</v>
      </c>
      <c r="BG16" s="340" t="str">
        <f>スコア!BN138</f>
        <v>3.3.2 対象区域外に対する大気汚染の防止</v>
      </c>
    </row>
    <row r="17" spans="2:59" ht="64.8">
      <c r="B17" s="1369"/>
      <c r="C17" s="1962"/>
      <c r="D17" s="1965"/>
      <c r="E17" s="1330" t="s">
        <v>1398</v>
      </c>
      <c r="F17" s="1332" t="s">
        <v>1399</v>
      </c>
      <c r="G17" s="1333" t="s">
        <v>2011</v>
      </c>
      <c r="H17" s="1333"/>
      <c r="I17" s="340"/>
      <c r="J17" s="340"/>
      <c r="K17" s="340" t="s">
        <v>311</v>
      </c>
      <c r="L17" s="340">
        <v>2</v>
      </c>
      <c r="M17" s="340">
        <v>3</v>
      </c>
      <c r="N17" s="1334">
        <v>2</v>
      </c>
      <c r="O17" s="1335" t="str">
        <f t="shared" si="1"/>
        <v/>
      </c>
      <c r="P17" s="1335" t="str">
        <f t="shared" si="2"/>
        <v>●</v>
      </c>
      <c r="Q17" s="1335" t="str">
        <f t="shared" si="5"/>
        <v/>
      </c>
      <c r="R17" s="1355"/>
      <c r="S17" s="1334"/>
      <c r="T17" s="1337">
        <f t="shared" ref="T17:T23" si="15">IF(N17="",$I$6,IF(N17+S17&gt;3,3,N17+S17))</f>
        <v>2</v>
      </c>
      <c r="V17" s="1304">
        <f t="shared" si="4"/>
        <v>0</v>
      </c>
      <c r="AF17" s="1426"/>
      <c r="AG17" s="1427"/>
      <c r="AH17" s="1427"/>
      <c r="AI17" s="1428"/>
      <c r="AJ17" s="1429"/>
      <c r="AK17" s="1430" t="str">
        <f t="shared" ref="AK17:AK21" si="16">AS17</f>
        <v/>
      </c>
      <c r="AO17" s="1431"/>
      <c r="AP17" s="312"/>
      <c r="AQ17" s="1432"/>
      <c r="AR17" s="1433" t="str">
        <f>IF(AQ17="","",IF(AQ17=4,"",AQ17))</f>
        <v/>
      </c>
      <c r="AS17" s="1433" t="str">
        <f t="shared" ref="AS17:AS21" si="17">IF(AR17="","",IF(AR17=3,3,IF(AT17=TRUE,AR17+1,AR17)))</f>
        <v/>
      </c>
      <c r="AT17" s="1434" t="b">
        <v>0</v>
      </c>
      <c r="AW17" s="1382"/>
      <c r="AX17" s="1350"/>
      <c r="AY17" s="1351"/>
      <c r="AZ17" s="1423"/>
      <c r="BA17" s="1424"/>
      <c r="BB17" s="1425"/>
      <c r="BF17">
        <f t="shared" si="13"/>
        <v>0</v>
      </c>
      <c r="BG17" s="340"/>
    </row>
    <row r="18" spans="2:59" ht="21.6">
      <c r="B18" s="1369"/>
      <c r="C18" s="1962"/>
      <c r="D18" s="1965"/>
      <c r="E18" s="1330" t="s">
        <v>1400</v>
      </c>
      <c r="F18" s="1332" t="s">
        <v>1401</v>
      </c>
      <c r="G18" s="1333" t="s">
        <v>1402</v>
      </c>
      <c r="H18" s="1333" t="s">
        <v>1403</v>
      </c>
      <c r="I18" s="340">
        <f>スコア!P109</f>
        <v>3</v>
      </c>
      <c r="J18" s="340">
        <f t="shared" ref="J18:J23" si="18">IF(I18&gt;=4,3,IF(I18&gt;=2,2,IF(I18=1,1,"")))</f>
        <v>2</v>
      </c>
      <c r="K18" s="340"/>
      <c r="L18" s="340"/>
      <c r="M18" s="340"/>
      <c r="N18" s="1370">
        <f t="shared" ref="N18:N23" si="19">IF(SUM(J18)=0,"",ROUND(AVERAGE(J18),0))</f>
        <v>2</v>
      </c>
      <c r="O18" s="1335" t="str">
        <f t="shared" si="1"/>
        <v/>
      </c>
      <c r="P18" s="1335" t="str">
        <f t="shared" si="2"/>
        <v>●</v>
      </c>
      <c r="Q18" s="1335" t="str">
        <f t="shared" si="5"/>
        <v/>
      </c>
      <c r="R18" s="1336"/>
      <c r="S18" s="1333"/>
      <c r="T18" s="1337">
        <f t="shared" si="15"/>
        <v>2</v>
      </c>
      <c r="V18" s="1304">
        <f t="shared" si="4"/>
        <v>0</v>
      </c>
      <c r="AF18" s="1406" t="str">
        <f>IF(AR18=1,"●","")</f>
        <v/>
      </c>
      <c r="AG18" s="1407" t="str">
        <f>IF(AR18=2,"●","")</f>
        <v/>
      </c>
      <c r="AH18" s="1435" t="str">
        <f>IF(AR18=3,"●","")</f>
        <v/>
      </c>
      <c r="AI18" s="1436"/>
      <c r="AJ18" s="1437"/>
      <c r="AK18" s="1438" t="str">
        <f t="shared" si="16"/>
        <v/>
      </c>
      <c r="AO18" s="1409"/>
      <c r="AP18" s="1410"/>
      <c r="AQ18" s="1411"/>
      <c r="AR18" s="1412" t="str">
        <f>IF(AQ18="","",IF(AQ18&lt;=AQ$7,1,IF(AQ18&lt;AS$7,2,IF(AQ18&gt;=AS$7,3,""))))</f>
        <v/>
      </c>
      <c r="AS18" s="1412" t="str">
        <f t="shared" si="17"/>
        <v/>
      </c>
      <c r="AT18" s="1413"/>
      <c r="AW18" s="1382"/>
      <c r="AX18" s="1350"/>
      <c r="AY18" s="1351"/>
      <c r="AZ18" s="1423"/>
      <c r="BA18" s="1424"/>
      <c r="BB18" s="1425"/>
      <c r="BF18" t="str">
        <f t="shared" si="13"/>
        <v>LR2.1.1「土壌汚染への対応」</v>
      </c>
      <c r="BG18" s="340" t="str">
        <f>スコア!BN109</f>
        <v>2.1.1 土壌汚染への対応</v>
      </c>
    </row>
    <row r="19" spans="2:59" ht="21.6">
      <c r="B19" s="1369"/>
      <c r="C19" s="1962"/>
      <c r="D19" s="1965"/>
      <c r="E19" s="1330" t="s">
        <v>1404</v>
      </c>
      <c r="F19" s="1332" t="s">
        <v>1405</v>
      </c>
      <c r="G19" s="1333" t="s">
        <v>1406</v>
      </c>
      <c r="H19" s="1333" t="s">
        <v>1407</v>
      </c>
      <c r="I19" s="340">
        <f>スコア!P146</f>
        <v>3</v>
      </c>
      <c r="J19" s="340">
        <f t="shared" si="18"/>
        <v>2</v>
      </c>
      <c r="K19" s="340"/>
      <c r="L19" s="340"/>
      <c r="M19" s="340"/>
      <c r="N19" s="1370">
        <f t="shared" si="19"/>
        <v>2</v>
      </c>
      <c r="O19" s="1335" t="str">
        <f t="shared" si="1"/>
        <v/>
      </c>
      <c r="P19" s="1335" t="str">
        <f t="shared" si="2"/>
        <v>●</v>
      </c>
      <c r="Q19" s="1335" t="str">
        <f t="shared" si="5"/>
        <v/>
      </c>
      <c r="R19" s="1336"/>
      <c r="S19" s="1333"/>
      <c r="T19" s="1337">
        <f t="shared" si="15"/>
        <v>2</v>
      </c>
      <c r="V19" s="1304">
        <f t="shared" si="4"/>
        <v>0</v>
      </c>
      <c r="AF19" s="1439"/>
      <c r="AG19" s="1440" t="str">
        <f>IF(AR19=2,"●","")</f>
        <v/>
      </c>
      <c r="AH19" s="1441" t="str">
        <f>IF(AR19=3,"●","")</f>
        <v/>
      </c>
      <c r="AI19" s="1442"/>
      <c r="AJ19" s="1443"/>
      <c r="AK19" s="1444" t="str">
        <f t="shared" si="16"/>
        <v/>
      </c>
      <c r="AO19" s="1397"/>
      <c r="AP19" s="1398"/>
      <c r="AQ19" s="1399"/>
      <c r="AR19" s="1400" t="str">
        <f>IF(AQ19="","",IF(AQ19&lt;=AQ$7,1,IF(AQ19&lt;AS$7,2,IF(AQ19&gt;=AS$7,3,""))))</f>
        <v/>
      </c>
      <c r="AS19" s="1400" t="str">
        <f t="shared" si="17"/>
        <v/>
      </c>
      <c r="AT19" s="1401" t="b">
        <v>0</v>
      </c>
      <c r="AW19" s="1382"/>
      <c r="AX19" s="1350"/>
      <c r="AY19" s="1351"/>
      <c r="AZ19" s="1423"/>
      <c r="BA19" s="1424"/>
      <c r="BB19" s="1425"/>
      <c r="BF19" t="str">
        <f t="shared" si="13"/>
        <v>LR3.3.4「対象区域外に対する風害の抑制」</v>
      </c>
      <c r="BG19" s="340" t="str">
        <f>スコア!BN146</f>
        <v>3.3.4 対象区域外に対する風害の抑制</v>
      </c>
    </row>
    <row r="20" spans="2:59" ht="21.6">
      <c r="B20" s="1369"/>
      <c r="C20" s="1962"/>
      <c r="D20" s="1965"/>
      <c r="E20" s="1330" t="s">
        <v>1408</v>
      </c>
      <c r="F20" s="1332" t="s">
        <v>1409</v>
      </c>
      <c r="G20" s="1333" t="s">
        <v>1410</v>
      </c>
      <c r="H20" s="1333" t="s">
        <v>1411</v>
      </c>
      <c r="I20" s="340">
        <f>スコア!P147</f>
        <v>3</v>
      </c>
      <c r="J20" s="340">
        <f t="shared" si="18"/>
        <v>2</v>
      </c>
      <c r="K20" s="340"/>
      <c r="L20" s="340"/>
      <c r="M20" s="340"/>
      <c r="N20" s="1370">
        <f t="shared" si="19"/>
        <v>2</v>
      </c>
      <c r="O20" s="1335" t="str">
        <f t="shared" si="1"/>
        <v/>
      </c>
      <c r="P20" s="1335" t="str">
        <f t="shared" si="2"/>
        <v>●</v>
      </c>
      <c r="Q20" s="1335" t="str">
        <f t="shared" si="5"/>
        <v/>
      </c>
      <c r="R20" s="1336"/>
      <c r="S20" s="1333"/>
      <c r="T20" s="1337">
        <f t="shared" si="15"/>
        <v>2</v>
      </c>
      <c r="V20" s="1304">
        <f t="shared" si="4"/>
        <v>0</v>
      </c>
      <c r="AF20" s="1445" t="str">
        <f>IF(AR20=1,"●","")</f>
        <v/>
      </c>
      <c r="AG20" s="1446" t="str">
        <f>IF(AR20=2,"●","")</f>
        <v/>
      </c>
      <c r="AH20" s="1447" t="str">
        <f>IF(AR20=3,"●","")</f>
        <v/>
      </c>
      <c r="AI20" s="1394"/>
      <c r="AJ20" s="1395"/>
      <c r="AK20" s="1396" t="str">
        <f t="shared" si="16"/>
        <v/>
      </c>
      <c r="AO20" s="1448"/>
      <c r="AP20" s="1449"/>
      <c r="AQ20" s="1450"/>
      <c r="AR20" s="1451" t="str">
        <f>IF(AQ20="","",IF(AQ20&lt;=AQ$7,1,IF(AQ20&lt;AS$7,2,IF(AQ20&gt;=AS$7,3,""))))</f>
        <v/>
      </c>
      <c r="AS20" s="1451" t="str">
        <f t="shared" si="17"/>
        <v/>
      </c>
      <c r="AT20" s="1401" t="b">
        <v>0</v>
      </c>
      <c r="AW20" s="1382"/>
      <c r="AX20" s="1350"/>
      <c r="AY20" s="1351"/>
      <c r="AZ20" s="1423"/>
      <c r="BA20" s="1424"/>
      <c r="BB20" s="1425"/>
      <c r="BF20" t="str">
        <f t="shared" si="13"/>
        <v>LR3.3.5「対象区域外に対する日照阻害の抑制」</v>
      </c>
      <c r="BG20" s="340" t="str">
        <f>スコア!BN147</f>
        <v>3.3.5 対象区域外に対する日照阻害の抑制</v>
      </c>
    </row>
    <row r="21" spans="2:59" ht="21.6">
      <c r="B21" s="1369"/>
      <c r="C21" s="1962"/>
      <c r="D21" s="1965"/>
      <c r="E21" s="1708" t="s">
        <v>1412</v>
      </c>
      <c r="F21" s="1332" t="s">
        <v>1413</v>
      </c>
      <c r="G21" s="1332" t="s">
        <v>1414</v>
      </c>
      <c r="H21" s="1333" t="s">
        <v>1741</v>
      </c>
      <c r="I21" s="340">
        <f>スコア!P148</f>
        <v>3</v>
      </c>
      <c r="J21" s="340">
        <f t="shared" si="18"/>
        <v>2</v>
      </c>
      <c r="K21" s="340"/>
      <c r="L21" s="340"/>
      <c r="M21" s="340"/>
      <c r="N21" s="1370">
        <f t="shared" si="19"/>
        <v>2</v>
      </c>
      <c r="O21" s="1335" t="str">
        <f t="shared" si="1"/>
        <v/>
      </c>
      <c r="P21" s="1335" t="str">
        <f t="shared" si="2"/>
        <v>●</v>
      </c>
      <c r="Q21" s="1335" t="str">
        <f t="shared" si="5"/>
        <v/>
      </c>
      <c r="R21" s="1336"/>
      <c r="S21" s="1333"/>
      <c r="T21" s="1337">
        <f t="shared" si="15"/>
        <v>2</v>
      </c>
      <c r="V21" s="1304">
        <f t="shared" si="4"/>
        <v>0</v>
      </c>
      <c r="AF21" s="1439" t="str">
        <f t="shared" ref="AF21" si="20">IF(AR21=1,"●","")</f>
        <v/>
      </c>
      <c r="AG21" s="1372" t="str">
        <f t="shared" ref="AG21" si="21">IF(AR21=2,"●","")</f>
        <v/>
      </c>
      <c r="AH21" s="1372" t="str">
        <f t="shared" ref="AH21" si="22">IF(AR21=3,"●","")</f>
        <v/>
      </c>
      <c r="AI21" s="1374"/>
      <c r="AJ21" s="1375"/>
      <c r="AK21" s="1376" t="str">
        <f t="shared" si="16"/>
        <v/>
      </c>
      <c r="AO21" s="1377"/>
      <c r="AP21" s="1378"/>
      <c r="AQ21" s="1389"/>
      <c r="AR21" s="1380" t="str">
        <f>IF(AQ21="","",IF(AQ21&lt;=AQ$7,1,IF(AQ21&lt;AS$7,2,IF(AQ21&gt;=AS$7,3,""))))</f>
        <v/>
      </c>
      <c r="AS21" s="1380" t="str">
        <f t="shared" si="17"/>
        <v/>
      </c>
      <c r="AT21" s="1381"/>
      <c r="AW21" s="1382"/>
      <c r="AX21" s="1350"/>
      <c r="AY21" s="1351"/>
      <c r="AZ21" s="1423"/>
      <c r="BA21" s="1424"/>
      <c r="BB21" s="1425"/>
      <c r="BF21" t="str">
        <f t="shared" si="13"/>
        <v>LR3.3.6「対象区域外に対する光害の抑制」</v>
      </c>
      <c r="BG21" s="340" t="str">
        <f>スコア!BN148</f>
        <v>3.3.6 対象区域外に対する光害の抑制</v>
      </c>
    </row>
    <row r="22" spans="2:59" ht="21.6">
      <c r="B22" s="1369"/>
      <c r="C22" s="1962"/>
      <c r="D22" s="1965"/>
      <c r="E22" s="1705" t="s">
        <v>1963</v>
      </c>
      <c r="F22" s="1702" t="s">
        <v>1415</v>
      </c>
      <c r="G22" s="1702" t="s">
        <v>1961</v>
      </c>
      <c r="H22" s="1333" t="s">
        <v>1962</v>
      </c>
      <c r="I22" s="340">
        <f>スコア!P142</f>
        <v>2.6</v>
      </c>
      <c r="J22" s="340">
        <f t="shared" si="18"/>
        <v>2</v>
      </c>
      <c r="K22" s="340"/>
      <c r="L22" s="340"/>
      <c r="M22" s="340"/>
      <c r="N22" s="1370">
        <f t="shared" si="19"/>
        <v>2</v>
      </c>
      <c r="O22" s="1335"/>
      <c r="P22" s="1335"/>
      <c r="Q22" s="1335"/>
      <c r="R22" s="1336"/>
      <c r="S22" s="1333"/>
      <c r="T22" s="1337"/>
      <c r="V22" s="1304"/>
      <c r="AF22" s="1371"/>
      <c r="AG22" s="1372"/>
      <c r="AH22" s="1372"/>
      <c r="AI22" s="1374"/>
      <c r="AJ22" s="1375"/>
      <c r="AK22" s="1376"/>
      <c r="AO22" s="1452"/>
      <c r="AP22" s="1453"/>
      <c r="AQ22" s="1454"/>
      <c r="AR22" s="1433"/>
      <c r="AS22" s="1433"/>
      <c r="AT22" s="1455"/>
      <c r="AW22" s="1382"/>
      <c r="AX22" s="1350"/>
      <c r="AY22" s="1351"/>
      <c r="AZ22" s="1423"/>
      <c r="BA22" s="1424"/>
      <c r="BB22" s="1425"/>
      <c r="BF22" t="str">
        <f t="shared" si="13"/>
        <v>LR3.3.3「対象区域外に対する騒音・振動・悪臭の防止」</v>
      </c>
      <c r="BG22" s="340" t="str">
        <f>スコア!BN142</f>
        <v>3.3.3 対象区域外に対する騒音・振動・悪臭の防止</v>
      </c>
    </row>
    <row r="23" spans="2:59" ht="21.6">
      <c r="B23" s="1369"/>
      <c r="C23" s="1700" t="s">
        <v>1419</v>
      </c>
      <c r="D23" s="1701" t="s">
        <v>1420</v>
      </c>
      <c r="E23" s="1700" t="s">
        <v>1421</v>
      </c>
      <c r="F23" s="1699" t="s">
        <v>1422</v>
      </c>
      <c r="G23" s="1699" t="s">
        <v>1423</v>
      </c>
      <c r="H23" s="1333" t="s">
        <v>1960</v>
      </c>
      <c r="I23" s="340">
        <f>スコア!P31</f>
        <v>3</v>
      </c>
      <c r="J23" s="340">
        <f t="shared" si="18"/>
        <v>2</v>
      </c>
      <c r="K23" s="340"/>
      <c r="L23" s="340"/>
      <c r="M23" s="340"/>
      <c r="N23" s="1370">
        <f t="shared" si="19"/>
        <v>2</v>
      </c>
      <c r="O23" s="1335" t="str">
        <f t="shared" si="1"/>
        <v/>
      </c>
      <c r="P23" s="1335" t="str">
        <f t="shared" si="2"/>
        <v>●</v>
      </c>
      <c r="Q23" s="1335" t="str">
        <f t="shared" si="5"/>
        <v/>
      </c>
      <c r="R23" s="1336"/>
      <c r="S23" s="1333"/>
      <c r="T23" s="1337">
        <f t="shared" si="15"/>
        <v>2</v>
      </c>
      <c r="V23" s="1304" t="str">
        <f t="shared" si="4"/>
        <v>3.5</v>
      </c>
      <c r="W23" s="1338">
        <f>IF(SUM(T23:T23)=0,"",AVERAGE(T23:T23))</f>
        <v>2</v>
      </c>
      <c r="AF23" s="1457" t="str">
        <f t="shared" ref="AF23" si="23">IF(AR23=1,"●","")</f>
        <v/>
      </c>
      <c r="AG23" s="1458" t="str">
        <f t="shared" ref="AG23" si="24">IF(AR23=2,"●","")</f>
        <v/>
      </c>
      <c r="AH23" s="1459" t="str">
        <f t="shared" ref="AH23" si="25">IF(AR23=3,"●","")</f>
        <v/>
      </c>
      <c r="AI23" s="1442"/>
      <c r="AJ23" s="1443"/>
      <c r="AK23" s="1444" t="str">
        <f t="shared" si="10"/>
        <v/>
      </c>
      <c r="AO23" s="1377"/>
      <c r="AP23" s="1378"/>
      <c r="AQ23" s="1389"/>
      <c r="AR23" s="1380" t="str">
        <f t="shared" si="11"/>
        <v/>
      </c>
      <c r="AS23" s="1380" t="str">
        <f t="shared" ref="AS23" si="26">IF(AR23="","",IF(AR23=3,3,IF(AT23=TRUE,AR23+1,AR23)))</f>
        <v/>
      </c>
      <c r="AT23" s="1381"/>
      <c r="AW23" s="1382"/>
      <c r="AX23" s="1350"/>
      <c r="AY23" s="1351"/>
      <c r="AZ23" s="1460" t="s">
        <v>1419</v>
      </c>
      <c r="BA23" s="1352">
        <f>IFERROR(SUM(AK23:AK23)/BB23,"")</f>
        <v>0</v>
      </c>
      <c r="BB23" s="1353">
        <f>COUNTA(E23:E23)</f>
        <v>1</v>
      </c>
      <c r="BF23" t="str">
        <f t="shared" si="13"/>
        <v>Q1.2.2「熱環境」</v>
      </c>
      <c r="BG23" s="340" t="str">
        <f>スコア!BN31</f>
        <v>1.2.2 熱環境</v>
      </c>
    </row>
    <row r="24" spans="2:59" ht="64.8">
      <c r="B24" s="1369"/>
      <c r="C24" s="1967" t="s">
        <v>1424</v>
      </c>
      <c r="D24" s="1968" t="s">
        <v>1425</v>
      </c>
      <c r="E24" s="1330" t="s">
        <v>1426</v>
      </c>
      <c r="F24" s="1332" t="s">
        <v>1427</v>
      </c>
      <c r="G24" s="1333" t="s">
        <v>1428</v>
      </c>
      <c r="H24" s="1333"/>
      <c r="I24" s="340"/>
      <c r="J24" s="340"/>
      <c r="K24" s="340">
        <v>1</v>
      </c>
      <c r="L24" s="340">
        <v>2</v>
      </c>
      <c r="M24" s="340">
        <v>3</v>
      </c>
      <c r="N24" s="1334">
        <v>1</v>
      </c>
      <c r="O24" s="1335" t="str">
        <f t="shared" si="1"/>
        <v>●</v>
      </c>
      <c r="P24" s="1335" t="str">
        <f t="shared" si="2"/>
        <v/>
      </c>
      <c r="Q24" s="1335" t="str">
        <f t="shared" si="5"/>
        <v/>
      </c>
      <c r="R24" s="1355"/>
      <c r="S24" s="1333"/>
      <c r="T24" s="1337">
        <f t="shared" ref="T24:T34" si="27">IF(N24="",$I$6,IF(N24+S24&gt;3,3,N24+S24))</f>
        <v>1</v>
      </c>
      <c r="V24" s="1304" t="str">
        <f t="shared" si="4"/>
        <v>3.6</v>
      </c>
      <c r="W24" s="1338">
        <f>IF(SUM(T24:T25)=0,"",AVERAGE(T24:T25))</f>
        <v>1.5</v>
      </c>
      <c r="AF24" s="1462"/>
      <c r="AG24" s="1463"/>
      <c r="AH24" s="1464"/>
      <c r="AI24" s="1465"/>
      <c r="AJ24" s="1466"/>
      <c r="AK24" s="1467" t="str">
        <f t="shared" ref="AK24:AK31" si="28">AS24</f>
        <v/>
      </c>
      <c r="AO24" s="1468"/>
      <c r="AP24" s="1469"/>
      <c r="AQ24" s="1470"/>
      <c r="AR24" s="1412" t="str">
        <f>IF(AQ24="","",IF(AQ24=4,"",AQ24))</f>
        <v/>
      </c>
      <c r="AS24" s="1412" t="str">
        <f t="shared" ref="AS24:AS33" si="29">IF(AR24="","",IF(AR24=3,3,IF(AT24=TRUE,AR24+1,AR24)))</f>
        <v/>
      </c>
      <c r="AT24" s="1471" t="b">
        <v>0</v>
      </c>
      <c r="AW24" s="1382"/>
      <c r="AX24" s="1350"/>
      <c r="AY24" s="1351"/>
      <c r="AZ24" s="1971" t="s">
        <v>1424</v>
      </c>
      <c r="BA24" s="1352">
        <f>IFERROR(SUM(AK25:AK25)/BB24,"")</f>
        <v>0</v>
      </c>
      <c r="BB24" s="1353">
        <f>COUNTA(E24:E25)</f>
        <v>2</v>
      </c>
      <c r="BF24">
        <f t="shared" si="13"/>
        <v>0</v>
      </c>
      <c r="BG24" s="340"/>
    </row>
    <row r="25" spans="2:59" ht="16.2">
      <c r="B25" s="1369"/>
      <c r="C25" s="1967"/>
      <c r="D25" s="1968"/>
      <c r="E25" s="1330" t="s">
        <v>1429</v>
      </c>
      <c r="F25" s="1332" t="s">
        <v>1430</v>
      </c>
      <c r="G25" s="1333" t="s">
        <v>1431</v>
      </c>
      <c r="H25" s="1333" t="s">
        <v>1432</v>
      </c>
      <c r="I25" s="340">
        <f>スコア!P56</f>
        <v>3</v>
      </c>
      <c r="J25" s="340">
        <f t="shared" ref="J25" si="30">IF(I25&gt;=4,3,IF(I25&gt;=2,2,IF(I25=1,1,"")))</f>
        <v>2</v>
      </c>
      <c r="K25" s="340"/>
      <c r="L25" s="340"/>
      <c r="M25" s="340"/>
      <c r="N25" s="1370">
        <f>IF(SUM(J25)=0,"",ROUND(AVERAGE(J25),0))</f>
        <v>2</v>
      </c>
      <c r="O25" s="1335" t="str">
        <f t="shared" si="1"/>
        <v/>
      </c>
      <c r="P25" s="1335" t="str">
        <f t="shared" si="2"/>
        <v>●</v>
      </c>
      <c r="Q25" s="1335" t="str">
        <f t="shared" si="5"/>
        <v/>
      </c>
      <c r="R25" s="1336"/>
      <c r="S25" s="1333"/>
      <c r="T25" s="1337">
        <f t="shared" si="27"/>
        <v>2</v>
      </c>
      <c r="V25" s="1304">
        <f t="shared" si="4"/>
        <v>0</v>
      </c>
      <c r="AF25" s="1386" t="str">
        <f>IF(AR25=1,"●","")</f>
        <v/>
      </c>
      <c r="AG25" s="1387" t="str">
        <f>IF(AR25=2,"●","")</f>
        <v/>
      </c>
      <c r="AH25" s="1472" t="str">
        <f>IF(AR25=3,"●","")</f>
        <v/>
      </c>
      <c r="AI25" s="1428"/>
      <c r="AJ25" s="1473"/>
      <c r="AK25" s="1474" t="str">
        <f t="shared" si="28"/>
        <v/>
      </c>
      <c r="AO25" s="1397"/>
      <c r="AP25" s="1398"/>
      <c r="AQ25" s="1456"/>
      <c r="AR25" s="1400" t="str">
        <f>IF(AQ25="","",IF(AQ25&lt;=AQ$7,1,IF(AQ25&lt;AS$7,2,IF(AQ25&gt;=AS$7,3,""))))</f>
        <v/>
      </c>
      <c r="AS25" s="1400" t="str">
        <f t="shared" si="29"/>
        <v/>
      </c>
      <c r="AT25" s="1401"/>
      <c r="AW25" s="1382"/>
      <c r="AX25" s="1350"/>
      <c r="AY25" s="1351"/>
      <c r="AZ25" s="1976"/>
      <c r="BA25" s="1476"/>
      <c r="BB25" s="1477"/>
      <c r="BF25" t="str">
        <f t="shared" si="13"/>
        <v>Q2.3.1「健康増進施設」</v>
      </c>
      <c r="BG25" s="340" t="str">
        <f>スコア!BN56</f>
        <v>2.3.1 健康増進施設</v>
      </c>
    </row>
    <row r="26" spans="2:59" ht="64.8">
      <c r="B26" s="2001" t="s">
        <v>1433</v>
      </c>
      <c r="C26" s="1967" t="s">
        <v>1434</v>
      </c>
      <c r="D26" s="1968" t="s">
        <v>1435</v>
      </c>
      <c r="E26" s="1330" t="s">
        <v>1436</v>
      </c>
      <c r="F26" s="1332" t="s">
        <v>1437</v>
      </c>
      <c r="G26" s="1333" t="s">
        <v>1438</v>
      </c>
      <c r="H26" s="1333"/>
      <c r="I26" s="340"/>
      <c r="J26" s="340"/>
      <c r="K26" s="340">
        <v>1</v>
      </c>
      <c r="L26" s="340">
        <v>2</v>
      </c>
      <c r="M26" s="340">
        <v>3</v>
      </c>
      <c r="N26" s="1334">
        <v>1</v>
      </c>
      <c r="O26" s="1335" t="str">
        <f t="shared" si="1"/>
        <v>●</v>
      </c>
      <c r="P26" s="1335" t="str">
        <f t="shared" si="2"/>
        <v/>
      </c>
      <c r="Q26" s="1335" t="str">
        <f t="shared" si="5"/>
        <v/>
      </c>
      <c r="R26" s="1355"/>
      <c r="S26" s="1333"/>
      <c r="T26" s="1337">
        <f t="shared" si="27"/>
        <v>1</v>
      </c>
      <c r="V26" s="1304" t="str">
        <f t="shared" si="4"/>
        <v>4.1</v>
      </c>
      <c r="W26" s="1338">
        <f>IF(SUM(T26:T27)=0,"",AVERAGE(T26:T27))</f>
        <v>1</v>
      </c>
      <c r="X26" s="1338">
        <f>IF(SUM(W26:W31)=0,"",AVERAGE(W26:W31))</f>
        <v>1.3333333333333333</v>
      </c>
      <c r="AF26" s="1478"/>
      <c r="AG26" s="1479"/>
      <c r="AH26" s="1480"/>
      <c r="AI26" s="1481"/>
      <c r="AJ26" s="1420"/>
      <c r="AK26" s="1482" t="str">
        <f t="shared" si="28"/>
        <v/>
      </c>
      <c r="AO26" s="1483"/>
      <c r="AP26" s="1484"/>
      <c r="AQ26" s="1485"/>
      <c r="AR26" s="1380" t="str">
        <f>IF(AQ26="","",IF(AQ26=4,"",AQ26))</f>
        <v/>
      </c>
      <c r="AS26" s="1380" t="str">
        <f t="shared" si="29"/>
        <v/>
      </c>
      <c r="AT26" s="1486" t="b">
        <v>0</v>
      </c>
      <c r="AW26" s="2003"/>
      <c r="AX26" s="1350">
        <f>IFERROR(SUM(BA26:BA29)/AY26,"")</f>
        <v>0</v>
      </c>
      <c r="AY26" s="1351">
        <f>COUNTA(BB26:BB29)</f>
        <v>2</v>
      </c>
      <c r="AZ26" s="1969" t="s">
        <v>1434</v>
      </c>
      <c r="BA26" s="1368">
        <f>IFERROR(SUM(AK21:AK42)/BB26,"")</f>
        <v>0</v>
      </c>
      <c r="BB26" s="1351">
        <f>COUNTA(E26:E27)</f>
        <v>2</v>
      </c>
      <c r="BF26">
        <f t="shared" si="13"/>
        <v>0</v>
      </c>
      <c r="BG26" s="340"/>
    </row>
    <row r="27" spans="2:59" ht="68.400000000000006" customHeight="1">
      <c r="B27" s="2002"/>
      <c r="C27" s="1967"/>
      <c r="D27" s="1968"/>
      <c r="E27" s="1330" t="s">
        <v>1439</v>
      </c>
      <c r="F27" s="1332" t="s">
        <v>1440</v>
      </c>
      <c r="G27" s="1333" t="s">
        <v>1441</v>
      </c>
      <c r="H27" s="1333"/>
      <c r="I27" s="340"/>
      <c r="J27" s="340"/>
      <c r="K27" s="340">
        <v>1</v>
      </c>
      <c r="L27" s="340">
        <v>2</v>
      </c>
      <c r="M27" s="340">
        <v>3</v>
      </c>
      <c r="N27" s="1334">
        <v>1</v>
      </c>
      <c r="O27" s="1335" t="str">
        <f t="shared" si="1"/>
        <v>●</v>
      </c>
      <c r="P27" s="1335" t="str">
        <f t="shared" si="2"/>
        <v/>
      </c>
      <c r="Q27" s="1335" t="str">
        <f t="shared" si="5"/>
        <v/>
      </c>
      <c r="R27" s="1355"/>
      <c r="S27" s="1333"/>
      <c r="T27" s="1337">
        <f t="shared" si="27"/>
        <v>1</v>
      </c>
      <c r="V27" s="1304">
        <f t="shared" si="4"/>
        <v>0</v>
      </c>
      <c r="AF27" s="1462"/>
      <c r="AG27" s="1487"/>
      <c r="AH27" s="1464"/>
      <c r="AI27" s="1465"/>
      <c r="AJ27" s="1466"/>
      <c r="AK27" s="1467" t="str">
        <f t="shared" si="28"/>
        <v/>
      </c>
      <c r="AO27" s="1488"/>
      <c r="AP27" s="1489"/>
      <c r="AQ27" s="1490"/>
      <c r="AR27" s="1348" t="str">
        <f>IF(AQ27="","",IF(AQ27=4,"",AQ27))</f>
        <v/>
      </c>
      <c r="AS27" s="1348" t="str">
        <f t="shared" si="29"/>
        <v/>
      </c>
      <c r="AT27" s="1491" t="b">
        <v>0</v>
      </c>
      <c r="AW27" s="2003"/>
      <c r="AX27" s="1350"/>
      <c r="AY27" s="1351"/>
      <c r="AZ27" s="1969"/>
      <c r="BA27" s="1368"/>
      <c r="BB27" s="1351"/>
      <c r="BF27">
        <f t="shared" si="13"/>
        <v>0</v>
      </c>
      <c r="BG27" s="340"/>
    </row>
    <row r="28" spans="2:59" ht="58.8" customHeight="1">
      <c r="B28" s="1492"/>
      <c r="C28" s="1967" t="s">
        <v>1442</v>
      </c>
      <c r="D28" s="1968" t="s">
        <v>1443</v>
      </c>
      <c r="E28" s="1330" t="s">
        <v>1444</v>
      </c>
      <c r="F28" s="1332" t="s">
        <v>1445</v>
      </c>
      <c r="G28" s="1333" t="s">
        <v>1446</v>
      </c>
      <c r="H28" s="1333"/>
      <c r="I28" s="340"/>
      <c r="J28" s="340"/>
      <c r="K28" s="340">
        <v>1</v>
      </c>
      <c r="L28" s="340">
        <v>2</v>
      </c>
      <c r="M28" s="340">
        <v>3</v>
      </c>
      <c r="N28" s="1334">
        <v>1</v>
      </c>
      <c r="O28" s="1335" t="str">
        <f t="shared" si="1"/>
        <v>●</v>
      </c>
      <c r="P28" s="1335" t="str">
        <f t="shared" si="2"/>
        <v/>
      </c>
      <c r="Q28" s="1335" t="str">
        <f t="shared" si="5"/>
        <v/>
      </c>
      <c r="R28" s="1355"/>
      <c r="S28" s="1333"/>
      <c r="T28" s="1337">
        <f t="shared" si="27"/>
        <v>1</v>
      </c>
      <c r="V28" s="1304" t="str">
        <f t="shared" si="4"/>
        <v>4.2</v>
      </c>
      <c r="W28" s="1338">
        <f>IF(SUM(T28:T29)=0,"",AVERAGE(T28:T29))</f>
        <v>2</v>
      </c>
      <c r="AF28" s="1462"/>
      <c r="AG28" s="1463"/>
      <c r="AH28" s="1464"/>
      <c r="AI28" s="1419"/>
      <c r="AJ28" s="1343"/>
      <c r="AK28" s="1467" t="str">
        <f t="shared" si="28"/>
        <v/>
      </c>
      <c r="AO28" s="1468"/>
      <c r="AP28" s="1469"/>
      <c r="AQ28" s="1470"/>
      <c r="AR28" s="1412" t="str">
        <f>IF(AQ28="","",IF(AQ28=4,"",AQ28))</f>
        <v/>
      </c>
      <c r="AS28" s="1412" t="str">
        <f t="shared" si="29"/>
        <v/>
      </c>
      <c r="AT28" s="1471"/>
      <c r="AW28" s="1493"/>
      <c r="AX28" s="1350"/>
      <c r="AY28" s="1351"/>
      <c r="AZ28" s="1971" t="s">
        <v>1442</v>
      </c>
      <c r="BA28" s="1352">
        <f>IFERROR(SUM(AK17:AK30)/BB28,"")</f>
        <v>0</v>
      </c>
      <c r="BB28" s="1353">
        <f>COUNTA(E28:E29)</f>
        <v>2</v>
      </c>
      <c r="BF28">
        <f t="shared" si="13"/>
        <v>0</v>
      </c>
      <c r="BG28" s="340"/>
    </row>
    <row r="29" spans="2:59" ht="21.6">
      <c r="B29" s="1492"/>
      <c r="C29" s="1967"/>
      <c r="D29" s="1968"/>
      <c r="E29" s="1330" t="s">
        <v>1447</v>
      </c>
      <c r="F29" s="1333" t="s">
        <v>1448</v>
      </c>
      <c r="G29" s="1333" t="s">
        <v>1449</v>
      </c>
      <c r="H29" s="1333" t="s">
        <v>1450</v>
      </c>
      <c r="I29" s="340">
        <f>スコア!P89</f>
        <v>4</v>
      </c>
      <c r="J29" s="340">
        <f t="shared" ref="J29" si="31">IF(I29&gt;=4,3,IF(I29&gt;=2,2,IF(I29=1,1,"")))</f>
        <v>3</v>
      </c>
      <c r="K29" s="340"/>
      <c r="L29" s="340"/>
      <c r="M29" s="340"/>
      <c r="N29" s="1370">
        <f>IF(SUM(J29)=0,"",ROUND(AVERAGE(J29),0))</f>
        <v>3</v>
      </c>
      <c r="O29" s="1335" t="str">
        <f t="shared" si="1"/>
        <v/>
      </c>
      <c r="P29" s="1335" t="str">
        <f t="shared" si="2"/>
        <v/>
      </c>
      <c r="Q29" s="1335" t="str">
        <f t="shared" si="5"/>
        <v>●</v>
      </c>
      <c r="R29" s="1336"/>
      <c r="S29" s="1333"/>
      <c r="T29" s="1337">
        <f t="shared" si="27"/>
        <v>3</v>
      </c>
      <c r="V29" s="1304">
        <f t="shared" si="4"/>
        <v>0</v>
      </c>
      <c r="AF29" s="1439" t="str">
        <f t="shared" ref="AF29" si="32">IF(AR29=1,"●","")</f>
        <v/>
      </c>
      <c r="AG29" s="1494" t="str">
        <f t="shared" ref="AG29" si="33">IF(AR29=2,"●","")</f>
        <v/>
      </c>
      <c r="AH29" s="1494" t="str">
        <f t="shared" ref="AH29" si="34">IF(AR29=3,"●","")</f>
        <v/>
      </c>
      <c r="AI29" s="1442"/>
      <c r="AJ29" s="1495"/>
      <c r="AK29" s="1444" t="str">
        <f t="shared" si="28"/>
        <v/>
      </c>
      <c r="AO29" s="1377"/>
      <c r="AP29" s="1378"/>
      <c r="AQ29" s="1389"/>
      <c r="AR29" s="1380" t="str">
        <f>IF(AQ29="","",IF(AQ29&lt;=AQ$7,1,IF(AQ29&lt;AS$7,2,IF(AQ29&gt;=AS$7,3,""))))</f>
        <v/>
      </c>
      <c r="AS29" s="1380" t="str">
        <f t="shared" si="29"/>
        <v/>
      </c>
      <c r="AT29" s="1496"/>
      <c r="AW29" s="1493"/>
      <c r="AX29" s="1350"/>
      <c r="AY29" s="1351"/>
      <c r="AZ29" s="1969"/>
      <c r="BA29" s="1368"/>
      <c r="BB29" s="1351"/>
      <c r="BF29" t="str">
        <f t="shared" si="13"/>
        <v>Q3.2.2「学習機会」</v>
      </c>
      <c r="BG29" s="340" t="str">
        <f>スコア!BN89</f>
        <v>3.2.2 学習機会</v>
      </c>
    </row>
    <row r="30" spans="2:59" ht="64.8">
      <c r="B30" s="1492"/>
      <c r="C30" s="1958" t="s">
        <v>1451</v>
      </c>
      <c r="D30" s="1958" t="s">
        <v>1452</v>
      </c>
      <c r="E30" s="1330" t="s">
        <v>1453</v>
      </c>
      <c r="F30" s="1333" t="s">
        <v>1454</v>
      </c>
      <c r="G30" s="1333" t="s">
        <v>1966</v>
      </c>
      <c r="H30" s="1333"/>
      <c r="I30" s="340"/>
      <c r="J30" s="340"/>
      <c r="K30" s="340">
        <v>1</v>
      </c>
      <c r="L30" s="340" t="s">
        <v>311</v>
      </c>
      <c r="M30" s="340">
        <v>3</v>
      </c>
      <c r="N30" s="1334">
        <v>1</v>
      </c>
      <c r="O30" s="1335" t="str">
        <f t="shared" si="1"/>
        <v>●</v>
      </c>
      <c r="P30" s="1335" t="str">
        <f t="shared" si="2"/>
        <v/>
      </c>
      <c r="Q30" s="1335" t="str">
        <f t="shared" si="5"/>
        <v/>
      </c>
      <c r="R30" s="1355"/>
      <c r="S30" s="1334"/>
      <c r="T30" s="1337">
        <f t="shared" si="27"/>
        <v>1</v>
      </c>
      <c r="V30" s="1304" t="str">
        <f t="shared" si="4"/>
        <v>4.3</v>
      </c>
      <c r="W30" s="1338">
        <f>IF(SUM(T30:T31)=0,"",AVERAGE(T30:T31))</f>
        <v>1</v>
      </c>
      <c r="AF30" s="1497"/>
      <c r="AG30" s="1464"/>
      <c r="AH30" s="1464"/>
      <c r="AI30" s="1465"/>
      <c r="AJ30" s="1466"/>
      <c r="AK30" s="1498" t="str">
        <f t="shared" si="28"/>
        <v/>
      </c>
      <c r="AO30" s="1431"/>
      <c r="AP30" s="312"/>
      <c r="AQ30" s="1432"/>
      <c r="AR30" s="1451" t="str">
        <f>IF(AQ30="","",IF(AQ30=4,"",AQ30))</f>
        <v/>
      </c>
      <c r="AS30" s="1451" t="str">
        <f t="shared" si="29"/>
        <v/>
      </c>
      <c r="AT30" s="1499"/>
      <c r="AW30" s="1493"/>
      <c r="AX30" s="1350"/>
      <c r="AY30" s="1351"/>
      <c r="AZ30" s="1367"/>
      <c r="BA30" s="1368"/>
      <c r="BB30" s="1351"/>
      <c r="BF30">
        <f t="shared" si="13"/>
        <v>0</v>
      </c>
      <c r="BG30" s="340"/>
    </row>
    <row r="31" spans="2:59" ht="75.599999999999994">
      <c r="B31" s="1492"/>
      <c r="C31" s="1960"/>
      <c r="D31" s="1960"/>
      <c r="E31" s="1330" t="s">
        <v>1455</v>
      </c>
      <c r="F31" s="1333" t="s">
        <v>1456</v>
      </c>
      <c r="G31" s="1333" t="s">
        <v>1967</v>
      </c>
      <c r="H31" s="1333"/>
      <c r="I31" s="340"/>
      <c r="J31" s="340"/>
      <c r="K31" s="340">
        <v>1</v>
      </c>
      <c r="L31" s="340" t="s">
        <v>311</v>
      </c>
      <c r="M31" s="340">
        <v>3</v>
      </c>
      <c r="N31" s="1334">
        <v>1</v>
      </c>
      <c r="O31" s="1335" t="str">
        <f t="shared" si="1"/>
        <v>●</v>
      </c>
      <c r="P31" s="1335" t="str">
        <f t="shared" si="2"/>
        <v/>
      </c>
      <c r="Q31" s="1335" t="str">
        <f t="shared" si="5"/>
        <v/>
      </c>
      <c r="R31" s="1355"/>
      <c r="S31" s="1334"/>
      <c r="T31" s="1337">
        <f t="shared" si="27"/>
        <v>1</v>
      </c>
      <c r="V31" s="1304">
        <f t="shared" si="4"/>
        <v>0</v>
      </c>
      <c r="AF31" s="1500"/>
      <c r="AG31" s="1427"/>
      <c r="AH31" s="1501"/>
      <c r="AI31" s="1481"/>
      <c r="AJ31" s="1420"/>
      <c r="AK31" s="1502" t="str">
        <f t="shared" si="28"/>
        <v/>
      </c>
      <c r="AO31" s="1483"/>
      <c r="AP31" s="1484"/>
      <c r="AQ31" s="1485"/>
      <c r="AR31" s="1380" t="str">
        <f>IF(AQ31="","",IF(AQ31=4,"",AQ31))</f>
        <v/>
      </c>
      <c r="AS31" s="1380" t="str">
        <f t="shared" si="29"/>
        <v/>
      </c>
      <c r="AT31" s="1486"/>
      <c r="AW31" s="1493"/>
      <c r="AX31" s="1350"/>
      <c r="AY31" s="1351"/>
      <c r="AZ31" s="1367"/>
      <c r="BA31" s="1368"/>
      <c r="BB31" s="1351"/>
      <c r="BF31">
        <f t="shared" si="13"/>
        <v>0</v>
      </c>
      <c r="BG31" s="340"/>
    </row>
    <row r="32" spans="2:59" ht="21.6">
      <c r="B32" s="1997" t="s">
        <v>1457</v>
      </c>
      <c r="C32" s="1958" t="s">
        <v>1458</v>
      </c>
      <c r="D32" s="1958" t="s">
        <v>1459</v>
      </c>
      <c r="E32" s="1330" t="s">
        <v>1460</v>
      </c>
      <c r="F32" s="1332" t="s">
        <v>1461</v>
      </c>
      <c r="G32" s="1333" t="s">
        <v>1462</v>
      </c>
      <c r="H32" s="1333" t="s">
        <v>1392</v>
      </c>
      <c r="I32" s="340">
        <f>スコア!P71</f>
        <v>3</v>
      </c>
      <c r="J32" s="340">
        <f t="shared" ref="J32" si="35">IF(I32&gt;=4,3,IF(I32&gt;=2,2,IF(I32=1,1,"")))</f>
        <v>2</v>
      </c>
      <c r="K32" s="340"/>
      <c r="L32" s="340"/>
      <c r="M32" s="340"/>
      <c r="N32" s="1370">
        <f>IF(SUM(J32)=0,"",ROUND(AVERAGE(J32),0))</f>
        <v>2</v>
      </c>
      <c r="O32" s="1335" t="str">
        <f t="shared" si="1"/>
        <v/>
      </c>
      <c r="P32" s="1335" t="str">
        <f t="shared" si="2"/>
        <v>●</v>
      </c>
      <c r="Q32" s="1335" t="str">
        <f t="shared" si="5"/>
        <v/>
      </c>
      <c r="R32" s="1336"/>
      <c r="S32" s="1333"/>
      <c r="T32" s="1337">
        <f t="shared" si="27"/>
        <v>2</v>
      </c>
      <c r="V32" s="1304" t="str">
        <f t="shared" si="4"/>
        <v>5.1</v>
      </c>
      <c r="W32" s="1338">
        <f>IF(SUM(T32:T34)=0,"",AVERAGE(T32:T34))</f>
        <v>1.6666666666666667</v>
      </c>
      <c r="X32" s="1338">
        <f>IF(SUM(W32:W36)=0,"",AVERAGE(W32:W36))</f>
        <v>1.2222222222222223</v>
      </c>
      <c r="AF32" s="1503" t="str">
        <f>IF(AR32=1,"●","")</f>
        <v/>
      </c>
      <c r="AG32" s="1504" t="str">
        <f>IF(AR32=2,"●","")</f>
        <v/>
      </c>
      <c r="AH32" s="1504" t="str">
        <f>IF(AR32=3,"●","")</f>
        <v/>
      </c>
      <c r="AI32" s="1428"/>
      <c r="AJ32" s="1429"/>
      <c r="AK32" s="1474" t="str">
        <f t="shared" si="10"/>
        <v/>
      </c>
      <c r="AO32" s="1377"/>
      <c r="AP32" s="1378"/>
      <c r="AQ32" s="1389"/>
      <c r="AR32" s="1380" t="str">
        <f t="shared" ref="AR32" si="36">IF(AQ32="","",IF(AQ32&lt;=AQ$7,1,IF(AQ32&lt;AS$7,2,IF(AQ32&gt;=AS$7,3,""))))</f>
        <v/>
      </c>
      <c r="AS32" s="1380" t="str">
        <f t="shared" si="29"/>
        <v/>
      </c>
      <c r="AT32" s="1505"/>
      <c r="AW32" s="1999"/>
      <c r="AX32" s="1506">
        <f>IFERROR(SUM(BA32:BA35)/AY32,"")</f>
        <v>0</v>
      </c>
      <c r="AY32" s="1353">
        <f>COUNTA(BB32:BB35)</f>
        <v>2</v>
      </c>
      <c r="AZ32" s="1971" t="s">
        <v>1458</v>
      </c>
      <c r="BA32" s="1352">
        <f>IFERROR(SUM(AK32:AK33)/BB32,"")</f>
        <v>0</v>
      </c>
      <c r="BB32" s="1353">
        <f>COUNTA(E32:E33)</f>
        <v>2</v>
      </c>
      <c r="BF32" t="str">
        <f t="shared" si="13"/>
        <v>Q2.5.3「ユニバーサルデザイン」</v>
      </c>
      <c r="BG32" s="340" t="str">
        <f>スコア!BN71</f>
        <v>2.5.3 ユニバーサルデザイン</v>
      </c>
    </row>
    <row r="33" spans="2:60" ht="43.2">
      <c r="B33" s="1998"/>
      <c r="C33" s="1995"/>
      <c r="D33" s="1995"/>
      <c r="E33" s="1330" t="s">
        <v>1463</v>
      </c>
      <c r="F33" s="1333" t="s">
        <v>1464</v>
      </c>
      <c r="G33" s="1333" t="s">
        <v>1968</v>
      </c>
      <c r="H33" s="1333"/>
      <c r="I33" s="340"/>
      <c r="J33" s="340"/>
      <c r="K33" s="340">
        <v>1</v>
      </c>
      <c r="L33" s="340" t="s">
        <v>311</v>
      </c>
      <c r="M33" s="340">
        <v>3</v>
      </c>
      <c r="N33" s="1334">
        <v>1</v>
      </c>
      <c r="O33" s="1335" t="str">
        <f t="shared" si="1"/>
        <v>●</v>
      </c>
      <c r="P33" s="1335" t="str">
        <f t="shared" si="2"/>
        <v/>
      </c>
      <c r="Q33" s="1335" t="str">
        <f t="shared" si="5"/>
        <v/>
      </c>
      <c r="R33" s="1355"/>
      <c r="S33" s="1333"/>
      <c r="T33" s="1337">
        <f t="shared" si="27"/>
        <v>1</v>
      </c>
      <c r="V33" s="1304">
        <f t="shared" si="4"/>
        <v>0</v>
      </c>
      <c r="AF33" s="1507"/>
      <c r="AG33" s="1508"/>
      <c r="AH33" s="1508"/>
      <c r="AI33" s="1394"/>
      <c r="AJ33" s="1509"/>
      <c r="AK33" s="1498" t="str">
        <f t="shared" si="10"/>
        <v/>
      </c>
      <c r="AO33" s="1345"/>
      <c r="AP33" s="1346"/>
      <c r="AQ33" s="1347"/>
      <c r="AR33" s="1348" t="str">
        <f>IF(AQ33="","",IF(AQ33=4,"",AQ33))</f>
        <v/>
      </c>
      <c r="AS33" s="1348" t="str">
        <f t="shared" si="29"/>
        <v/>
      </c>
      <c r="AT33" s="1349"/>
      <c r="AW33" s="2000"/>
      <c r="AX33" s="1350"/>
      <c r="AY33" s="1351"/>
      <c r="AZ33" s="1976"/>
      <c r="BA33" s="1476"/>
      <c r="BB33" s="1477"/>
      <c r="BF33">
        <f t="shared" si="13"/>
        <v>0</v>
      </c>
      <c r="BG33" s="340"/>
    </row>
    <row r="34" spans="2:60" ht="21.6">
      <c r="B34" s="1511"/>
      <c r="C34" s="1960"/>
      <c r="D34" s="1960"/>
      <c r="E34" s="1330" t="s">
        <v>1465</v>
      </c>
      <c r="F34" s="1333" t="s">
        <v>1466</v>
      </c>
      <c r="G34" s="1333" t="s">
        <v>1467</v>
      </c>
      <c r="H34" s="1333" t="s">
        <v>1468</v>
      </c>
      <c r="I34" s="340">
        <f>スコア!P67</f>
        <v>3</v>
      </c>
      <c r="J34" s="340">
        <f t="shared" ref="J34" si="37">IF(I34&gt;=4,3,IF(I34&gt;=2,2,IF(I34=1,1,"")))</f>
        <v>2</v>
      </c>
      <c r="K34" s="340"/>
      <c r="L34" s="340"/>
      <c r="M34" s="340"/>
      <c r="N34" s="1370">
        <f>IF(SUM(J34)=0,"",ROUND(AVERAGE(J34),0))</f>
        <v>2</v>
      </c>
      <c r="O34" s="1335" t="str">
        <f t="shared" si="1"/>
        <v/>
      </c>
      <c r="P34" s="1335" t="str">
        <f t="shared" si="2"/>
        <v>●</v>
      </c>
      <c r="Q34" s="1335" t="str">
        <f t="shared" si="5"/>
        <v/>
      </c>
      <c r="R34" s="1336"/>
      <c r="S34" s="1333"/>
      <c r="T34" s="1337">
        <f t="shared" si="27"/>
        <v>2</v>
      </c>
      <c r="V34" s="1304">
        <f t="shared" si="4"/>
        <v>0</v>
      </c>
      <c r="AF34" s="1503"/>
      <c r="AG34" s="1504" t="str">
        <f>IF(AR34=2,"●","")</f>
        <v/>
      </c>
      <c r="AH34" s="1504"/>
      <c r="AI34" s="1481"/>
      <c r="AJ34" s="1512"/>
      <c r="AK34" s="1396" t="str">
        <f>AS34</f>
        <v/>
      </c>
      <c r="AO34" s="1452"/>
      <c r="AP34" s="1453"/>
      <c r="AQ34" s="1454"/>
      <c r="AR34" s="1433" t="str">
        <f>IF(AQ34="","",IF(AQ34&lt;=AQ$7,1,IF(AQ34&lt;AS$7,2,IF(AQ34&gt;=AS$7,3,""))))</f>
        <v/>
      </c>
      <c r="AS34" s="1433" t="str">
        <f>IF(AR34="","",IF(AR34=3,3,IF(AT34=TRUE,AR34+1,AR34)))</f>
        <v/>
      </c>
      <c r="AT34" s="1505"/>
      <c r="AW34" s="1510"/>
      <c r="AX34" s="1350"/>
      <c r="AY34" s="1351"/>
      <c r="AZ34" s="1367"/>
      <c r="BA34" s="1368"/>
      <c r="BB34" s="1351"/>
      <c r="BF34" t="str">
        <f t="shared" si="13"/>
        <v>Q2.4.4「防犯」</v>
      </c>
      <c r="BG34" s="340" t="str">
        <f>スコア!BN67</f>
        <v>2.4.4 防犯</v>
      </c>
    </row>
    <row r="35" spans="2:60" ht="54">
      <c r="B35" s="1513"/>
      <c r="C35" s="1330" t="s">
        <v>1469</v>
      </c>
      <c r="D35" s="1331" t="s">
        <v>1470</v>
      </c>
      <c r="E35" s="1330" t="s">
        <v>1471</v>
      </c>
      <c r="F35" s="1332" t="s">
        <v>1472</v>
      </c>
      <c r="G35" s="1333" t="s">
        <v>1969</v>
      </c>
      <c r="H35" s="1333"/>
      <c r="I35" s="340"/>
      <c r="J35" s="340"/>
      <c r="K35" s="340">
        <v>1</v>
      </c>
      <c r="L35" s="340" t="s">
        <v>311</v>
      </c>
      <c r="M35" s="340">
        <v>3</v>
      </c>
      <c r="N35" s="1334">
        <v>1</v>
      </c>
      <c r="O35" s="1335" t="str">
        <f t="shared" si="1"/>
        <v>●</v>
      </c>
      <c r="P35" s="1335" t="str">
        <f t="shared" si="2"/>
        <v/>
      </c>
      <c r="Q35" s="1335" t="str">
        <f t="shared" si="5"/>
        <v/>
      </c>
      <c r="R35" s="1355"/>
      <c r="S35" s="1333"/>
      <c r="T35" s="1337">
        <f t="shared" si="3"/>
        <v>1</v>
      </c>
      <c r="V35" s="1304" t="str">
        <f t="shared" ref="V35:V66" si="38">C35</f>
        <v>5.2</v>
      </c>
      <c r="W35" s="1338">
        <f>IF(SUM(T35)=0,"",AVERAGE(T35))</f>
        <v>1</v>
      </c>
      <c r="AF35" s="1462"/>
      <c r="AG35" s="1487"/>
      <c r="AH35" s="1464"/>
      <c r="AI35" s="1465"/>
      <c r="AJ35" s="1466"/>
      <c r="AK35" s="1467" t="str">
        <f>AS35</f>
        <v/>
      </c>
      <c r="AO35" s="1488"/>
      <c r="AP35" s="1489"/>
      <c r="AQ35" s="1490"/>
      <c r="AR35" s="1348" t="str">
        <f>IF(AQ35="","",IF(AQ35=4,"",AQ35))</f>
        <v/>
      </c>
      <c r="AS35" s="1348" t="str">
        <f>IF(AR35="","",IF(AR35=3,3,IF(AT35=TRUE,AR35+1,AR35)))</f>
        <v/>
      </c>
      <c r="AT35" s="1491"/>
      <c r="AW35" s="1514"/>
      <c r="AX35" s="1350"/>
      <c r="AY35" s="1351"/>
      <c r="AZ35" s="1515" t="s">
        <v>1469</v>
      </c>
      <c r="BA35" s="1352">
        <f>IFERROR(SUM(AK34:AK36)/BB35,"")</f>
        <v>0</v>
      </c>
      <c r="BB35" s="1353">
        <f>COUNTA(E35:E35)</f>
        <v>1</v>
      </c>
      <c r="BF35">
        <f t="shared" si="13"/>
        <v>0</v>
      </c>
      <c r="BG35" s="340"/>
    </row>
    <row r="36" spans="2:60" ht="54">
      <c r="B36" s="1516"/>
      <c r="C36" s="1330" t="s">
        <v>1473</v>
      </c>
      <c r="D36" s="1331" t="s">
        <v>1474</v>
      </c>
      <c r="E36" s="1330" t="s">
        <v>1475</v>
      </c>
      <c r="F36" s="1333" t="s">
        <v>1476</v>
      </c>
      <c r="G36" s="1333" t="s">
        <v>1970</v>
      </c>
      <c r="H36" s="1333"/>
      <c r="I36" s="340"/>
      <c r="J36" s="340"/>
      <c r="K36" s="340">
        <v>1</v>
      </c>
      <c r="L36" s="340" t="s">
        <v>311</v>
      </c>
      <c r="M36" s="340">
        <v>3</v>
      </c>
      <c r="N36" s="1334">
        <v>1</v>
      </c>
      <c r="O36" s="1335" t="str">
        <f t="shared" si="1"/>
        <v>●</v>
      </c>
      <c r="P36" s="1335" t="str">
        <f t="shared" si="2"/>
        <v/>
      </c>
      <c r="Q36" s="1335" t="str">
        <f t="shared" si="5"/>
        <v/>
      </c>
      <c r="R36" s="1355"/>
      <c r="S36" s="1333"/>
      <c r="T36" s="1337">
        <f t="shared" si="3"/>
        <v>1</v>
      </c>
      <c r="V36" s="1304" t="str">
        <f t="shared" si="38"/>
        <v>5.3</v>
      </c>
      <c r="W36" s="1338">
        <f>IF(SUM(T36)=0,"",AVERAGE(T36))</f>
        <v>1</v>
      </c>
      <c r="AF36" s="1497"/>
      <c r="AG36" s="1464"/>
      <c r="AH36" s="1464"/>
      <c r="AI36" s="1465"/>
      <c r="AJ36" s="1517"/>
      <c r="AK36" s="1498" t="str">
        <f>AS36</f>
        <v/>
      </c>
      <c r="AO36" s="1345"/>
      <c r="AP36" s="1346"/>
      <c r="AQ36" s="1347"/>
      <c r="AR36" s="1348" t="str">
        <f>IF(AQ36="","",IF(AQ36=4,"",AQ36))</f>
        <v/>
      </c>
      <c r="AS36" s="1348" t="str">
        <f>IF(AR36="","",IF(AR36=3,3,IF(AT36=TRUE,AR36+1,AR36)))</f>
        <v/>
      </c>
      <c r="AT36" s="1349"/>
      <c r="AW36" s="1514"/>
      <c r="AX36" s="1350"/>
      <c r="AY36" s="1351"/>
      <c r="AZ36" s="1518"/>
      <c r="BA36" s="1368"/>
      <c r="BB36" s="1351"/>
      <c r="BF36">
        <f t="shared" si="13"/>
        <v>0</v>
      </c>
      <c r="BG36" s="340"/>
    </row>
    <row r="37" spans="2:60" ht="21.6">
      <c r="B37" s="1991" t="s">
        <v>1477</v>
      </c>
      <c r="C37" s="1992" t="s">
        <v>1478</v>
      </c>
      <c r="D37" s="1958" t="s">
        <v>1479</v>
      </c>
      <c r="E37" s="1330" t="s">
        <v>1480</v>
      </c>
      <c r="F37" s="1332" t="s">
        <v>1481</v>
      </c>
      <c r="G37" s="1333" t="s">
        <v>1482</v>
      </c>
      <c r="H37" s="1333" t="s">
        <v>1483</v>
      </c>
      <c r="I37" s="340">
        <f>スコア!P113</f>
        <v>3</v>
      </c>
      <c r="J37" s="340">
        <f t="shared" ref="J37:J46" si="39">IF(I37&gt;=4,3,IF(I37&gt;=2,2,IF(I37=1,1,"")))</f>
        <v>2</v>
      </c>
      <c r="K37" s="340"/>
      <c r="L37" s="340"/>
      <c r="M37" s="340"/>
      <c r="N37" s="1370">
        <f t="shared" ref="N37:N46" si="40">IF(SUM(J37)=0,"",ROUND(AVERAGE(J37),0))</f>
        <v>2</v>
      </c>
      <c r="O37" s="1335" t="str">
        <f t="shared" si="1"/>
        <v/>
      </c>
      <c r="P37" s="1335" t="str">
        <f t="shared" si="2"/>
        <v>●</v>
      </c>
      <c r="Q37" s="1335" t="str">
        <f t="shared" si="5"/>
        <v/>
      </c>
      <c r="R37" s="1336"/>
      <c r="S37" s="1333"/>
      <c r="T37" s="1337">
        <f t="shared" si="3"/>
        <v>2</v>
      </c>
      <c r="V37" s="1304" t="str">
        <f t="shared" si="38"/>
        <v>6.1</v>
      </c>
      <c r="W37" s="1338">
        <f>IF(SUM(T37:T39)=0,"",AVERAGE(T37:T39))</f>
        <v>2.3333333333333335</v>
      </c>
      <c r="X37" s="1338">
        <f>IF(SUM(W37:W52)=0,"",AVERAGE(W37:W52))</f>
        <v>1.4444444444444446</v>
      </c>
      <c r="AF37" s="1417" t="str">
        <f t="shared" ref="AF37:AF46" si="41">IF(AR37=1,"●","")</f>
        <v/>
      </c>
      <c r="AG37" s="1418" t="str">
        <f t="shared" ref="AG37:AG46" si="42">IF(AR37=2,"●","")</f>
        <v/>
      </c>
      <c r="AH37" s="1418" t="str">
        <f t="shared" ref="AH37:AH46" si="43">IF(AR37=3,"●","")</f>
        <v/>
      </c>
      <c r="AI37" s="1481"/>
      <c r="AJ37" s="1519"/>
      <c r="AK37" s="1520" t="str">
        <f t="shared" si="10"/>
        <v/>
      </c>
      <c r="AO37" s="1521"/>
      <c r="AP37" s="1522"/>
      <c r="AQ37" s="1523"/>
      <c r="AR37" s="1461" t="str">
        <f t="shared" ref="AR37:AR46" si="44">IF(AQ37="","",IF(AQ37&lt;=AQ$7,1,IF(AQ37&lt;AS$7,2,IF(AQ37&gt;=AS$7,3,""))))</f>
        <v/>
      </c>
      <c r="AS37" s="1461" t="str">
        <f t="shared" ref="AS37:AS53" si="45">IF(AR37="","",IF(AR37=3,3,IF(AT37=TRUE,AR37+1,AR37)))</f>
        <v/>
      </c>
      <c r="AT37" s="1381"/>
      <c r="AW37" s="1996"/>
      <c r="AX37" s="1506">
        <f>IFERROR(SUM(BA37:BA47)/AY37,"")</f>
        <v>0</v>
      </c>
      <c r="AY37" s="1353">
        <f>COUNTA(BB37:BB47)</f>
        <v>3</v>
      </c>
      <c r="AZ37" s="1971" t="s">
        <v>1478</v>
      </c>
      <c r="BA37" s="1352">
        <f>IFERROR(SUM(AK37:AK38)/BB37,"")</f>
        <v>0</v>
      </c>
      <c r="BB37" s="1353">
        <f>COUNTA(E37:E38)</f>
        <v>2</v>
      </c>
      <c r="BF37" t="str">
        <f t="shared" si="13"/>
        <v>LR2.2.1.1「節水」</v>
      </c>
      <c r="BG37" s="340" t="str">
        <f>スコア!BN113</f>
        <v>2.2.1.1 節水</v>
      </c>
    </row>
    <row r="38" spans="2:60" ht="21.6">
      <c r="B38" s="1991"/>
      <c r="C38" s="1993"/>
      <c r="D38" s="1995"/>
      <c r="E38" s="1330" t="s">
        <v>1484</v>
      </c>
      <c r="F38" s="1332" t="s">
        <v>1485</v>
      </c>
      <c r="G38" s="1333" t="s">
        <v>1486</v>
      </c>
      <c r="H38" s="1333" t="s">
        <v>1487</v>
      </c>
      <c r="I38" s="340">
        <f>スコア!P114</f>
        <v>4</v>
      </c>
      <c r="J38" s="340">
        <f t="shared" si="39"/>
        <v>3</v>
      </c>
      <c r="K38" s="340"/>
      <c r="L38" s="340"/>
      <c r="M38" s="340"/>
      <c r="N38" s="1370">
        <f t="shared" si="40"/>
        <v>3</v>
      </c>
      <c r="O38" s="1335" t="str">
        <f t="shared" si="1"/>
        <v/>
      </c>
      <c r="P38" s="1335" t="str">
        <f t="shared" si="2"/>
        <v/>
      </c>
      <c r="Q38" s="1335" t="str">
        <f t="shared" si="5"/>
        <v>●</v>
      </c>
      <c r="R38" s="1336"/>
      <c r="S38" s="1333"/>
      <c r="T38" s="1337">
        <f t="shared" si="3"/>
        <v>3</v>
      </c>
      <c r="V38" s="1304">
        <f t="shared" si="38"/>
        <v>0</v>
      </c>
      <c r="AF38" s="1525" t="str">
        <f t="shared" si="41"/>
        <v/>
      </c>
      <c r="AG38" s="1526" t="str">
        <f t="shared" si="42"/>
        <v/>
      </c>
      <c r="AH38" s="1526" t="str">
        <f t="shared" si="43"/>
        <v/>
      </c>
      <c r="AI38" s="1465"/>
      <c r="AJ38" s="1527"/>
      <c r="AK38" s="1498" t="str">
        <f t="shared" si="10"/>
        <v/>
      </c>
      <c r="AO38" s="1448"/>
      <c r="AP38" s="1449"/>
      <c r="AQ38" s="1450"/>
      <c r="AR38" s="1451" t="str">
        <f t="shared" si="44"/>
        <v/>
      </c>
      <c r="AS38" s="1451" t="str">
        <f t="shared" si="45"/>
        <v/>
      </c>
      <c r="AT38" s="1528"/>
      <c r="AW38" s="1996"/>
      <c r="AX38" s="1350"/>
      <c r="AY38" s="1351"/>
      <c r="AZ38" s="1976"/>
      <c r="BA38" s="1476"/>
      <c r="BB38" s="1477"/>
      <c r="BF38" t="str">
        <f t="shared" si="13"/>
        <v>LR2.2.1.2「雨水/井水利用」</v>
      </c>
      <c r="BG38" s="340" t="str">
        <f>スコア!BN114</f>
        <v>2.2.1.2 雨水/井水利用</v>
      </c>
    </row>
    <row r="39" spans="2:60" ht="16.2">
      <c r="B39" s="1529"/>
      <c r="C39" s="1994"/>
      <c r="D39" s="1970"/>
      <c r="E39" s="1330" t="s">
        <v>1488</v>
      </c>
      <c r="F39" s="1332" t="s">
        <v>1489</v>
      </c>
      <c r="G39" s="1333" t="s">
        <v>1490</v>
      </c>
      <c r="H39" s="1333" t="s">
        <v>1491</v>
      </c>
      <c r="I39" s="340">
        <f>スコア!P115</f>
        <v>3</v>
      </c>
      <c r="J39" s="340">
        <f t="shared" si="39"/>
        <v>2</v>
      </c>
      <c r="K39" s="340"/>
      <c r="L39" s="340"/>
      <c r="M39" s="340"/>
      <c r="N39" s="1370">
        <f t="shared" si="40"/>
        <v>2</v>
      </c>
      <c r="O39" s="1335" t="str">
        <f t="shared" si="1"/>
        <v/>
      </c>
      <c r="P39" s="1335" t="str">
        <f t="shared" si="2"/>
        <v>●</v>
      </c>
      <c r="Q39" s="1335" t="str">
        <f t="shared" si="5"/>
        <v/>
      </c>
      <c r="R39" s="1336"/>
      <c r="S39" s="1333"/>
      <c r="T39" s="1337">
        <f t="shared" si="3"/>
        <v>2</v>
      </c>
      <c r="V39" s="1304">
        <f t="shared" si="38"/>
        <v>0</v>
      </c>
      <c r="AF39" s="1439" t="str">
        <f t="shared" si="41"/>
        <v/>
      </c>
      <c r="AG39" s="1440" t="str">
        <f t="shared" si="42"/>
        <v/>
      </c>
      <c r="AH39" s="1441" t="str">
        <f t="shared" si="43"/>
        <v/>
      </c>
      <c r="AI39" s="1442"/>
      <c r="AJ39" s="1443"/>
      <c r="AK39" s="1444" t="str">
        <f t="shared" si="10"/>
        <v/>
      </c>
      <c r="AO39" s="1397"/>
      <c r="AP39" s="1398"/>
      <c r="AQ39" s="1399"/>
      <c r="AR39" s="1400" t="str">
        <f t="shared" si="44"/>
        <v/>
      </c>
      <c r="AS39" s="1400" t="str">
        <f t="shared" si="45"/>
        <v/>
      </c>
      <c r="AT39" s="1401" t="b">
        <v>0</v>
      </c>
      <c r="AW39" s="1524"/>
      <c r="AX39" s="1350"/>
      <c r="AY39" s="1351"/>
      <c r="AZ39" s="1475"/>
      <c r="BA39" s="1476"/>
      <c r="BB39" s="1477"/>
      <c r="BF39" t="str">
        <f t="shared" si="13"/>
        <v>LR2.2.1.3「中水利用」</v>
      </c>
      <c r="BG39" s="340" t="str">
        <f>スコア!BN115</f>
        <v>2.2.1.3 中水利用</v>
      </c>
    </row>
    <row r="40" spans="2:60" ht="21.6">
      <c r="B40" s="1530"/>
      <c r="C40" s="1992" t="s">
        <v>1492</v>
      </c>
      <c r="D40" s="1958" t="s">
        <v>1493</v>
      </c>
      <c r="E40" s="1330" t="s">
        <v>1494</v>
      </c>
      <c r="F40" s="1333" t="s">
        <v>1495</v>
      </c>
      <c r="G40" s="1333" t="s">
        <v>1496</v>
      </c>
      <c r="H40" s="1333" t="s">
        <v>1497</v>
      </c>
      <c r="I40" s="340">
        <f>スコア!P27</f>
        <v>3</v>
      </c>
      <c r="J40" s="340">
        <f t="shared" si="39"/>
        <v>2</v>
      </c>
      <c r="K40" s="340"/>
      <c r="L40" s="340"/>
      <c r="M40" s="340"/>
      <c r="N40" s="1370">
        <f t="shared" si="40"/>
        <v>2</v>
      </c>
      <c r="O40" s="1335" t="str">
        <f t="shared" si="1"/>
        <v/>
      </c>
      <c r="P40" s="1335" t="str">
        <f t="shared" si="2"/>
        <v>●</v>
      </c>
      <c r="Q40" s="1335" t="str">
        <f t="shared" si="5"/>
        <v/>
      </c>
      <c r="R40" s="1336"/>
      <c r="S40" s="1333"/>
      <c r="T40" s="1337">
        <f t="shared" si="3"/>
        <v>2</v>
      </c>
      <c r="V40" s="1304" t="str">
        <f t="shared" si="38"/>
        <v>6.2</v>
      </c>
      <c r="W40" s="1338">
        <f>IF(SUM(T40:T46)=0,"",AVERAGE(T40:T46))</f>
        <v>2</v>
      </c>
      <c r="AF40" s="1531" t="str">
        <f t="shared" si="41"/>
        <v/>
      </c>
      <c r="AG40" s="1532" t="str">
        <f t="shared" si="42"/>
        <v/>
      </c>
      <c r="AH40" s="1532" t="str">
        <f t="shared" si="43"/>
        <v/>
      </c>
      <c r="AI40" s="1419"/>
      <c r="AJ40" s="1533"/>
      <c r="AK40" s="1421" t="str">
        <f t="shared" si="10"/>
        <v/>
      </c>
      <c r="AO40" s="1397"/>
      <c r="AP40" s="1398"/>
      <c r="AQ40" s="1456"/>
      <c r="AR40" s="1400" t="str">
        <f t="shared" si="44"/>
        <v/>
      </c>
      <c r="AS40" s="1400" t="str">
        <f t="shared" si="45"/>
        <v/>
      </c>
      <c r="AT40" s="1401"/>
      <c r="AW40" s="1534"/>
      <c r="AX40" s="1350"/>
      <c r="AY40" s="1351"/>
      <c r="AZ40" s="1535" t="s">
        <v>1492</v>
      </c>
      <c r="BA40" s="1536">
        <f>IFERROR(SUM(AK28)/BB40,"")</f>
        <v>0</v>
      </c>
      <c r="BB40" s="1537">
        <f>COUNTA(E40)</f>
        <v>1</v>
      </c>
      <c r="BF40" t="str">
        <f t="shared" si="13"/>
        <v>Q1.2.1.1「地上部の水と緑」</v>
      </c>
      <c r="BG40" s="340" t="str">
        <f>スコア!BN27</f>
        <v>1.2.1.1 地上部の水と緑</v>
      </c>
    </row>
    <row r="41" spans="2:60" ht="21.6">
      <c r="B41" s="1530"/>
      <c r="C41" s="1993"/>
      <c r="D41" s="1995"/>
      <c r="E41" s="1330" t="s">
        <v>1498</v>
      </c>
      <c r="F41" s="1333" t="s">
        <v>1499</v>
      </c>
      <c r="G41" s="1333" t="s">
        <v>1500</v>
      </c>
      <c r="H41" s="1333" t="s">
        <v>1501</v>
      </c>
      <c r="I41" s="340">
        <f>スコア!P20</f>
        <v>3</v>
      </c>
      <c r="J41" s="340">
        <f t="shared" si="39"/>
        <v>2</v>
      </c>
      <c r="K41" s="340"/>
      <c r="L41" s="340"/>
      <c r="M41" s="340"/>
      <c r="N41" s="1370">
        <f t="shared" si="40"/>
        <v>2</v>
      </c>
      <c r="O41" s="1335" t="str">
        <f t="shared" si="1"/>
        <v/>
      </c>
      <c r="P41" s="1335" t="str">
        <f t="shared" si="2"/>
        <v>●</v>
      </c>
      <c r="Q41" s="1335" t="str">
        <f t="shared" si="5"/>
        <v/>
      </c>
      <c r="R41" s="1336"/>
      <c r="S41" s="1333"/>
      <c r="T41" s="1337">
        <f t="shared" si="3"/>
        <v>2</v>
      </c>
      <c r="V41" s="1304">
        <f t="shared" si="38"/>
        <v>0</v>
      </c>
      <c r="AF41" s="1391" t="str">
        <f t="shared" si="41"/>
        <v/>
      </c>
      <c r="AG41" s="1392" t="str">
        <f t="shared" si="42"/>
        <v/>
      </c>
      <c r="AH41" s="1392" t="str">
        <f t="shared" si="43"/>
        <v/>
      </c>
      <c r="AI41" s="1394"/>
      <c r="AJ41" s="1395"/>
      <c r="AK41" s="1396" t="str">
        <f t="shared" si="10"/>
        <v/>
      </c>
      <c r="AO41" s="1397"/>
      <c r="AP41" s="1398"/>
      <c r="AQ41" s="1456"/>
      <c r="AR41" s="1400" t="str">
        <f t="shared" si="44"/>
        <v/>
      </c>
      <c r="AS41" s="1400" t="str">
        <f t="shared" si="45"/>
        <v/>
      </c>
      <c r="AT41" s="1401"/>
      <c r="AW41" s="1534"/>
      <c r="AX41" s="1350"/>
      <c r="AY41" s="1351"/>
      <c r="AZ41" s="1535"/>
      <c r="BA41" s="1536"/>
      <c r="BB41" s="1537"/>
      <c r="BF41" t="str">
        <f t="shared" si="13"/>
        <v>Q1.1.2.2「生物の生息空間の質」3）「水辺」</v>
      </c>
      <c r="BG41" s="340" t="str">
        <f>スコア!BN20</f>
        <v>3）水辺</v>
      </c>
    </row>
    <row r="42" spans="2:60" ht="21.6">
      <c r="B42" s="1530"/>
      <c r="C42" s="1993"/>
      <c r="D42" s="1995"/>
      <c r="E42" s="1330" t="s">
        <v>1502</v>
      </c>
      <c r="F42" s="1333" t="s">
        <v>1503</v>
      </c>
      <c r="G42" s="1333" t="s">
        <v>1504</v>
      </c>
      <c r="H42" s="1333" t="s">
        <v>1505</v>
      </c>
      <c r="I42" s="340">
        <f>採点LR2!I99</f>
        <v>3</v>
      </c>
      <c r="J42" s="340">
        <f t="shared" si="39"/>
        <v>2</v>
      </c>
      <c r="K42" s="340"/>
      <c r="L42" s="340"/>
      <c r="M42" s="340"/>
      <c r="N42" s="1370">
        <f t="shared" si="40"/>
        <v>2</v>
      </c>
      <c r="O42" s="1335" t="str">
        <f t="shared" si="1"/>
        <v/>
      </c>
      <c r="P42" s="1335" t="str">
        <f t="shared" si="2"/>
        <v>●</v>
      </c>
      <c r="Q42" s="1335" t="str">
        <f t="shared" si="5"/>
        <v/>
      </c>
      <c r="R42" s="1336"/>
      <c r="S42" s="1333"/>
      <c r="T42" s="1337">
        <f t="shared" si="3"/>
        <v>2</v>
      </c>
      <c r="V42" s="1304">
        <f t="shared" si="38"/>
        <v>0</v>
      </c>
      <c r="AF42" s="1525" t="str">
        <f t="shared" si="41"/>
        <v/>
      </c>
      <c r="AG42" s="1526" t="str">
        <f t="shared" si="42"/>
        <v/>
      </c>
      <c r="AH42" s="1526" t="str">
        <f t="shared" si="43"/>
        <v/>
      </c>
      <c r="AI42" s="1465"/>
      <c r="AJ42" s="1527"/>
      <c r="AK42" s="1498" t="str">
        <f t="shared" si="10"/>
        <v/>
      </c>
      <c r="AO42" s="1538"/>
      <c r="AP42" s="1539"/>
      <c r="AQ42" s="1540"/>
      <c r="AR42" s="1348" t="str">
        <f t="shared" si="44"/>
        <v/>
      </c>
      <c r="AS42" s="1348" t="str">
        <f t="shared" si="45"/>
        <v/>
      </c>
      <c r="AT42" s="1541"/>
      <c r="AW42" s="1534"/>
      <c r="AX42" s="1350"/>
      <c r="AY42" s="1351"/>
      <c r="AZ42" s="1535"/>
      <c r="BA42" s="1536"/>
      <c r="BB42" s="1537"/>
      <c r="BF42" t="str">
        <f t="shared" si="13"/>
        <v>LR2.2.2.2「雨水流出抑制」2）「街区内の浸透面積」</v>
      </c>
      <c r="BG42" s="340">
        <f>採点LR2!BG99</f>
        <v>0</v>
      </c>
      <c r="BH42" s="340"/>
    </row>
    <row r="43" spans="2:60" ht="21.6">
      <c r="B43" s="1530"/>
      <c r="C43" s="1993"/>
      <c r="D43" s="1995"/>
      <c r="E43" s="1330" t="s">
        <v>1506</v>
      </c>
      <c r="F43" s="1333" t="s">
        <v>1507</v>
      </c>
      <c r="G43" s="1333" t="s">
        <v>1508</v>
      </c>
      <c r="H43" s="1333" t="s">
        <v>1403</v>
      </c>
      <c r="I43" s="340">
        <f>スコア!P109</f>
        <v>3</v>
      </c>
      <c r="J43" s="340">
        <f t="shared" si="39"/>
        <v>2</v>
      </c>
      <c r="K43" s="340"/>
      <c r="L43" s="340"/>
      <c r="M43" s="340"/>
      <c r="N43" s="1370">
        <f t="shared" si="40"/>
        <v>2</v>
      </c>
      <c r="O43" s="1335" t="str">
        <f t="shared" si="1"/>
        <v/>
      </c>
      <c r="P43" s="1335" t="str">
        <f t="shared" si="2"/>
        <v>●</v>
      </c>
      <c r="Q43" s="1335" t="str">
        <f t="shared" si="5"/>
        <v/>
      </c>
      <c r="R43" s="1336"/>
      <c r="S43" s="1333"/>
      <c r="T43" s="1337">
        <f t="shared" si="3"/>
        <v>2</v>
      </c>
      <c r="V43" s="1304">
        <f t="shared" si="38"/>
        <v>0</v>
      </c>
      <c r="AF43" s="1371" t="str">
        <f t="shared" si="41"/>
        <v/>
      </c>
      <c r="AG43" s="1542" t="str">
        <f t="shared" si="42"/>
        <v/>
      </c>
      <c r="AH43" s="1542" t="str">
        <f t="shared" si="43"/>
        <v/>
      </c>
      <c r="AI43" s="1374"/>
      <c r="AJ43" s="1543"/>
      <c r="AK43" s="1376" t="str">
        <f t="shared" si="10"/>
        <v/>
      </c>
      <c r="AO43" s="1397"/>
      <c r="AP43" s="1398"/>
      <c r="AQ43" s="1456"/>
      <c r="AR43" s="1400" t="str">
        <f t="shared" si="44"/>
        <v/>
      </c>
      <c r="AS43" s="1400" t="str">
        <f t="shared" si="45"/>
        <v/>
      </c>
      <c r="AT43" s="1544"/>
      <c r="AW43" s="1534"/>
      <c r="AX43" s="1350"/>
      <c r="AY43" s="1351"/>
      <c r="AZ43" s="1535"/>
      <c r="BA43" s="1536"/>
      <c r="BB43" s="1537"/>
      <c r="BF43" t="str">
        <f t="shared" si="13"/>
        <v>LR2.1.1「土壌汚染への対応」</v>
      </c>
      <c r="BG43" s="340" t="str">
        <f>スコア!BN109</f>
        <v>2.1.1 土壌汚染への対応</v>
      </c>
    </row>
    <row r="44" spans="2:60" ht="21.6">
      <c r="B44" s="1530"/>
      <c r="C44" s="1993"/>
      <c r="D44" s="1995"/>
      <c r="E44" s="1330" t="s">
        <v>1509</v>
      </c>
      <c r="F44" s="1333" t="s">
        <v>1510</v>
      </c>
      <c r="G44" s="1333" t="s">
        <v>1511</v>
      </c>
      <c r="H44" s="1333" t="s">
        <v>1512</v>
      </c>
      <c r="I44" s="340">
        <f>スコア!P10</f>
        <v>3</v>
      </c>
      <c r="J44" s="340">
        <f t="shared" si="39"/>
        <v>2</v>
      </c>
      <c r="K44" s="340"/>
      <c r="L44" s="340"/>
      <c r="M44" s="340"/>
      <c r="N44" s="1370">
        <f t="shared" si="40"/>
        <v>2</v>
      </c>
      <c r="O44" s="1335" t="str">
        <f t="shared" si="1"/>
        <v/>
      </c>
      <c r="P44" s="1335" t="str">
        <f t="shared" si="2"/>
        <v>●</v>
      </c>
      <c r="Q44" s="1335" t="str">
        <f t="shared" si="5"/>
        <v/>
      </c>
      <c r="R44" s="1336"/>
      <c r="S44" s="1333"/>
      <c r="T44" s="1337">
        <f t="shared" si="3"/>
        <v>2</v>
      </c>
      <c r="V44" s="1304">
        <f t="shared" si="38"/>
        <v>0</v>
      </c>
      <c r="AF44" s="1439" t="str">
        <f t="shared" si="41"/>
        <v/>
      </c>
      <c r="AG44" s="1494" t="str">
        <f t="shared" si="42"/>
        <v/>
      </c>
      <c r="AH44" s="1494" t="str">
        <f t="shared" si="43"/>
        <v/>
      </c>
      <c r="AI44" s="1442"/>
      <c r="AJ44" s="1495"/>
      <c r="AK44" s="1444" t="str">
        <f t="shared" si="10"/>
        <v/>
      </c>
      <c r="AO44" s="1397"/>
      <c r="AP44" s="1398"/>
      <c r="AQ44" s="1456"/>
      <c r="AR44" s="1400" t="str">
        <f t="shared" si="44"/>
        <v/>
      </c>
      <c r="AS44" s="1400" t="str">
        <f t="shared" si="45"/>
        <v/>
      </c>
      <c r="AT44" s="1544"/>
      <c r="AW44" s="1534"/>
      <c r="AX44" s="1350"/>
      <c r="AY44" s="1351"/>
      <c r="AZ44" s="1535"/>
      <c r="BA44" s="1536"/>
      <c r="BB44" s="1537"/>
      <c r="BF44" t="str">
        <f t="shared" si="13"/>
        <v>Q1.1.1「自然環境の保全」</v>
      </c>
      <c r="BG44" s="340" t="str">
        <f>スコア!BN10</f>
        <v>1.1.1 自然環境の保全</v>
      </c>
    </row>
    <row r="45" spans="2:60" ht="21.6">
      <c r="B45" s="1530"/>
      <c r="C45" s="1993"/>
      <c r="D45" s="1995"/>
      <c r="E45" s="1330" t="s">
        <v>1513</v>
      </c>
      <c r="F45" s="1333" t="s">
        <v>1514</v>
      </c>
      <c r="G45" s="1333" t="s">
        <v>1515</v>
      </c>
      <c r="H45" s="1333" t="s">
        <v>1516</v>
      </c>
      <c r="I45" s="340">
        <f>スコア!P15</f>
        <v>3</v>
      </c>
      <c r="J45" s="340">
        <f t="shared" si="39"/>
        <v>2</v>
      </c>
      <c r="K45" s="340"/>
      <c r="L45" s="340"/>
      <c r="M45" s="340"/>
      <c r="N45" s="1370">
        <f t="shared" si="40"/>
        <v>2</v>
      </c>
      <c r="O45" s="1335" t="str">
        <f t="shared" si="1"/>
        <v/>
      </c>
      <c r="P45" s="1335" t="str">
        <f t="shared" si="2"/>
        <v>●</v>
      </c>
      <c r="Q45" s="1335" t="str">
        <f t="shared" si="5"/>
        <v/>
      </c>
      <c r="R45" s="1336"/>
      <c r="S45" s="1333"/>
      <c r="T45" s="1337">
        <f t="shared" si="3"/>
        <v>2</v>
      </c>
      <c r="V45" s="1304">
        <f t="shared" si="38"/>
        <v>0</v>
      </c>
      <c r="AF45" s="1531" t="str">
        <f t="shared" si="41"/>
        <v/>
      </c>
      <c r="AG45" s="1545" t="str">
        <f t="shared" si="42"/>
        <v/>
      </c>
      <c r="AH45" s="1545" t="str">
        <f t="shared" si="43"/>
        <v/>
      </c>
      <c r="AI45" s="1419"/>
      <c r="AJ45" s="1343"/>
      <c r="AK45" s="1421" t="str">
        <f t="shared" si="10"/>
        <v/>
      </c>
      <c r="AO45" s="1397"/>
      <c r="AP45" s="1398"/>
      <c r="AQ45" s="1456"/>
      <c r="AR45" s="1400" t="str">
        <f t="shared" si="44"/>
        <v/>
      </c>
      <c r="AS45" s="1400" t="str">
        <f t="shared" si="45"/>
        <v/>
      </c>
      <c r="AT45" s="1544"/>
      <c r="AW45" s="1534"/>
      <c r="AX45" s="1350"/>
      <c r="AY45" s="1351"/>
      <c r="AZ45" s="1535"/>
      <c r="BA45" s="1536"/>
      <c r="BB45" s="1537"/>
      <c r="BF45" t="str">
        <f t="shared" si="13"/>
        <v>Q1.1.2「生物の生息空間の確保」</v>
      </c>
      <c r="BG45" s="340" t="str">
        <f>スコア!BN15</f>
        <v>1.1.2 生物の生息空間の確保</v>
      </c>
    </row>
    <row r="46" spans="2:60" ht="21.6">
      <c r="B46" s="1530"/>
      <c r="C46" s="1994"/>
      <c r="D46" s="1970"/>
      <c r="E46" s="1330" t="s">
        <v>1517</v>
      </c>
      <c r="F46" s="1333" t="s">
        <v>1518</v>
      </c>
      <c r="G46" s="1333" t="s">
        <v>1519</v>
      </c>
      <c r="H46" s="1333" t="s">
        <v>1520</v>
      </c>
      <c r="I46" s="340">
        <f>スコア!P49</f>
        <v>3</v>
      </c>
      <c r="J46" s="340">
        <f t="shared" si="39"/>
        <v>2</v>
      </c>
      <c r="K46" s="340"/>
      <c r="L46" s="340"/>
      <c r="M46" s="340"/>
      <c r="N46" s="1370">
        <f t="shared" si="40"/>
        <v>2</v>
      </c>
      <c r="O46" s="1335" t="str">
        <f t="shared" si="1"/>
        <v/>
      </c>
      <c r="P46" s="1335" t="str">
        <f t="shared" si="2"/>
        <v>●</v>
      </c>
      <c r="Q46" s="1335" t="str">
        <f t="shared" si="5"/>
        <v/>
      </c>
      <c r="R46" s="1336"/>
      <c r="S46" s="1333"/>
      <c r="T46" s="1337">
        <f t="shared" si="3"/>
        <v>2</v>
      </c>
      <c r="V46" s="1304">
        <f t="shared" si="38"/>
        <v>0</v>
      </c>
      <c r="AF46" s="1391" t="str">
        <f t="shared" si="41"/>
        <v/>
      </c>
      <c r="AG46" s="1546" t="str">
        <f t="shared" si="42"/>
        <v/>
      </c>
      <c r="AH46" s="1546" t="str">
        <f t="shared" si="43"/>
        <v/>
      </c>
      <c r="AI46" s="1394"/>
      <c r="AJ46" s="1509"/>
      <c r="AK46" s="1396" t="str">
        <f t="shared" si="10"/>
        <v/>
      </c>
      <c r="AO46" s="1538"/>
      <c r="AP46" s="1539"/>
      <c r="AQ46" s="1540"/>
      <c r="AR46" s="1348" t="str">
        <f t="shared" si="44"/>
        <v/>
      </c>
      <c r="AS46" s="1348" t="str">
        <f t="shared" si="45"/>
        <v/>
      </c>
      <c r="AT46" s="1547"/>
      <c r="AW46" s="1534"/>
      <c r="AX46" s="1350"/>
      <c r="AY46" s="1351"/>
      <c r="AZ46" s="1535"/>
      <c r="BA46" s="1536"/>
      <c r="BB46" s="1537"/>
      <c r="BF46" t="str">
        <f t="shared" si="13"/>
        <v>Q2.1.2.3「維持管理」2）「グリーンインフラの維持管理」</v>
      </c>
      <c r="BG46" s="340" t="str">
        <f>スコア!BN49</f>
        <v>2) グリーンインフラの維持管理</v>
      </c>
    </row>
    <row r="47" spans="2:60" ht="54">
      <c r="B47" s="1530"/>
      <c r="C47" s="1330" t="s">
        <v>1521</v>
      </c>
      <c r="D47" s="1331" t="s">
        <v>1522</v>
      </c>
      <c r="E47" s="1330" t="s">
        <v>1523</v>
      </c>
      <c r="F47" s="1333" t="s">
        <v>1524</v>
      </c>
      <c r="G47" s="1333" t="s">
        <v>1525</v>
      </c>
      <c r="H47" s="1333"/>
      <c r="I47" s="340"/>
      <c r="J47" s="340"/>
      <c r="K47" s="340">
        <v>1</v>
      </c>
      <c r="L47" s="340">
        <v>2</v>
      </c>
      <c r="M47" s="340">
        <v>3</v>
      </c>
      <c r="N47" s="1334">
        <v>1</v>
      </c>
      <c r="O47" s="1335" t="str">
        <f t="shared" si="1"/>
        <v>●</v>
      </c>
      <c r="P47" s="1335" t="str">
        <f t="shared" si="2"/>
        <v/>
      </c>
      <c r="Q47" s="1335" t="str">
        <f t="shared" si="5"/>
        <v/>
      </c>
      <c r="R47" s="1355"/>
      <c r="S47" s="1333"/>
      <c r="T47" s="1337">
        <f t="shared" si="3"/>
        <v>1</v>
      </c>
      <c r="V47" s="1304" t="str">
        <f t="shared" si="38"/>
        <v>6.3</v>
      </c>
      <c r="W47" s="1338">
        <f>IF(SUM(T47)=0,"",AVERAGE(T47))</f>
        <v>1</v>
      </c>
      <c r="AF47" s="1462"/>
      <c r="AG47" s="1487"/>
      <c r="AH47" s="1464"/>
      <c r="AI47" s="1465"/>
      <c r="AJ47" s="1466"/>
      <c r="AK47" s="1467" t="str">
        <f t="shared" si="10"/>
        <v/>
      </c>
      <c r="AO47" s="1483"/>
      <c r="AP47" s="1484"/>
      <c r="AQ47" s="1485"/>
      <c r="AR47" s="1380" t="str">
        <f>IF(AQ47="","",IF(AQ47=4,"",AQ47))</f>
        <v/>
      </c>
      <c r="AS47" s="1380" t="str">
        <f t="shared" si="45"/>
        <v/>
      </c>
      <c r="AT47" s="1486"/>
      <c r="AW47" s="1548"/>
      <c r="AX47" s="1549"/>
      <c r="AY47" s="1477"/>
      <c r="AZ47" s="1535" t="s">
        <v>1521</v>
      </c>
      <c r="BA47" s="1536">
        <f>IFERROR(SUM(AK24)/BB47,"")</f>
        <v>0</v>
      </c>
      <c r="BB47" s="1537">
        <f>COUNTA(E47)</f>
        <v>1</v>
      </c>
      <c r="BF47">
        <f t="shared" si="13"/>
        <v>0</v>
      </c>
      <c r="BG47" s="340"/>
    </row>
    <row r="48" spans="2:60" ht="97.2">
      <c r="B48" s="1530"/>
      <c r="C48" s="1330" t="s">
        <v>1526</v>
      </c>
      <c r="D48" s="1331" t="s">
        <v>1527</v>
      </c>
      <c r="E48" s="1330" t="s">
        <v>1528</v>
      </c>
      <c r="F48" s="1333" t="s">
        <v>1529</v>
      </c>
      <c r="G48" s="1333" t="s">
        <v>1530</v>
      </c>
      <c r="H48" s="1333"/>
      <c r="I48" s="340"/>
      <c r="J48" s="340"/>
      <c r="K48" s="340">
        <v>1</v>
      </c>
      <c r="L48" s="340">
        <v>2</v>
      </c>
      <c r="M48" s="340">
        <v>3</v>
      </c>
      <c r="N48" s="1334">
        <v>1</v>
      </c>
      <c r="O48" s="1335" t="str">
        <f t="shared" si="1"/>
        <v>●</v>
      </c>
      <c r="P48" s="1335" t="str">
        <f t="shared" si="2"/>
        <v/>
      </c>
      <c r="Q48" s="1335" t="str">
        <f t="shared" si="5"/>
        <v/>
      </c>
      <c r="R48" s="1355"/>
      <c r="S48" s="1333"/>
      <c r="T48" s="1337">
        <f t="shared" si="3"/>
        <v>1</v>
      </c>
      <c r="V48" s="1304" t="str">
        <f t="shared" si="38"/>
        <v>6.4</v>
      </c>
      <c r="W48" s="1338">
        <f>IF(SUM(T48)=0,"",AVERAGE(T48))</f>
        <v>1</v>
      </c>
      <c r="AF48" s="1550"/>
      <c r="AG48" s="1551"/>
      <c r="AH48" s="1552"/>
      <c r="AI48" s="1442"/>
      <c r="AJ48" s="1495"/>
      <c r="AK48" s="1553" t="str">
        <f t="shared" si="10"/>
        <v/>
      </c>
      <c r="AO48" s="1554"/>
      <c r="AP48" s="1555"/>
      <c r="AQ48" s="1556"/>
      <c r="AR48" s="1400" t="str">
        <f>IF(AQ48="","",IF(AQ48=4,"",AQ48))</f>
        <v/>
      </c>
      <c r="AS48" s="1400" t="str">
        <f t="shared" si="45"/>
        <v/>
      </c>
      <c r="AT48" s="1557"/>
      <c r="AW48" s="1534"/>
      <c r="AX48" s="1350"/>
      <c r="AY48" s="1351"/>
      <c r="AZ48" s="1535"/>
      <c r="BA48" s="1536"/>
      <c r="BB48" s="1537"/>
      <c r="BF48">
        <f t="shared" si="13"/>
        <v>0</v>
      </c>
      <c r="BG48" s="340"/>
    </row>
    <row r="49" spans="2:59" ht="64.8">
      <c r="B49" s="1530"/>
      <c r="C49" s="1961" t="s">
        <v>1531</v>
      </c>
      <c r="D49" s="1964" t="s">
        <v>1532</v>
      </c>
      <c r="E49" s="1330" t="s">
        <v>1533</v>
      </c>
      <c r="F49" s="1333" t="s">
        <v>1534</v>
      </c>
      <c r="G49" s="1333" t="str">
        <f>G17</f>
        <v>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v>
      </c>
      <c r="H49" s="1333" t="s">
        <v>1958</v>
      </c>
      <c r="I49" s="340"/>
      <c r="J49" s="340"/>
      <c r="K49" s="340" t="s">
        <v>311</v>
      </c>
      <c r="L49" s="340">
        <v>2</v>
      </c>
      <c r="M49" s="340">
        <v>3</v>
      </c>
      <c r="N49" s="1712">
        <f>N17</f>
        <v>2</v>
      </c>
      <c r="O49" s="1335" t="str">
        <f t="shared" si="1"/>
        <v/>
      </c>
      <c r="P49" s="1335" t="str">
        <f t="shared" si="2"/>
        <v>●</v>
      </c>
      <c r="Q49" s="1335" t="str">
        <f t="shared" si="5"/>
        <v/>
      </c>
      <c r="R49" s="1355"/>
      <c r="S49" s="1712">
        <f>S17</f>
        <v>0</v>
      </c>
      <c r="T49" s="1337">
        <f t="shared" si="3"/>
        <v>2</v>
      </c>
      <c r="V49" s="1304" t="str">
        <f t="shared" si="38"/>
        <v>6.5</v>
      </c>
      <c r="W49" s="1338">
        <f>IF(SUM(T49:T51)=0,"",AVERAGE(T49:T51))</f>
        <v>1.3333333333333333</v>
      </c>
      <c r="AF49" s="1550"/>
      <c r="AG49" s="1551"/>
      <c r="AH49" s="1552"/>
      <c r="AI49" s="1442"/>
      <c r="AJ49" s="1495"/>
      <c r="AK49" s="1553" t="str">
        <f t="shared" si="10"/>
        <v/>
      </c>
      <c r="AO49" s="1554"/>
      <c r="AP49" s="1555"/>
      <c r="AQ49" s="1556"/>
      <c r="AR49" s="1400" t="str">
        <f>IF(AQ49="","",IF(AQ49=4,"",AQ49))</f>
        <v/>
      </c>
      <c r="AS49" s="1400" t="str">
        <f t="shared" si="45"/>
        <v/>
      </c>
      <c r="AT49" s="1557"/>
      <c r="AW49" s="1534"/>
      <c r="AX49" s="1350"/>
      <c r="AY49" s="1351"/>
      <c r="AZ49" s="1535"/>
      <c r="BA49" s="1536"/>
      <c r="BB49" s="1537"/>
      <c r="BF49" t="str">
        <f t="shared" si="13"/>
        <v>本項目の採点基準は3.4.2と同じであり、3.4.2で評価すれば本項目も同じ採点となる。</v>
      </c>
      <c r="BG49" s="340"/>
    </row>
    <row r="50" spans="2:59" ht="43.2">
      <c r="B50" s="1530"/>
      <c r="C50" s="1962"/>
      <c r="D50" s="1965"/>
      <c r="E50" s="1330" t="s">
        <v>1535</v>
      </c>
      <c r="F50" s="1333" t="s">
        <v>1536</v>
      </c>
      <c r="G50" s="1333" t="s">
        <v>1971</v>
      </c>
      <c r="H50" s="1333"/>
      <c r="I50" s="340"/>
      <c r="J50" s="340"/>
      <c r="K50" s="340">
        <v>1</v>
      </c>
      <c r="L50" s="340" t="s">
        <v>311</v>
      </c>
      <c r="M50" s="340">
        <v>3</v>
      </c>
      <c r="N50" s="1334">
        <v>1</v>
      </c>
      <c r="O50" s="1335" t="str">
        <f t="shared" si="1"/>
        <v>●</v>
      </c>
      <c r="P50" s="1335" t="str">
        <f t="shared" si="2"/>
        <v/>
      </c>
      <c r="Q50" s="1335" t="str">
        <f t="shared" si="5"/>
        <v/>
      </c>
      <c r="R50" s="1355"/>
      <c r="S50" s="1333"/>
      <c r="T50" s="1337">
        <f t="shared" si="3"/>
        <v>1</v>
      </c>
      <c r="V50" s="1304">
        <f t="shared" si="38"/>
        <v>0</v>
      </c>
      <c r="AF50" s="1558"/>
      <c r="AG50" s="1559"/>
      <c r="AH50" s="1560"/>
      <c r="AI50" s="1342"/>
      <c r="AJ50" s="1561"/>
      <c r="AK50" s="1562" t="str">
        <f t="shared" si="10"/>
        <v/>
      </c>
      <c r="AO50" s="1488"/>
      <c r="AP50" s="1489"/>
      <c r="AQ50" s="1490"/>
      <c r="AR50" s="1348" t="str">
        <f>IF(AQ50="","",IF(AQ50=4,"",AQ50))</f>
        <v/>
      </c>
      <c r="AS50" s="1348" t="str">
        <f t="shared" si="45"/>
        <v/>
      </c>
      <c r="AT50" s="1491"/>
      <c r="AW50" s="1534"/>
      <c r="AX50" s="1350"/>
      <c r="AY50" s="1351"/>
      <c r="AZ50" s="1535"/>
      <c r="BA50" s="1536"/>
      <c r="BB50" s="1537"/>
      <c r="BF50">
        <f t="shared" si="13"/>
        <v>0</v>
      </c>
      <c r="BG50" s="340"/>
    </row>
    <row r="51" spans="2:59" ht="64.8">
      <c r="B51" s="1530"/>
      <c r="C51" s="1963"/>
      <c r="D51" s="1966"/>
      <c r="E51" s="1330" t="s">
        <v>1537</v>
      </c>
      <c r="F51" s="1333" t="s">
        <v>1538</v>
      </c>
      <c r="G51" s="1333" t="s">
        <v>1987</v>
      </c>
      <c r="H51" s="1333"/>
      <c r="I51" s="340"/>
      <c r="J51" s="340"/>
      <c r="K51" s="340">
        <v>1</v>
      </c>
      <c r="L51" s="340">
        <v>2</v>
      </c>
      <c r="M51" s="340">
        <v>3</v>
      </c>
      <c r="N51" s="1334">
        <v>1</v>
      </c>
      <c r="O51" s="1335" t="str">
        <f t="shared" si="1"/>
        <v>●</v>
      </c>
      <c r="P51" s="1335" t="str">
        <f t="shared" si="2"/>
        <v/>
      </c>
      <c r="Q51" s="1335" t="str">
        <f t="shared" si="5"/>
        <v/>
      </c>
      <c r="R51" s="1355"/>
      <c r="S51" s="1333"/>
      <c r="T51" s="1337">
        <f t="shared" si="3"/>
        <v>1</v>
      </c>
      <c r="V51" s="1304">
        <f t="shared" si="38"/>
        <v>0</v>
      </c>
      <c r="AF51" s="1462"/>
      <c r="AG51" s="1487"/>
      <c r="AH51" s="1464"/>
      <c r="AI51" s="1436"/>
      <c r="AJ51" s="1563"/>
      <c r="AK51" s="1467" t="str">
        <f t="shared" si="10"/>
        <v/>
      </c>
      <c r="AO51" s="1468"/>
      <c r="AP51" s="1469"/>
      <c r="AQ51" s="1470"/>
      <c r="AR51" s="1412" t="str">
        <f t="shared" ref="AR51" si="46">IF(AQ51="","",IF(AQ51=4,"",AQ51))</f>
        <v/>
      </c>
      <c r="AS51" s="1412" t="str">
        <f t="shared" si="45"/>
        <v/>
      </c>
      <c r="AT51" s="1471"/>
      <c r="AW51" s="1534"/>
      <c r="AX51" s="1350"/>
      <c r="AY51" s="1351"/>
      <c r="AZ51" s="1535"/>
      <c r="BA51" s="1536"/>
      <c r="BB51" s="1537"/>
      <c r="BF51">
        <f t="shared" si="13"/>
        <v>0</v>
      </c>
      <c r="BG51" s="340"/>
    </row>
    <row r="52" spans="2:59" ht="43.2">
      <c r="B52" s="1530"/>
      <c r="C52" s="1330" t="s">
        <v>1539</v>
      </c>
      <c r="D52" s="1331" t="s">
        <v>1540</v>
      </c>
      <c r="E52" s="1330" t="s">
        <v>1541</v>
      </c>
      <c r="F52" s="1333" t="s">
        <v>1542</v>
      </c>
      <c r="G52" s="1333" t="s">
        <v>1972</v>
      </c>
      <c r="H52" s="1333"/>
      <c r="I52" s="340"/>
      <c r="J52" s="340"/>
      <c r="K52" s="340">
        <v>1</v>
      </c>
      <c r="L52" s="340" t="s">
        <v>311</v>
      </c>
      <c r="M52" s="340">
        <v>3</v>
      </c>
      <c r="N52" s="1334">
        <v>1</v>
      </c>
      <c r="O52" s="1335" t="str">
        <f t="shared" si="1"/>
        <v>●</v>
      </c>
      <c r="P52" s="1335" t="str">
        <f t="shared" si="2"/>
        <v/>
      </c>
      <c r="Q52" s="1335" t="str">
        <f t="shared" si="5"/>
        <v/>
      </c>
      <c r="R52" s="1355"/>
      <c r="S52" s="1333"/>
      <c r="T52" s="1337">
        <f t="shared" si="3"/>
        <v>1</v>
      </c>
      <c r="V52" s="1304" t="str">
        <f t="shared" si="38"/>
        <v>6.6</v>
      </c>
      <c r="W52" s="1338">
        <f>IF(SUM(T52)=0,"",AVERAGE(T52))</f>
        <v>1</v>
      </c>
      <c r="AF52" s="1462"/>
      <c r="AG52" s="1487"/>
      <c r="AH52" s="1487"/>
      <c r="AI52" s="1564"/>
      <c r="AJ52" s="1517"/>
      <c r="AK52" s="1467" t="str">
        <f t="shared" si="10"/>
        <v/>
      </c>
      <c r="AO52" s="1488"/>
      <c r="AP52" s="1489"/>
      <c r="AQ52" s="1490"/>
      <c r="AR52" s="1348" t="str">
        <f>IF(AQ52="","",IF(AQ52=4,"",AQ52))</f>
        <v/>
      </c>
      <c r="AS52" s="1348" t="str">
        <f t="shared" si="45"/>
        <v/>
      </c>
      <c r="AT52" s="1491"/>
      <c r="AW52" s="1534"/>
      <c r="AX52" s="1350"/>
      <c r="AY52" s="1351"/>
      <c r="AZ52" s="1535"/>
      <c r="BA52" s="1536"/>
      <c r="BB52" s="1537"/>
      <c r="BF52">
        <f t="shared" si="13"/>
        <v>0</v>
      </c>
      <c r="BG52" s="340"/>
    </row>
    <row r="53" spans="2:59" ht="21.6">
      <c r="B53" s="1986" t="s">
        <v>1543</v>
      </c>
      <c r="C53" s="1330" t="s">
        <v>1544</v>
      </c>
      <c r="D53" s="1331" t="s">
        <v>1545</v>
      </c>
      <c r="E53" s="1330" t="s">
        <v>1546</v>
      </c>
      <c r="F53" s="1332" t="s">
        <v>1547</v>
      </c>
      <c r="G53" s="1333" t="s">
        <v>1548</v>
      </c>
      <c r="H53" s="1333" t="s">
        <v>1549</v>
      </c>
      <c r="I53" s="340">
        <f>スコア!R101</f>
        <v>3</v>
      </c>
      <c r="J53" s="340">
        <f t="shared" ref="J53" si="47">IF(I53&gt;=4,3,IF(I53&gt;=2,2,IF(I53=1,1,"")))</f>
        <v>2</v>
      </c>
      <c r="K53" s="340"/>
      <c r="L53" s="340"/>
      <c r="M53" s="340"/>
      <c r="N53" s="1370">
        <f>IF(SUM(J53)=0,"",ROUND(AVERAGE(J53),0))</f>
        <v>2</v>
      </c>
      <c r="O53" s="1335" t="str">
        <f t="shared" si="1"/>
        <v/>
      </c>
      <c r="P53" s="1335" t="str">
        <f t="shared" si="2"/>
        <v>●</v>
      </c>
      <c r="Q53" s="1335" t="str">
        <f t="shared" si="5"/>
        <v/>
      </c>
      <c r="R53" s="1336"/>
      <c r="S53" s="1333"/>
      <c r="T53" s="1337">
        <f t="shared" si="3"/>
        <v>2</v>
      </c>
      <c r="V53" s="1304" t="str">
        <f t="shared" si="38"/>
        <v>7.1</v>
      </c>
      <c r="W53" s="1338">
        <f>IF(SUM(T53)=0,"",AVERAGE(T53))</f>
        <v>2</v>
      </c>
      <c r="X53" s="1338">
        <f>IF(SUM(W53:W59)=0,"",AVERAGE(W53:W59))</f>
        <v>1.3</v>
      </c>
      <c r="AF53" s="1406" t="str">
        <f>IF(AR53=1,"●","")</f>
        <v/>
      </c>
      <c r="AG53" s="1565" t="str">
        <f>IF(AR53=2,"●","")</f>
        <v/>
      </c>
      <c r="AH53" s="1565" t="str">
        <f>IF(AR53=3,"●","")</f>
        <v/>
      </c>
      <c r="AI53" s="1436"/>
      <c r="AJ53" s="1563"/>
      <c r="AK53" s="1438" t="str">
        <f t="shared" si="10"/>
        <v/>
      </c>
      <c r="AO53" s="1409"/>
      <c r="AP53" s="1410"/>
      <c r="AQ53" s="1411"/>
      <c r="AR53" s="1412" t="str">
        <f t="shared" ref="AR53" si="48">IF(AQ53="","",IF(AQ53&lt;=AQ$7,1,IF(AQ53&lt;AS$7,2,IF(AQ53&gt;=AS$7,3,""))))</f>
        <v/>
      </c>
      <c r="AS53" s="1412" t="str">
        <f t="shared" si="45"/>
        <v/>
      </c>
      <c r="AT53" s="1413"/>
      <c r="AW53" s="1988"/>
      <c r="AX53" s="1506">
        <f>IFERROR(SUM(BA53:BA55)/AY53,"")</f>
        <v>0</v>
      </c>
      <c r="AY53" s="1353">
        <f>COUNTA(BB53:BB55)</f>
        <v>2</v>
      </c>
      <c r="AZ53" s="1535" t="s">
        <v>1544</v>
      </c>
      <c r="BA53" s="1536">
        <f>IFERROR(SUM(AK53)/BB53,"")</f>
        <v>0</v>
      </c>
      <c r="BB53" s="1537">
        <f>COUNTA(E53)</f>
        <v>1</v>
      </c>
      <c r="BF53" t="str">
        <f t="shared" si="13"/>
        <v>LR1.1「都市・街区エネルギーの効率化」</v>
      </c>
      <c r="BG53" s="340" t="str">
        <f>スコア!BN101</f>
        <v>1.1 都市・街区エネルギーの効率化</v>
      </c>
    </row>
    <row r="54" spans="2:59" ht="43.2">
      <c r="B54" s="1987"/>
      <c r="C54" s="1967" t="s">
        <v>1550</v>
      </c>
      <c r="D54" s="1968" t="s">
        <v>1551</v>
      </c>
      <c r="E54" s="1330" t="s">
        <v>1552</v>
      </c>
      <c r="F54" s="1333" t="s">
        <v>1553</v>
      </c>
      <c r="G54" s="1333" t="s">
        <v>1554</v>
      </c>
      <c r="H54" s="1333" t="s">
        <v>1555</v>
      </c>
      <c r="I54" s="340">
        <f>スコア!R102</f>
        <v>3</v>
      </c>
      <c r="J54" s="1698">
        <f>IF(I54&gt;=5,3,IF(I54&gt;=4,2,IF(I54&lt;=3,1,"")))</f>
        <v>1</v>
      </c>
      <c r="K54" s="340"/>
      <c r="L54" s="340"/>
      <c r="M54" s="340"/>
      <c r="N54" s="1370">
        <f t="shared" ref="N54:N55" si="49">IF(SUM(J54)=0,"",ROUND(AVERAGE(J54),0))</f>
        <v>1</v>
      </c>
      <c r="O54" s="1335" t="str">
        <f t="shared" si="1"/>
        <v>●</v>
      </c>
      <c r="P54" s="1335" t="str">
        <f t="shared" si="2"/>
        <v/>
      </c>
      <c r="Q54" s="1335" t="str">
        <f t="shared" si="5"/>
        <v/>
      </c>
      <c r="R54" s="1336"/>
      <c r="S54" s="1333"/>
      <c r="T54" s="1337">
        <f t="shared" si="3"/>
        <v>1</v>
      </c>
      <c r="V54" s="1304" t="str">
        <f t="shared" si="38"/>
        <v>7.2</v>
      </c>
      <c r="W54" s="1338">
        <f>IF(SUM(T54:T55)=0,"",AVERAGE(T54:T55))</f>
        <v>1</v>
      </c>
      <c r="AF54" s="1386" t="str">
        <f>IF(AR54=1,"●","")</f>
        <v/>
      </c>
      <c r="AG54" s="1566" t="str">
        <f>IF(AR54=2,"●","")</f>
        <v/>
      </c>
      <c r="AH54" s="1566" t="str">
        <f>IF(AR54=3,"●","")</f>
        <v/>
      </c>
      <c r="AI54" s="1428"/>
      <c r="AJ54" s="1388"/>
      <c r="AK54" s="1474" t="str">
        <f>AS54</f>
        <v/>
      </c>
      <c r="AO54" s="1377"/>
      <c r="AP54" s="1378"/>
      <c r="AQ54" s="1389"/>
      <c r="AR54" s="1380" t="str">
        <f>IF(AQ54="","",IF(AQ54&lt;=AQ$7,1,IF(AQ54&lt;AS$7,2,IF(AQ54&gt;=AS$7,3,""))))</f>
        <v/>
      </c>
      <c r="AS54" s="1380" t="str">
        <f>IF(AR54="","",IF(AR54=3,3,IF(AT54=TRUE,AR54+1,AR54)))</f>
        <v/>
      </c>
      <c r="AT54" s="1496"/>
      <c r="AW54" s="1989"/>
      <c r="AX54" s="1350"/>
      <c r="AY54" s="1351"/>
      <c r="AZ54" s="1971" t="s">
        <v>1550</v>
      </c>
      <c r="BA54" s="1352">
        <f>IFERROR(SUM(AK26:AK27)/BB54,"")</f>
        <v>0</v>
      </c>
      <c r="BB54" s="1353">
        <f>COUNTA(E54:E55)</f>
        <v>2</v>
      </c>
      <c r="BF54" t="str">
        <f t="shared" si="13"/>
        <v>LR1.2「再生可能エネルギーの利用」
レベル3＝1点、レベル4＝2点、レベル5＝3点</v>
      </c>
      <c r="BG54" s="340" t="str">
        <f>スコア!BN102</f>
        <v>1.2 再生可能エネルギーの利用</v>
      </c>
    </row>
    <row r="55" spans="2:59" ht="32.4">
      <c r="B55" s="1987"/>
      <c r="C55" s="1967"/>
      <c r="D55" s="1968"/>
      <c r="E55" s="1330" t="s">
        <v>1556</v>
      </c>
      <c r="F55" s="1333" t="s">
        <v>1557</v>
      </c>
      <c r="G55" s="1333" t="s">
        <v>1558</v>
      </c>
      <c r="H55" s="1333" t="s">
        <v>1559</v>
      </c>
      <c r="I55" s="340">
        <f>スコア!R103</f>
        <v>3</v>
      </c>
      <c r="J55" s="1698">
        <f>IF(I55&gt;=5,3,IF(I55&gt;=4,2,IF(I55&lt;=3,1,"")))</f>
        <v>1</v>
      </c>
      <c r="K55" s="340"/>
      <c r="L55" s="340"/>
      <c r="M55" s="340"/>
      <c r="N55" s="1370">
        <f t="shared" si="49"/>
        <v>1</v>
      </c>
      <c r="O55" s="1335" t="str">
        <f t="shared" si="1"/>
        <v>●</v>
      </c>
      <c r="P55" s="1335" t="str">
        <f t="shared" si="2"/>
        <v/>
      </c>
      <c r="Q55" s="1335" t="str">
        <f t="shared" si="5"/>
        <v/>
      </c>
      <c r="R55" s="1336"/>
      <c r="S55" s="1333"/>
      <c r="T55" s="1337">
        <f t="shared" si="3"/>
        <v>1</v>
      </c>
      <c r="V55" s="1304">
        <f t="shared" si="38"/>
        <v>0</v>
      </c>
      <c r="AF55" s="1531" t="str">
        <f>IF(AR55=1,"●","")</f>
        <v/>
      </c>
      <c r="AG55" s="1545" t="str">
        <f>IF(AR55=2,"●","")</f>
        <v/>
      </c>
      <c r="AH55" s="1545" t="str">
        <f>IF(AR55=3,"●","")</f>
        <v/>
      </c>
      <c r="AI55" s="1419"/>
      <c r="AJ55" s="1533"/>
      <c r="AK55" s="1421" t="str">
        <f>AS55</f>
        <v/>
      </c>
      <c r="AO55" s="1377"/>
      <c r="AP55" s="1378"/>
      <c r="AQ55" s="1389"/>
      <c r="AR55" s="1380" t="str">
        <f>IF(AQ55="","",IF(AQ55&lt;=AQ$7,1,IF(AQ55&lt;AS$7,2,IF(AQ55&gt;=AS$7,3,""))))</f>
        <v/>
      </c>
      <c r="AS55" s="1380" t="str">
        <f>IF(AR55="","",IF(AR55=3,3,IF(AT55=TRUE,AR55+1,AR55)))</f>
        <v/>
      </c>
      <c r="AT55" s="1496"/>
      <c r="AW55" s="1990"/>
      <c r="AX55" s="1549"/>
      <c r="AY55" s="1477"/>
      <c r="AZ55" s="1976"/>
      <c r="BA55" s="1476"/>
      <c r="BB55" s="1477"/>
      <c r="BF55" t="str">
        <f t="shared" si="13"/>
        <v>LR1.3「未利用エネルギーの利用」
レベル3＝1点、レベル4＝2点、レベル5＝3点</v>
      </c>
      <c r="BG55" s="340" t="str">
        <f>スコア!BN103</f>
        <v>1.3 未利用エネルギーの利用</v>
      </c>
    </row>
    <row r="56" spans="2:59" ht="64.8">
      <c r="B56" s="1568"/>
      <c r="C56" s="1967" t="s">
        <v>1560</v>
      </c>
      <c r="D56" s="1968" t="s">
        <v>1561</v>
      </c>
      <c r="E56" s="1330" t="s">
        <v>1562</v>
      </c>
      <c r="F56" s="1333" t="s">
        <v>1563</v>
      </c>
      <c r="G56" s="1333" t="s">
        <v>1564</v>
      </c>
      <c r="H56" s="1333"/>
      <c r="I56" s="340"/>
      <c r="J56" s="340"/>
      <c r="K56" s="340">
        <v>1</v>
      </c>
      <c r="L56" s="340">
        <v>2</v>
      </c>
      <c r="M56" s="340">
        <v>3</v>
      </c>
      <c r="N56" s="1334">
        <v>1</v>
      </c>
      <c r="O56" s="1335" t="str">
        <f t="shared" si="1"/>
        <v>●</v>
      </c>
      <c r="P56" s="1335" t="str">
        <f t="shared" si="2"/>
        <v/>
      </c>
      <c r="Q56" s="1335" t="str">
        <f t="shared" si="5"/>
        <v/>
      </c>
      <c r="R56" s="1355"/>
      <c r="S56" s="1333"/>
      <c r="T56" s="1337">
        <f t="shared" si="3"/>
        <v>1</v>
      </c>
      <c r="V56" s="1304" t="str">
        <f t="shared" si="38"/>
        <v>7.3</v>
      </c>
      <c r="W56" s="1338">
        <f>IF(SUM(T56:T57)=0,"",AVERAGE(T56:T57))</f>
        <v>1.5</v>
      </c>
      <c r="AF56" s="1426"/>
      <c r="AG56" s="1427"/>
      <c r="AH56" s="1427"/>
      <c r="AI56" s="1419"/>
      <c r="AJ56" s="1343"/>
      <c r="AK56" s="1502" t="str">
        <f>AS56</f>
        <v/>
      </c>
      <c r="AO56" s="1554"/>
      <c r="AP56" s="1555"/>
      <c r="AQ56" s="1556"/>
      <c r="AR56" s="1400" t="str">
        <f>IF(AQ56="","",IF(AQ56=4,"",AQ56))</f>
        <v/>
      </c>
      <c r="AS56" s="1400" t="str">
        <f>IF(AR56="","",IF(AR56=3,3,IF(AT56=TRUE,AR56+1,AR56)))</f>
        <v/>
      </c>
      <c r="AT56" s="1557"/>
      <c r="AW56" s="1567"/>
      <c r="AX56" s="1350"/>
      <c r="AY56" s="1351"/>
      <c r="AZ56" s="1367"/>
      <c r="BA56" s="1368"/>
      <c r="BB56" s="1351"/>
      <c r="BF56">
        <f t="shared" si="13"/>
        <v>0</v>
      </c>
      <c r="BG56" s="340"/>
    </row>
    <row r="57" spans="2:59" ht="21.6">
      <c r="B57" s="1568"/>
      <c r="C57" s="1967"/>
      <c r="D57" s="1968"/>
      <c r="E57" s="1330" t="s">
        <v>1565</v>
      </c>
      <c r="F57" s="1333" t="s">
        <v>1566</v>
      </c>
      <c r="G57" s="1333" t="s">
        <v>1567</v>
      </c>
      <c r="H57" s="1333" t="s">
        <v>1568</v>
      </c>
      <c r="I57" s="340">
        <f>スコア!P105</f>
        <v>3</v>
      </c>
      <c r="J57" s="340">
        <f t="shared" ref="J57" si="50">IF(I57&gt;=4,3,IF(I57&gt;=2,2,IF(I57=1,1,"")))</f>
        <v>2</v>
      </c>
      <c r="K57" s="340"/>
      <c r="L57" s="340"/>
      <c r="M57" s="340"/>
      <c r="N57" s="1370">
        <f>IF(SUM(J57)=0,"",ROUND(AVERAGE(J57),0))</f>
        <v>2</v>
      </c>
      <c r="O57" s="1335" t="str">
        <f t="shared" si="1"/>
        <v/>
      </c>
      <c r="P57" s="1335" t="str">
        <f t="shared" si="2"/>
        <v>●</v>
      </c>
      <c r="Q57" s="1335" t="str">
        <f t="shared" si="5"/>
        <v/>
      </c>
      <c r="R57" s="1336"/>
      <c r="S57" s="1333"/>
      <c r="T57" s="1337">
        <f t="shared" si="3"/>
        <v>2</v>
      </c>
      <c r="V57" s="1304">
        <f t="shared" si="38"/>
        <v>0</v>
      </c>
      <c r="AF57" s="1439" t="str">
        <f>IF(AR57=1,"●","")</f>
        <v/>
      </c>
      <c r="AG57" s="1494" t="str">
        <f>IF(AR57=2,"●","")</f>
        <v/>
      </c>
      <c r="AH57" s="1494" t="str">
        <f>IF(AR57=3,"●","")</f>
        <v/>
      </c>
      <c r="AI57" s="1442"/>
      <c r="AJ57" s="1443"/>
      <c r="AK57" s="1444" t="str">
        <f>AS57</f>
        <v/>
      </c>
      <c r="AO57" s="1397"/>
      <c r="AP57" s="1398"/>
      <c r="AQ57" s="1456"/>
      <c r="AR57" s="1400" t="str">
        <f>IF(AQ57="","",IF(AQ57&lt;=AQ$7,1,IF(AQ57&lt;AS$7,2,IF(AQ57&gt;=AS$7,3,""))))</f>
        <v/>
      </c>
      <c r="AS57" s="1400" t="str">
        <f>IF(AR57="","",IF(AR57=3,3,IF(AT57=TRUE,AR57+1,AR57)))</f>
        <v/>
      </c>
      <c r="AT57" s="1544"/>
      <c r="AW57" s="1567"/>
      <c r="AX57" s="1350"/>
      <c r="AY57" s="1351"/>
      <c r="AZ57" s="1367"/>
      <c r="BA57" s="1368"/>
      <c r="BB57" s="1351"/>
      <c r="BF57" t="str">
        <f t="shared" si="13"/>
        <v>LR1.4.1「需給システムのスマート化」</v>
      </c>
      <c r="BG57" s="340" t="str">
        <f>スコア!BN105</f>
        <v>1.4.1 需給システムのスマート化</v>
      </c>
    </row>
    <row r="58" spans="2:59" ht="86.4">
      <c r="B58" s="1568"/>
      <c r="C58" s="1330" t="s">
        <v>1569</v>
      </c>
      <c r="D58" s="1331" t="s">
        <v>1570</v>
      </c>
      <c r="E58" s="1330" t="s">
        <v>1571</v>
      </c>
      <c r="F58" s="1333" t="s">
        <v>1572</v>
      </c>
      <c r="G58" s="1333" t="s">
        <v>1573</v>
      </c>
      <c r="H58" s="1333"/>
      <c r="I58" s="340"/>
      <c r="J58" s="340"/>
      <c r="K58" s="340">
        <v>1</v>
      </c>
      <c r="L58" s="340">
        <v>2</v>
      </c>
      <c r="M58" s="340">
        <v>3</v>
      </c>
      <c r="N58" s="1334">
        <v>1</v>
      </c>
      <c r="O58" s="1335" t="str">
        <f t="shared" si="1"/>
        <v>●</v>
      </c>
      <c r="P58" s="1335" t="str">
        <f t="shared" si="2"/>
        <v/>
      </c>
      <c r="Q58" s="1335" t="str">
        <f t="shared" si="5"/>
        <v/>
      </c>
      <c r="R58" s="1355"/>
      <c r="S58" s="1333"/>
      <c r="T58" s="1337">
        <f t="shared" si="3"/>
        <v>1</v>
      </c>
      <c r="V58" s="1304" t="str">
        <f t="shared" si="38"/>
        <v>7.4</v>
      </c>
      <c r="W58" s="1338">
        <f>IF(SUM(T58)=0,"",AVERAGE(T58))</f>
        <v>1</v>
      </c>
      <c r="AF58" s="1478"/>
      <c r="AG58" s="1480"/>
      <c r="AH58" s="1480"/>
      <c r="AI58" s="1394"/>
      <c r="AJ58" s="1509"/>
      <c r="AK58" s="1482"/>
      <c r="AO58" s="1431"/>
      <c r="AP58" s="312"/>
      <c r="AQ58" s="1432"/>
      <c r="AR58" s="1422"/>
      <c r="AS58" s="1422"/>
      <c r="AT58" s="1499"/>
      <c r="AW58" s="1567"/>
      <c r="AX58" s="1350"/>
      <c r="AY58" s="1351"/>
      <c r="AZ58" s="1367"/>
      <c r="BA58" s="1368"/>
      <c r="BB58" s="1351"/>
      <c r="BF58">
        <f t="shared" si="13"/>
        <v>0</v>
      </c>
      <c r="BG58" s="340"/>
    </row>
    <row r="59" spans="2:59" ht="64.8">
      <c r="B59" s="1568"/>
      <c r="C59" s="1330" t="s">
        <v>1574</v>
      </c>
      <c r="D59" s="1331" t="s">
        <v>1575</v>
      </c>
      <c r="E59" s="1330" t="s">
        <v>1576</v>
      </c>
      <c r="F59" s="1333" t="s">
        <v>1577</v>
      </c>
      <c r="G59" s="1333" t="s">
        <v>1578</v>
      </c>
      <c r="H59" s="1333"/>
      <c r="I59" s="340"/>
      <c r="J59" s="340"/>
      <c r="K59" s="340">
        <v>1</v>
      </c>
      <c r="L59" s="340">
        <v>2</v>
      </c>
      <c r="M59" s="340">
        <v>3</v>
      </c>
      <c r="N59" s="1334">
        <v>1</v>
      </c>
      <c r="O59" s="1335" t="str">
        <f t="shared" si="1"/>
        <v>●</v>
      </c>
      <c r="P59" s="1335" t="str">
        <f t="shared" si="2"/>
        <v/>
      </c>
      <c r="Q59" s="1335" t="str">
        <f t="shared" si="5"/>
        <v/>
      </c>
      <c r="R59" s="1355"/>
      <c r="S59" s="1333"/>
      <c r="T59" s="1337">
        <f t="shared" si="3"/>
        <v>1</v>
      </c>
      <c r="V59" s="1304" t="str">
        <f t="shared" si="38"/>
        <v>7.5</v>
      </c>
      <c r="W59" s="1338">
        <f>IF(SUM(T59)=0,"",AVERAGE(T59))</f>
        <v>1</v>
      </c>
      <c r="AF59" s="1478"/>
      <c r="AG59" s="1480"/>
      <c r="AH59" s="1480"/>
      <c r="AI59" s="1394"/>
      <c r="AJ59" s="1509"/>
      <c r="AK59" s="1482"/>
      <c r="AO59" s="1431"/>
      <c r="AP59" s="312"/>
      <c r="AQ59" s="1432"/>
      <c r="AR59" s="1422"/>
      <c r="AS59" s="1422"/>
      <c r="AT59" s="1499"/>
      <c r="AW59" s="1567"/>
      <c r="AX59" s="1350"/>
      <c r="AY59" s="1351"/>
      <c r="AZ59" s="1367"/>
      <c r="BA59" s="1368"/>
      <c r="BB59" s="1351"/>
      <c r="BF59">
        <f t="shared" si="13"/>
        <v>0</v>
      </c>
      <c r="BG59" s="340"/>
    </row>
    <row r="60" spans="2:59" ht="75.599999999999994">
      <c r="B60" s="1569" t="s">
        <v>1579</v>
      </c>
      <c r="C60" s="1330" t="s">
        <v>1580</v>
      </c>
      <c r="D60" s="1331" t="s">
        <v>1581</v>
      </c>
      <c r="E60" s="1330" t="s">
        <v>1582</v>
      </c>
      <c r="F60" s="1332" t="s">
        <v>1583</v>
      </c>
      <c r="G60" s="1333" t="s">
        <v>1584</v>
      </c>
      <c r="H60" s="1333"/>
      <c r="I60" s="340"/>
      <c r="J60" s="340"/>
      <c r="K60" s="340">
        <v>1</v>
      </c>
      <c r="L60" s="340">
        <v>2</v>
      </c>
      <c r="M60" s="340">
        <v>3</v>
      </c>
      <c r="N60" s="1334">
        <v>1</v>
      </c>
      <c r="O60" s="1335" t="str">
        <f t="shared" si="1"/>
        <v>●</v>
      </c>
      <c r="P60" s="1335" t="str">
        <f t="shared" si="2"/>
        <v/>
      </c>
      <c r="Q60" s="1335" t="str">
        <f t="shared" si="5"/>
        <v/>
      </c>
      <c r="R60" s="1355"/>
      <c r="S60" s="1333"/>
      <c r="T60" s="1337">
        <f t="shared" si="3"/>
        <v>1</v>
      </c>
      <c r="V60" s="1304" t="str">
        <f t="shared" si="38"/>
        <v>8.1</v>
      </c>
      <c r="W60" s="1338">
        <f>IF(SUM(T60)=0,"",AVERAGE(T60))</f>
        <v>1</v>
      </c>
      <c r="X60" s="1338">
        <f>IF(SUM(W60:W67)=0,"",AVERAGE(W60:W67))</f>
        <v>1.3333333333333333</v>
      </c>
      <c r="AW60" s="1570"/>
      <c r="AX60" s="1506">
        <f>IFERROR(SUM(BA60:BA61)/AY60,"")</f>
        <v>0</v>
      </c>
      <c r="AY60" s="1353">
        <f>COUNTA(BB60:BB61)</f>
        <v>2</v>
      </c>
      <c r="AZ60" s="1460" t="s">
        <v>1580</v>
      </c>
      <c r="BA60" s="1352">
        <f>IFERROR(SUM(AK29:AK29)/BB60,"")</f>
        <v>0</v>
      </c>
      <c r="BB60" s="1353">
        <f>COUNTA(E60:E60)</f>
        <v>1</v>
      </c>
      <c r="BF60">
        <f t="shared" si="13"/>
        <v>0</v>
      </c>
      <c r="BG60" s="340"/>
    </row>
    <row r="61" spans="2:59" ht="16.2">
      <c r="B61" s="1571"/>
      <c r="C61" s="1961" t="s">
        <v>1585</v>
      </c>
      <c r="D61" s="1964" t="s">
        <v>1586</v>
      </c>
      <c r="E61" s="1961" t="s">
        <v>1587</v>
      </c>
      <c r="F61" s="1974" t="s">
        <v>1588</v>
      </c>
      <c r="G61" s="1974" t="s">
        <v>1589</v>
      </c>
      <c r="H61" s="1333" t="s">
        <v>1590</v>
      </c>
      <c r="I61" s="340">
        <f>スコア!P92</f>
        <v>3</v>
      </c>
      <c r="J61" s="340">
        <f t="shared" ref="J61:J64" si="51">IF(I61&gt;=4,3,IF(I61&gt;=2,2,IF(I61=1,1,"")))</f>
        <v>2</v>
      </c>
      <c r="K61" s="340"/>
      <c r="L61" s="340"/>
      <c r="M61" s="340"/>
      <c r="N61" s="1370">
        <f>IF(SUM(J61:J62)=0,"",ROUND(AVERAGE(J61:J62),0))</f>
        <v>2</v>
      </c>
      <c r="O61" s="1335" t="str">
        <f t="shared" si="1"/>
        <v/>
      </c>
      <c r="P61" s="1335" t="str">
        <f t="shared" si="2"/>
        <v>●</v>
      </c>
      <c r="Q61" s="1335" t="str">
        <f t="shared" si="5"/>
        <v/>
      </c>
      <c r="R61" s="1336"/>
      <c r="S61" s="1334"/>
      <c r="T61" s="1337">
        <f>IF(N61="",$I$6,IF(N61+S61&gt;3,3,N61+S61))</f>
        <v>2</v>
      </c>
      <c r="V61" s="1304" t="str">
        <f t="shared" si="38"/>
        <v>8.2</v>
      </c>
      <c r="W61" s="1338">
        <f>IF(SUM(T61:T62)=0,"",AVERAGE(T61:T62))</f>
        <v>2</v>
      </c>
      <c r="AF61" s="1531" t="str">
        <f>IF(AR61=1,"●","")</f>
        <v/>
      </c>
      <c r="AG61" s="1545" t="str">
        <f>IF(AR61=2,"●","")</f>
        <v/>
      </c>
      <c r="AH61" s="1545" t="str">
        <f>IF(AR61=3,"●","")</f>
        <v/>
      </c>
      <c r="AI61" s="1419"/>
      <c r="AJ61" s="1533"/>
      <c r="AK61" s="1421" t="str">
        <f>AS61</f>
        <v/>
      </c>
      <c r="AO61" s="1538"/>
      <c r="AP61" s="1539"/>
      <c r="AQ61" s="1540"/>
      <c r="AR61" s="1348" t="str">
        <f>IF(AQ61="","",IF(AQ61&lt;=AQ$7,1,IF(AQ61&lt;AS$7,2,IF(AQ61&gt;=AS$7,3,""))))</f>
        <v/>
      </c>
      <c r="AS61" s="1348" t="str">
        <f>IF(AR61="","",IF(AR61=3,3,IF(AT61=TRUE,AR61+1,AR61)))</f>
        <v/>
      </c>
      <c r="AT61" s="1547"/>
      <c r="AW61" s="1572"/>
      <c r="AX61" s="1350"/>
      <c r="AY61" s="1351"/>
      <c r="AZ61" s="1460" t="s">
        <v>1585</v>
      </c>
      <c r="BA61" s="1352">
        <f>IFERROR(SUM(AK31:AK61)/BB61,"")</f>
        <v>0</v>
      </c>
      <c r="BB61" s="1353">
        <f>COUNTA(E61:E61)</f>
        <v>1</v>
      </c>
      <c r="BF61" t="str">
        <f t="shared" si="13"/>
        <v>Q3.3.1.1「雇用創出」</v>
      </c>
      <c r="BG61" s="340" t="str">
        <f>スコア!BN92</f>
        <v>3.3.1.1 雇用創出</v>
      </c>
    </row>
    <row r="62" spans="2:59" ht="16.2">
      <c r="B62" s="1571"/>
      <c r="C62" s="1963"/>
      <c r="D62" s="1966"/>
      <c r="E62" s="1963"/>
      <c r="F62" s="1966"/>
      <c r="G62" s="1966"/>
      <c r="H62" s="1333" t="s">
        <v>1591</v>
      </c>
      <c r="I62" s="340">
        <f>スコア!P95</f>
        <v>3</v>
      </c>
      <c r="J62" s="340">
        <f t="shared" si="51"/>
        <v>2</v>
      </c>
      <c r="K62" s="340"/>
      <c r="L62" s="340"/>
      <c r="M62" s="340"/>
      <c r="N62" s="1370" t="s">
        <v>311</v>
      </c>
      <c r="O62" s="1335" t="str">
        <f t="shared" si="1"/>
        <v/>
      </c>
      <c r="P62" s="1335" t="str">
        <f t="shared" si="2"/>
        <v/>
      </c>
      <c r="Q62" s="1335" t="str">
        <f t="shared" si="5"/>
        <v/>
      </c>
      <c r="R62" s="1336"/>
      <c r="S62" s="1333"/>
      <c r="T62" s="1337" t="s">
        <v>311</v>
      </c>
      <c r="V62" s="1304">
        <f t="shared" si="38"/>
        <v>0</v>
      </c>
      <c r="AF62" s="1531"/>
      <c r="AG62" s="1545"/>
      <c r="AH62" s="1545"/>
      <c r="AI62" s="1419"/>
      <c r="AJ62" s="1533"/>
      <c r="AK62" s="1421"/>
      <c r="AO62" s="1573"/>
      <c r="AP62" s="1574"/>
      <c r="AQ62" s="1575"/>
      <c r="AR62" s="1422"/>
      <c r="AS62" s="1422"/>
      <c r="AT62" s="1455"/>
      <c r="AW62" s="1572"/>
      <c r="AX62" s="1350"/>
      <c r="AY62" s="1351"/>
      <c r="AZ62" s="1367"/>
      <c r="BA62" s="1368"/>
      <c r="BB62" s="1351"/>
      <c r="BF62" t="str">
        <f t="shared" si="13"/>
        <v>Q3.3.2.1「地域産業の振興」</v>
      </c>
      <c r="BG62" s="340" t="str">
        <f>スコア!BN95</f>
        <v>3.3.2.1 地域産業の振興</v>
      </c>
    </row>
    <row r="63" spans="2:59" ht="21.6">
      <c r="B63" s="1571"/>
      <c r="C63" s="1961" t="s">
        <v>1592</v>
      </c>
      <c r="D63" s="1964" t="s">
        <v>1593</v>
      </c>
      <c r="E63" s="1330" t="s">
        <v>1594</v>
      </c>
      <c r="F63" s="1333" t="s">
        <v>1595</v>
      </c>
      <c r="G63" s="1333" t="s">
        <v>1596</v>
      </c>
      <c r="H63" s="1333" t="s">
        <v>1597</v>
      </c>
      <c r="I63" s="340">
        <f>スコア!P122</f>
        <v>3</v>
      </c>
      <c r="J63" s="340">
        <f t="shared" si="51"/>
        <v>2</v>
      </c>
      <c r="K63" s="340"/>
      <c r="L63" s="340"/>
      <c r="M63" s="340"/>
      <c r="N63" s="1370">
        <f t="shared" ref="N63:N64" si="52">IF(SUM(J63)=0,"",ROUND(AVERAGE(J63),0))</f>
        <v>2</v>
      </c>
      <c r="O63" s="1335" t="str">
        <f t="shared" si="1"/>
        <v/>
      </c>
      <c r="P63" s="1335" t="str">
        <f t="shared" si="2"/>
        <v>●</v>
      </c>
      <c r="Q63" s="1335" t="str">
        <f t="shared" si="5"/>
        <v/>
      </c>
      <c r="R63" s="1336"/>
      <c r="S63" s="1333"/>
      <c r="T63" s="1337">
        <f t="shared" si="3"/>
        <v>2</v>
      </c>
      <c r="V63" s="1304" t="str">
        <f t="shared" si="38"/>
        <v>8.3</v>
      </c>
      <c r="W63" s="1338">
        <f>IF(SUM(T63:T64)=0,"",AVERAGE(T63:T64))</f>
        <v>2</v>
      </c>
      <c r="AF63" s="1417" t="str">
        <f>IF(AR63=1,"●","")</f>
        <v/>
      </c>
      <c r="AG63" s="1576" t="str">
        <f>IF(AR63=2,"●","")</f>
        <v/>
      </c>
      <c r="AH63" s="1576" t="str">
        <f>IF(AR63=3,"●","")</f>
        <v/>
      </c>
      <c r="AI63" s="1481"/>
      <c r="AJ63" s="1420"/>
      <c r="AK63" s="1520" t="str">
        <f>AS63</f>
        <v/>
      </c>
      <c r="AO63" s="1377"/>
      <c r="AP63" s="1378"/>
      <c r="AQ63" s="1389"/>
      <c r="AR63" s="1380" t="str">
        <f>IF(AQ63="","",IF(AQ63&lt;=AQ$7,1,IF(AQ63&lt;AS$7,2,IF(AQ63&gt;=AS$7,3,""))))</f>
        <v/>
      </c>
      <c r="AS63" s="1380" t="str">
        <f>IF(AR63="","",IF(AR63=3,3,IF(AT63=TRUE,AR63+1,AR63)))</f>
        <v/>
      </c>
      <c r="AT63" s="1496"/>
      <c r="AW63" s="1572"/>
      <c r="AX63" s="1350"/>
      <c r="AY63" s="1351"/>
      <c r="AZ63" s="1367"/>
      <c r="BA63" s="1368"/>
      <c r="BB63" s="1351"/>
      <c r="BF63" t="str">
        <f t="shared" si="13"/>
        <v>LR2.3.1.2「リサイクル資材の使用(躯体、非構造材料)」</v>
      </c>
      <c r="BG63" s="340" t="str">
        <f>スコア!BN122</f>
        <v>2.3.1.2 リサイクル資材の使用(躯体、非構造材料)</v>
      </c>
    </row>
    <row r="64" spans="2:59" ht="21.6">
      <c r="B64" s="1571"/>
      <c r="C64" s="1963"/>
      <c r="D64" s="1966"/>
      <c r="E64" s="1330" t="s">
        <v>1598</v>
      </c>
      <c r="F64" s="1333" t="s">
        <v>1599</v>
      </c>
      <c r="G64" s="1333" t="s">
        <v>1600</v>
      </c>
      <c r="H64" s="1333" t="s">
        <v>1601</v>
      </c>
      <c r="I64" s="340">
        <f>スコア!P121</f>
        <v>3</v>
      </c>
      <c r="J64" s="340">
        <f t="shared" si="51"/>
        <v>2</v>
      </c>
      <c r="K64" s="340"/>
      <c r="L64" s="340"/>
      <c r="M64" s="340"/>
      <c r="N64" s="1370">
        <f t="shared" si="52"/>
        <v>2</v>
      </c>
      <c r="O64" s="1335" t="str">
        <f t="shared" si="1"/>
        <v/>
      </c>
      <c r="P64" s="1335" t="str">
        <f t="shared" si="2"/>
        <v>●</v>
      </c>
      <c r="Q64" s="1335" t="str">
        <f t="shared" si="5"/>
        <v/>
      </c>
      <c r="R64" s="1336"/>
      <c r="S64" s="1333"/>
      <c r="T64" s="1337">
        <f t="shared" si="3"/>
        <v>2</v>
      </c>
      <c r="V64" s="1304">
        <f t="shared" si="38"/>
        <v>0</v>
      </c>
      <c r="AF64" s="1525" t="str">
        <f>IF(AR64=1,"●","")</f>
        <v/>
      </c>
      <c r="AG64" s="1577" t="str">
        <f>IF(AR64=2,"●","")</f>
        <v/>
      </c>
      <c r="AH64" s="1577" t="str">
        <f>IF(AR64=3,"●","")</f>
        <v/>
      </c>
      <c r="AI64" s="1465"/>
      <c r="AJ64" s="1527"/>
      <c r="AK64" s="1498" t="str">
        <f>AS64</f>
        <v/>
      </c>
      <c r="AO64" s="1397"/>
      <c r="AP64" s="1398"/>
      <c r="AQ64" s="1456"/>
      <c r="AR64" s="1400" t="str">
        <f>IF(AQ64="","",IF(AQ64&lt;=AQ$7,1,IF(AQ64&lt;AS$7,2,IF(AQ64&gt;=AS$7,3,""))))</f>
        <v/>
      </c>
      <c r="AS64" s="1400" t="str">
        <f>IF(AR64="","",IF(AR64=3,3,IF(AT64=TRUE,AR64+1,AR64)))</f>
        <v/>
      </c>
      <c r="AT64" s="1544"/>
      <c r="AW64" s="1572"/>
      <c r="AX64" s="1350"/>
      <c r="AY64" s="1351"/>
      <c r="AZ64" s="1367"/>
      <c r="BA64" s="1368"/>
      <c r="BB64" s="1351"/>
      <c r="BF64" t="str">
        <f t="shared" si="13"/>
        <v>LR2.3.1.1「持続可能な森林の木材使用」</v>
      </c>
      <c r="BG64" s="340" t="str">
        <f>スコア!BN121</f>
        <v>2.3.1.1 持続可能な森林の木材使用</v>
      </c>
    </row>
    <row r="65" spans="1:59" ht="64.8">
      <c r="B65" s="1571"/>
      <c r="C65" s="1330" t="s">
        <v>1602</v>
      </c>
      <c r="D65" s="1331" t="s">
        <v>1603</v>
      </c>
      <c r="E65" s="1330" t="s">
        <v>1604</v>
      </c>
      <c r="F65" s="1333" t="s">
        <v>1605</v>
      </c>
      <c r="G65" s="1333" t="s">
        <v>1606</v>
      </c>
      <c r="H65" s="1333"/>
      <c r="I65" s="340"/>
      <c r="J65" s="340"/>
      <c r="K65" s="340">
        <v>1</v>
      </c>
      <c r="L65" s="340">
        <v>2</v>
      </c>
      <c r="M65" s="340">
        <v>3</v>
      </c>
      <c r="N65" s="1334">
        <v>1</v>
      </c>
      <c r="O65" s="1335" t="str">
        <f t="shared" si="1"/>
        <v>●</v>
      </c>
      <c r="P65" s="1335" t="str">
        <f t="shared" si="2"/>
        <v/>
      </c>
      <c r="Q65" s="1335" t="str">
        <f t="shared" si="5"/>
        <v/>
      </c>
      <c r="R65" s="1355"/>
      <c r="S65" s="1333"/>
      <c r="T65" s="1337">
        <f t="shared" si="3"/>
        <v>1</v>
      </c>
      <c r="V65" s="1304" t="str">
        <f t="shared" si="38"/>
        <v>8.4</v>
      </c>
      <c r="W65" s="1338">
        <f>IF(SUM(T65)=0,"",AVERAGE(T65))</f>
        <v>1</v>
      </c>
      <c r="AF65" s="1478"/>
      <c r="AG65" s="1508"/>
      <c r="AH65" s="1480"/>
      <c r="AI65" s="1394"/>
      <c r="AJ65" s="1509"/>
      <c r="AK65" s="1482"/>
      <c r="AO65" s="1431"/>
      <c r="AP65" s="312"/>
      <c r="AQ65" s="1432"/>
      <c r="AR65" s="1422"/>
      <c r="AS65" s="1422"/>
      <c r="AT65" s="1499"/>
      <c r="AW65" s="1572"/>
      <c r="AX65" s="1350"/>
      <c r="AY65" s="1351"/>
      <c r="AZ65" s="1367"/>
      <c r="BA65" s="1368"/>
      <c r="BB65" s="1351"/>
      <c r="BF65">
        <f t="shared" si="13"/>
        <v>0</v>
      </c>
      <c r="BG65" s="340"/>
    </row>
    <row r="66" spans="1:59" ht="43.2">
      <c r="B66" s="1571"/>
      <c r="C66" s="1330" t="s">
        <v>1607</v>
      </c>
      <c r="D66" s="1331" t="s">
        <v>1608</v>
      </c>
      <c r="E66" s="1330" t="s">
        <v>1609</v>
      </c>
      <c r="F66" s="1333" t="s">
        <v>1610</v>
      </c>
      <c r="G66" s="1333" t="s">
        <v>1611</v>
      </c>
      <c r="H66" s="1333"/>
      <c r="I66" s="340"/>
      <c r="J66" s="340"/>
      <c r="K66" s="340">
        <v>1</v>
      </c>
      <c r="L66" s="340" t="s">
        <v>311</v>
      </c>
      <c r="M66" s="340">
        <v>3</v>
      </c>
      <c r="N66" s="1334">
        <v>1</v>
      </c>
      <c r="O66" s="1335" t="str">
        <f t="shared" si="1"/>
        <v>●</v>
      </c>
      <c r="P66" s="1335" t="str">
        <f t="shared" si="2"/>
        <v/>
      </c>
      <c r="Q66" s="1335" t="str">
        <f t="shared" si="5"/>
        <v/>
      </c>
      <c r="R66" s="1355"/>
      <c r="S66" s="1333"/>
      <c r="T66" s="1337">
        <f t="shared" si="3"/>
        <v>1</v>
      </c>
      <c r="V66" s="1304" t="str">
        <f t="shared" si="38"/>
        <v>8.5</v>
      </c>
      <c r="W66" s="1338">
        <f>IF(SUM(T66)=0,"",AVERAGE(T66))</f>
        <v>1</v>
      </c>
      <c r="AF66" s="1478"/>
      <c r="AG66" s="1508"/>
      <c r="AH66" s="1480"/>
      <c r="AI66" s="1394"/>
      <c r="AJ66" s="1509"/>
      <c r="AK66" s="1482"/>
      <c r="AO66" s="1431"/>
      <c r="AP66" s="312"/>
      <c r="AQ66" s="1432"/>
      <c r="AR66" s="1422"/>
      <c r="AS66" s="1422"/>
      <c r="AT66" s="1499"/>
      <c r="AW66" s="1572"/>
      <c r="AX66" s="1350"/>
      <c r="AY66" s="1351"/>
      <c r="AZ66" s="1367"/>
      <c r="BA66" s="1368"/>
      <c r="BB66" s="1351"/>
      <c r="BF66">
        <f t="shared" si="13"/>
        <v>0</v>
      </c>
      <c r="BG66" s="340"/>
    </row>
    <row r="67" spans="1:59" ht="64.8">
      <c r="B67" s="1571"/>
      <c r="C67" s="1330" t="s">
        <v>1612</v>
      </c>
      <c r="D67" s="1331" t="s">
        <v>1613</v>
      </c>
      <c r="E67" s="1330" t="s">
        <v>1614</v>
      </c>
      <c r="F67" s="1333" t="s">
        <v>1615</v>
      </c>
      <c r="G67" s="1333" t="s">
        <v>1616</v>
      </c>
      <c r="H67" s="1333"/>
      <c r="I67" s="340"/>
      <c r="J67" s="340"/>
      <c r="K67" s="340">
        <v>1</v>
      </c>
      <c r="L67" s="340" t="s">
        <v>311</v>
      </c>
      <c r="M67" s="340">
        <v>3</v>
      </c>
      <c r="N67" s="1334">
        <v>1</v>
      </c>
      <c r="O67" s="1335" t="str">
        <f t="shared" ref="O67:O127" si="53">IF(N67=1,$J$6,"")</f>
        <v>●</v>
      </c>
      <c r="P67" s="1335" t="str">
        <f t="shared" ref="P67:P127" si="54">IF(N67=2,$J$6,"")</f>
        <v/>
      </c>
      <c r="Q67" s="1335" t="str">
        <f t="shared" ref="Q67:Q127" si="55">IF(N67=3,$J$6,"")</f>
        <v/>
      </c>
      <c r="R67" s="1355"/>
      <c r="S67" s="1333"/>
      <c r="T67" s="1337">
        <f t="shared" ref="T67:T127" si="56">IF(N67="",$I$6,IF(N67+S67&gt;3,3,N67+S67))</f>
        <v>1</v>
      </c>
      <c r="V67" s="1304" t="str">
        <f t="shared" ref="V67:V76" si="57">C67</f>
        <v>8.6</v>
      </c>
      <c r="W67" s="1338">
        <f>IF(SUM(T67)=0,"",AVERAGE(T67))</f>
        <v>1</v>
      </c>
      <c r="AF67" s="1478"/>
      <c r="AG67" s="1508"/>
      <c r="AH67" s="1480"/>
      <c r="AI67" s="1394"/>
      <c r="AJ67" s="1509"/>
      <c r="AK67" s="1482"/>
      <c r="AO67" s="1431"/>
      <c r="AP67" s="312"/>
      <c r="AQ67" s="1432"/>
      <c r="AR67" s="1422"/>
      <c r="AS67" s="1422"/>
      <c r="AT67" s="1499"/>
      <c r="AW67" s="1572"/>
      <c r="AX67" s="1350"/>
      <c r="AY67" s="1351"/>
      <c r="AZ67" s="1367"/>
      <c r="BA67" s="1368"/>
      <c r="BB67" s="1351"/>
      <c r="BF67">
        <f t="shared" si="13"/>
        <v>0</v>
      </c>
      <c r="BG67" s="340"/>
    </row>
    <row r="68" spans="1:59" ht="16.2">
      <c r="B68" s="1984" t="s">
        <v>1617</v>
      </c>
      <c r="C68" s="1961" t="s">
        <v>1618</v>
      </c>
      <c r="D68" s="1964" t="s">
        <v>1988</v>
      </c>
      <c r="E68" s="1961" t="s">
        <v>1619</v>
      </c>
      <c r="F68" s="1974" t="s">
        <v>1989</v>
      </c>
      <c r="G68" s="1974" t="s">
        <v>1620</v>
      </c>
      <c r="H68" s="1333" t="s">
        <v>1621</v>
      </c>
      <c r="I68" s="340">
        <f>スコア!P81</f>
        <v>3</v>
      </c>
      <c r="J68" s="340">
        <f t="shared" ref="J68:J72" si="58">IF(I68&gt;=4,3,IF(I68&gt;=2,2,IF(I68=1,1,"")))</f>
        <v>2</v>
      </c>
      <c r="K68" s="340"/>
      <c r="L68" s="340"/>
      <c r="M68" s="340"/>
      <c r="N68" s="1370">
        <f>IF(SUM(J68:J70)=0,"",ROUND(AVERAGE(J68:J70),0))</f>
        <v>2</v>
      </c>
      <c r="O68" s="1335" t="str">
        <f t="shared" si="53"/>
        <v/>
      </c>
      <c r="P68" s="1335" t="str">
        <f t="shared" si="54"/>
        <v>●</v>
      </c>
      <c r="Q68" s="1335" t="str">
        <f t="shared" si="55"/>
        <v/>
      </c>
      <c r="R68" s="1336"/>
      <c r="S68" s="1334"/>
      <c r="T68" s="1337">
        <f t="shared" si="56"/>
        <v>2</v>
      </c>
      <c r="V68" s="1304" t="str">
        <f t="shared" si="57"/>
        <v>9.1</v>
      </c>
      <c r="W68" s="1338">
        <f>IF(SUM(T68:T70)=0,"",AVERAGE(T68:T70))</f>
        <v>2</v>
      </c>
      <c r="X68" s="1338">
        <f>IF(SUM(W68:W76)=0,"",AVERAGE(W68:W76))</f>
        <v>1.5</v>
      </c>
      <c r="AF68" s="1531" t="str">
        <f>IF(AR68=1,"●","")</f>
        <v/>
      </c>
      <c r="AG68" s="1545" t="str">
        <f>IF(AR68=2,"●","")</f>
        <v/>
      </c>
      <c r="AH68" s="1545" t="str">
        <f>IF(AR68=3,"●","")</f>
        <v/>
      </c>
      <c r="AI68" s="1394"/>
      <c r="AJ68" s="1509"/>
      <c r="AK68" s="1421" t="str">
        <f>AS68</f>
        <v/>
      </c>
      <c r="AO68" s="1397"/>
      <c r="AP68" s="1398"/>
      <c r="AQ68" s="1456"/>
      <c r="AR68" s="1400" t="str">
        <f>IF(AQ68="","",IF(AQ68&lt;=AQ$7,1,IF(AQ68&lt;AS$7,2,IF(AQ68&gt;=AS$7,3,""))))</f>
        <v/>
      </c>
      <c r="AS68" s="1400" t="str">
        <f>IF(AR68="","",IF(AR68=3,3,IF(AT68=TRUE,AR68+1,AR68)))</f>
        <v/>
      </c>
      <c r="AT68" s="1544"/>
      <c r="AW68" s="1578"/>
      <c r="AX68" s="1506">
        <f>IFERROR(SUM(BA68:BA71)/AY68,"")</f>
        <v>0</v>
      </c>
      <c r="AY68" s="1353">
        <f>COUNTA(BB68:BB71)</f>
        <v>2</v>
      </c>
      <c r="AZ68" s="1460" t="s">
        <v>1618</v>
      </c>
      <c r="BA68" s="1352">
        <f>IFERROR(SUM(AK47:AK67)/BB68,"")</f>
        <v>0</v>
      </c>
      <c r="BB68" s="1353">
        <f>COUNTA(E68:E68)</f>
        <v>1</v>
      </c>
      <c r="BF68" t="str">
        <f t="shared" si="13"/>
        <v>Q3.1.2.1「交通施設整備」</v>
      </c>
      <c r="BG68" s="340" t="str">
        <f>スコア!BN81</f>
        <v>3.1.2.1 交通施設整備</v>
      </c>
    </row>
    <row r="69" spans="1:59" ht="16.2">
      <c r="B69" s="1985"/>
      <c r="C69" s="1962"/>
      <c r="D69" s="1965"/>
      <c r="E69" s="1962"/>
      <c r="F69" s="1965"/>
      <c r="G69" s="1965"/>
      <c r="H69" s="1333" t="s">
        <v>1622</v>
      </c>
      <c r="I69" s="340">
        <f>スコア!P82</f>
        <v>3</v>
      </c>
      <c r="J69" s="340">
        <f t="shared" si="58"/>
        <v>2</v>
      </c>
      <c r="K69" s="340"/>
      <c r="L69" s="340"/>
      <c r="M69" s="340"/>
      <c r="N69" s="1370" t="s">
        <v>311</v>
      </c>
      <c r="O69" s="1335" t="str">
        <f t="shared" si="53"/>
        <v/>
      </c>
      <c r="P69" s="1335" t="str">
        <f t="shared" si="54"/>
        <v/>
      </c>
      <c r="Q69" s="1335" t="str">
        <f t="shared" si="55"/>
        <v/>
      </c>
      <c r="R69" s="1336"/>
      <c r="S69" s="1333"/>
      <c r="T69" s="1337" t="s">
        <v>311</v>
      </c>
      <c r="V69" s="1304">
        <f t="shared" si="57"/>
        <v>0</v>
      </c>
      <c r="AF69" s="1531"/>
      <c r="AG69" s="1545"/>
      <c r="AH69" s="1545"/>
      <c r="AI69" s="1394"/>
      <c r="AJ69" s="1509"/>
      <c r="AK69" s="1421"/>
      <c r="AO69" s="1397"/>
      <c r="AP69" s="1398"/>
      <c r="AQ69" s="1456"/>
      <c r="AR69" s="1400"/>
      <c r="AS69" s="1400"/>
      <c r="AT69" s="1544"/>
      <c r="AW69" s="1579"/>
      <c r="AX69" s="1350"/>
      <c r="AY69" s="1351"/>
      <c r="AZ69" s="1460"/>
      <c r="BA69" s="1352"/>
      <c r="BB69" s="1353"/>
      <c r="BF69" t="str">
        <f t="shared" si="13"/>
        <v>Q3.1.2.2「公共交通指向型開発」</v>
      </c>
      <c r="BG69" s="340" t="str">
        <f>スコア!BN82</f>
        <v>3.1.2.2 公共交通指向型開発</v>
      </c>
    </row>
    <row r="70" spans="1:59" ht="16.2">
      <c r="B70" s="1580"/>
      <c r="C70" s="1963"/>
      <c r="D70" s="1966"/>
      <c r="E70" s="1963"/>
      <c r="F70" s="1966"/>
      <c r="G70" s="1966"/>
      <c r="H70" s="1333" t="s">
        <v>1623</v>
      </c>
      <c r="I70" s="340">
        <f>スコア!P83</f>
        <v>3</v>
      </c>
      <c r="J70" s="340">
        <f t="shared" si="58"/>
        <v>2</v>
      </c>
      <c r="K70" s="340"/>
      <c r="L70" s="340"/>
      <c r="M70" s="340"/>
      <c r="N70" s="1370" t="s">
        <v>311</v>
      </c>
      <c r="O70" s="1335" t="str">
        <f t="shared" si="53"/>
        <v/>
      </c>
      <c r="P70" s="1335" t="str">
        <f t="shared" si="54"/>
        <v/>
      </c>
      <c r="Q70" s="1335" t="str">
        <f t="shared" si="55"/>
        <v/>
      </c>
      <c r="R70" s="1336"/>
      <c r="S70" s="1333"/>
      <c r="T70" s="1337" t="s">
        <v>311</v>
      </c>
      <c r="V70" s="1304">
        <f t="shared" si="57"/>
        <v>0</v>
      </c>
      <c r="AF70" s="1531"/>
      <c r="AG70" s="1545"/>
      <c r="AH70" s="1545"/>
      <c r="AI70" s="1394"/>
      <c r="AJ70" s="1509"/>
      <c r="AK70" s="1421"/>
      <c r="AO70" s="1397"/>
      <c r="AP70" s="1398"/>
      <c r="AQ70" s="1456"/>
      <c r="AR70" s="1400"/>
      <c r="AS70" s="1400"/>
      <c r="AT70" s="1544"/>
      <c r="AW70" s="1579"/>
      <c r="AX70" s="1350"/>
      <c r="AY70" s="1351"/>
      <c r="AZ70" s="1460"/>
      <c r="BA70" s="1352"/>
      <c r="BB70" s="1353"/>
      <c r="BF70" t="str">
        <f t="shared" si="13"/>
        <v>Q3.1.2.3「モビリティサービス」</v>
      </c>
      <c r="BG70" s="340" t="str">
        <f>スコア!BN83</f>
        <v>3.1.2.3 モビリティサービス</v>
      </c>
    </row>
    <row r="71" spans="1:59" ht="32.4">
      <c r="B71" s="1581"/>
      <c r="C71" s="1961" t="s">
        <v>1624</v>
      </c>
      <c r="D71" s="1964" t="s">
        <v>1625</v>
      </c>
      <c r="E71" s="1700" t="s">
        <v>1626</v>
      </c>
      <c r="F71" s="1699" t="s">
        <v>1627</v>
      </c>
      <c r="G71" s="1699" t="s">
        <v>1628</v>
      </c>
      <c r="H71" s="1333" t="s">
        <v>1965</v>
      </c>
      <c r="I71" s="340">
        <f>スコア!P61</f>
        <v>3</v>
      </c>
      <c r="J71" s="340">
        <f t="shared" si="58"/>
        <v>2</v>
      </c>
      <c r="K71" s="340"/>
      <c r="L71" s="340"/>
      <c r="M71" s="340"/>
      <c r="N71" s="1370">
        <f t="shared" ref="N71" si="59">IF(SUM(J71)=0,"",ROUND(AVERAGE(J71),0))</f>
        <v>2</v>
      </c>
      <c r="O71" s="1335" t="str">
        <f t="shared" si="53"/>
        <v/>
      </c>
      <c r="P71" s="1335" t="str">
        <f t="shared" si="54"/>
        <v>●</v>
      </c>
      <c r="Q71" s="1335" t="str">
        <f t="shared" si="55"/>
        <v/>
      </c>
      <c r="R71" s="1336"/>
      <c r="S71" s="1333"/>
      <c r="T71" s="1337">
        <f t="shared" si="56"/>
        <v>2</v>
      </c>
      <c r="V71" s="1304" t="str">
        <f t="shared" si="57"/>
        <v>9.2</v>
      </c>
      <c r="W71" s="1338">
        <f>IF(SUM(T71:T72)=0,"",AVERAGE(T71:T72))</f>
        <v>2</v>
      </c>
      <c r="AF71" s="1439" t="str">
        <f>IF(AR71=1,"●","")</f>
        <v/>
      </c>
      <c r="AG71" s="1494" t="str">
        <f>IF(AR71=2,"●","")</f>
        <v/>
      </c>
      <c r="AH71" s="1494" t="str">
        <f>IF(AR71=3,"●","")</f>
        <v/>
      </c>
      <c r="AI71" s="1442"/>
      <c r="AJ71" s="1495"/>
      <c r="AK71" s="1444" t="str">
        <f>AS71</f>
        <v/>
      </c>
      <c r="AO71" s="1397"/>
      <c r="AP71" s="1398"/>
      <c r="AQ71" s="1456"/>
      <c r="AR71" s="1400" t="str">
        <f>IF(AQ71="","",IF(AQ71&lt;=AQ$7,1,IF(AQ71&lt;AS$7,2,IF(AQ71&gt;=AS$7,3,""))))</f>
        <v/>
      </c>
      <c r="AS71" s="1400" t="str">
        <f>IF(AR71="","",IF(AR71=3,3,IF(AT71=TRUE,AR71+1,AR71)))</f>
        <v/>
      </c>
      <c r="AT71" s="1544"/>
      <c r="AW71" s="1582"/>
      <c r="AX71" s="1549"/>
      <c r="AY71" s="1477"/>
      <c r="AZ71" s="1535" t="s">
        <v>1624</v>
      </c>
      <c r="BA71" s="1536">
        <f>IFERROR(SUM(AK51)/BB71,"")</f>
        <v>0</v>
      </c>
      <c r="BB71" s="1537">
        <f>COUNTA(C71)</f>
        <v>1</v>
      </c>
      <c r="BF71" t="str">
        <f t="shared" si="13"/>
        <v>Q2.4.1 「防災基本性能」</v>
      </c>
      <c r="BG71" s="340" t="str">
        <f>スコア!BN61</f>
        <v>2.4.1 防災基本性能</v>
      </c>
    </row>
    <row r="72" spans="1:59" ht="21.6">
      <c r="A72" s="1300"/>
      <c r="B72" s="1581"/>
      <c r="C72" s="1963"/>
      <c r="D72" s="1966"/>
      <c r="E72" s="1330" t="s">
        <v>1630</v>
      </c>
      <c r="F72" s="1332" t="s">
        <v>1631</v>
      </c>
      <c r="G72" s="1333" t="s">
        <v>1632</v>
      </c>
      <c r="H72" s="1333" t="s">
        <v>1633</v>
      </c>
      <c r="I72" s="340">
        <f>スコア!P65</f>
        <v>3</v>
      </c>
      <c r="J72" s="340">
        <f t="shared" si="58"/>
        <v>2</v>
      </c>
      <c r="K72" s="340"/>
      <c r="L72" s="340"/>
      <c r="M72" s="340"/>
      <c r="N72" s="1370">
        <f t="shared" ref="N72" si="60">IF(SUM(J72)=0,"",ROUND(AVERAGE(J72),0))</f>
        <v>2</v>
      </c>
      <c r="O72" s="1335" t="str">
        <f t="shared" si="53"/>
        <v/>
      </c>
      <c r="P72" s="1335" t="str">
        <f t="shared" si="54"/>
        <v>●</v>
      </c>
      <c r="Q72" s="1335" t="str">
        <f t="shared" si="55"/>
        <v/>
      </c>
      <c r="R72" s="1336"/>
      <c r="S72" s="1333"/>
      <c r="T72" s="1337">
        <f t="shared" si="56"/>
        <v>2</v>
      </c>
      <c r="V72" s="1304">
        <f t="shared" si="57"/>
        <v>0</v>
      </c>
      <c r="AF72" s="1531" t="str">
        <f>IF(AR72=1,"●","")</f>
        <v/>
      </c>
      <c r="AG72" s="1545" t="str">
        <f>IF(AR72=2,"●","")</f>
        <v/>
      </c>
      <c r="AH72" s="1545" t="str">
        <f>IF(AR72=3,"●","")</f>
        <v/>
      </c>
      <c r="AI72" s="1419"/>
      <c r="AJ72" s="1343"/>
      <c r="AK72" s="1421" t="str">
        <f>AS72</f>
        <v/>
      </c>
      <c r="AO72" s="1538"/>
      <c r="AP72" s="1539"/>
      <c r="AQ72" s="1540"/>
      <c r="AR72" s="1348" t="str">
        <f>IF(AQ72="","",IF(AQ72&lt;=AQ$7,1,IF(AQ72&lt;AS$7,2,IF(AQ72&gt;=AS$7,3,""))))</f>
        <v/>
      </c>
      <c r="AS72" s="1348" t="str">
        <f>IF(AR72="","",IF(AR72=3,3,IF(AT72=TRUE,AR72+1,AR72)))</f>
        <v/>
      </c>
      <c r="AT72" s="1547"/>
      <c r="AW72" s="1582"/>
      <c r="AX72" s="1549"/>
      <c r="AY72" s="1477"/>
      <c r="AZ72" s="1535"/>
      <c r="BA72" s="1536"/>
      <c r="BB72" s="1537"/>
      <c r="BF72" t="str">
        <f t="shared" si="13"/>
        <v>Q2.4.2「発災後の対応性能」</v>
      </c>
      <c r="BG72" s="340" t="str">
        <f>スコア!BN65</f>
        <v>2.4.2 発災後の対応性能</v>
      </c>
    </row>
    <row r="73" spans="1:59" ht="64.8">
      <c r="A73" s="1300"/>
      <c r="B73" s="1581"/>
      <c r="C73" s="1330" t="s">
        <v>1634</v>
      </c>
      <c r="D73" s="1331" t="s">
        <v>1635</v>
      </c>
      <c r="E73" s="1330" t="s">
        <v>2012</v>
      </c>
      <c r="F73" s="1332" t="s">
        <v>1636</v>
      </c>
      <c r="G73" s="1333" t="s">
        <v>1973</v>
      </c>
      <c r="H73" s="1333"/>
      <c r="I73" s="340"/>
      <c r="J73" s="340"/>
      <c r="K73" s="340">
        <v>1</v>
      </c>
      <c r="L73" s="340">
        <v>2</v>
      </c>
      <c r="M73" s="340">
        <v>3</v>
      </c>
      <c r="N73" s="1334">
        <v>1</v>
      </c>
      <c r="O73" s="1335" t="str">
        <f t="shared" si="53"/>
        <v>●</v>
      </c>
      <c r="P73" s="1335" t="str">
        <f t="shared" si="54"/>
        <v/>
      </c>
      <c r="Q73" s="1335" t="str">
        <f t="shared" si="55"/>
        <v/>
      </c>
      <c r="R73" s="1355"/>
      <c r="S73" s="1333"/>
      <c r="T73" s="1337">
        <f t="shared" si="56"/>
        <v>1</v>
      </c>
      <c r="V73" s="1304" t="str">
        <f t="shared" si="57"/>
        <v>9.3</v>
      </c>
      <c r="W73" s="1338">
        <f>IF(SUM(T73)=0,"",AVERAGE(T73))</f>
        <v>1</v>
      </c>
      <c r="AW73" s="1582"/>
      <c r="AX73" s="1549"/>
      <c r="AY73" s="1477"/>
      <c r="AZ73" s="1535"/>
      <c r="BA73" s="1536"/>
      <c r="BB73" s="1537"/>
      <c r="BF73">
        <f t="shared" si="13"/>
        <v>0</v>
      </c>
      <c r="BG73" s="340"/>
    </row>
    <row r="74" spans="1:59" ht="16.2">
      <c r="A74" s="1300"/>
      <c r="B74" s="1581"/>
      <c r="C74" s="1961" t="s">
        <v>1637</v>
      </c>
      <c r="D74" s="1964" t="s">
        <v>1638</v>
      </c>
      <c r="E74" s="1330" t="s">
        <v>1639</v>
      </c>
      <c r="F74" s="1332" t="s">
        <v>1640</v>
      </c>
      <c r="G74" s="1333" t="s">
        <v>1641</v>
      </c>
      <c r="H74" s="1333" t="s">
        <v>1591</v>
      </c>
      <c r="I74" s="340">
        <f>スコア!P95</f>
        <v>3</v>
      </c>
      <c r="J74" s="340">
        <f t="shared" ref="J74" si="61">IF(I74&gt;=4,3,IF(I74&gt;=2,2,IF(I74=1,1,"")))</f>
        <v>2</v>
      </c>
      <c r="K74" s="340"/>
      <c r="L74" s="340"/>
      <c r="M74" s="340"/>
      <c r="N74" s="1370">
        <f>IF(SUM(J74)=0,"",ROUND(AVERAGE(J74),0))</f>
        <v>2</v>
      </c>
      <c r="O74" s="1335" t="str">
        <f t="shared" si="53"/>
        <v/>
      </c>
      <c r="P74" s="1335" t="str">
        <f t="shared" si="54"/>
        <v>●</v>
      </c>
      <c r="Q74" s="1335" t="str">
        <f t="shared" si="55"/>
        <v/>
      </c>
      <c r="R74" s="1336"/>
      <c r="S74" s="1333"/>
      <c r="T74" s="1337">
        <f t="shared" si="56"/>
        <v>2</v>
      </c>
      <c r="V74" s="1304" t="str">
        <f t="shared" si="57"/>
        <v>9.4</v>
      </c>
      <c r="W74" s="1338">
        <f>IF(SUM(T74:T75)=0,"",AVERAGE(T74:T75))</f>
        <v>1.5</v>
      </c>
      <c r="AF74" s="1583" t="str">
        <f>IF(AR74=1,"●","")</f>
        <v/>
      </c>
      <c r="AG74" s="1584" t="str">
        <f>IF(AR74=2,"●","")</f>
        <v/>
      </c>
      <c r="AH74" s="1584" t="str">
        <f>IF(AR74=3,"●","")</f>
        <v/>
      </c>
      <c r="AI74" s="1436"/>
      <c r="AJ74" s="1563"/>
      <c r="AK74" s="1438" t="str">
        <f>AS74</f>
        <v/>
      </c>
      <c r="AO74" s="1409"/>
      <c r="AP74" s="1410"/>
      <c r="AQ74" s="1411"/>
      <c r="AR74" s="1412" t="str">
        <f>IF(AQ74="","",IF(AQ74&lt;=AQ$7,1,IF(AQ74&lt;AS$7,2,IF(AQ74&gt;=AS$7,3,""))))</f>
        <v/>
      </c>
      <c r="AS74" s="1412" t="str">
        <f>IF(AR74="","",IF(AR74=3,3,IF(AT74=TRUE,AR74+1,AR74)))</f>
        <v/>
      </c>
      <c r="AT74" s="1413" t="b">
        <v>0</v>
      </c>
      <c r="AW74" s="1582"/>
      <c r="AX74" s="1549"/>
      <c r="AY74" s="1477"/>
      <c r="AZ74" s="1535"/>
      <c r="BA74" s="1536"/>
      <c r="BB74" s="1537"/>
      <c r="BF74" t="str">
        <f t="shared" si="13"/>
        <v>Q3.3.2.1「地域産業の振興」</v>
      </c>
      <c r="BG74" s="340" t="str">
        <f>スコア!BN95</f>
        <v>3.3.2.1 地域産業の振興</v>
      </c>
    </row>
    <row r="75" spans="1:59" ht="64.8">
      <c r="A75" s="1300"/>
      <c r="B75" s="1581"/>
      <c r="C75" s="1963"/>
      <c r="D75" s="1966"/>
      <c r="E75" s="1330" t="s">
        <v>1642</v>
      </c>
      <c r="F75" s="1332" t="s">
        <v>1643</v>
      </c>
      <c r="G75" s="1333" t="s">
        <v>1974</v>
      </c>
      <c r="H75" s="1333"/>
      <c r="I75" s="340"/>
      <c r="J75" s="340"/>
      <c r="K75" s="340">
        <v>1</v>
      </c>
      <c r="L75" s="340">
        <v>2</v>
      </c>
      <c r="M75" s="340">
        <v>3</v>
      </c>
      <c r="N75" s="1334">
        <v>1</v>
      </c>
      <c r="O75" s="1335" t="str">
        <f t="shared" si="53"/>
        <v>●</v>
      </c>
      <c r="P75" s="1335" t="str">
        <f t="shared" si="54"/>
        <v/>
      </c>
      <c r="Q75" s="1335" t="str">
        <f t="shared" si="55"/>
        <v/>
      </c>
      <c r="R75" s="1355"/>
      <c r="S75" s="1333"/>
      <c r="T75" s="1337">
        <f t="shared" si="56"/>
        <v>1</v>
      </c>
      <c r="V75" s="1304">
        <f t="shared" si="57"/>
        <v>0</v>
      </c>
      <c r="AW75" s="1582"/>
      <c r="AX75" s="1549"/>
      <c r="AY75" s="1477"/>
      <c r="AZ75" s="1535"/>
      <c r="BA75" s="1536"/>
      <c r="BB75" s="1537"/>
      <c r="BF75">
        <f t="shared" si="13"/>
        <v>0</v>
      </c>
      <c r="BG75" s="340"/>
    </row>
    <row r="76" spans="1:59" ht="43.2">
      <c r="A76" s="1300"/>
      <c r="B76" s="1585"/>
      <c r="C76" s="1330" t="s">
        <v>1644</v>
      </c>
      <c r="D76" s="1331" t="s">
        <v>1645</v>
      </c>
      <c r="E76" s="1330" t="s">
        <v>1646</v>
      </c>
      <c r="F76" s="1332" t="s">
        <v>1647</v>
      </c>
      <c r="G76" s="1333" t="s">
        <v>1648</v>
      </c>
      <c r="H76" s="1333"/>
      <c r="I76" s="340"/>
      <c r="J76" s="340"/>
      <c r="K76" s="340">
        <v>1</v>
      </c>
      <c r="L76" s="340" t="s">
        <v>311</v>
      </c>
      <c r="M76" s="340">
        <v>3</v>
      </c>
      <c r="N76" s="1334">
        <v>1</v>
      </c>
      <c r="O76" s="1335" t="str">
        <f t="shared" si="53"/>
        <v>●</v>
      </c>
      <c r="P76" s="1335" t="str">
        <f t="shared" si="54"/>
        <v/>
      </c>
      <c r="Q76" s="1335" t="str">
        <f t="shared" si="55"/>
        <v/>
      </c>
      <c r="R76" s="1690"/>
      <c r="S76" s="1333"/>
      <c r="T76" s="1337">
        <f t="shared" si="56"/>
        <v>1</v>
      </c>
      <c r="V76" s="1304" t="str">
        <f t="shared" si="57"/>
        <v>9.5</v>
      </c>
      <c r="W76" s="1338">
        <f>IF(SUM(T76)=0,"",AVERAGE(T76))</f>
        <v>1</v>
      </c>
      <c r="AW76" s="1582"/>
      <c r="AX76" s="1549"/>
      <c r="AY76" s="1477"/>
      <c r="AZ76" s="1535"/>
      <c r="BA76" s="1536"/>
      <c r="BB76" s="1537"/>
      <c r="BF76">
        <f t="shared" si="13"/>
        <v>0</v>
      </c>
      <c r="BG76" s="340"/>
    </row>
    <row r="77" spans="1:59" ht="99.6" customHeight="1">
      <c r="A77" s="1300"/>
      <c r="B77" s="1586" t="s">
        <v>1649</v>
      </c>
      <c r="C77" s="1587" t="s">
        <v>1953</v>
      </c>
      <c r="D77" s="1588"/>
      <c r="E77" s="1589"/>
      <c r="F77" s="1589"/>
      <c r="G77" s="1589"/>
      <c r="H77" s="1589"/>
      <c r="I77" s="1589"/>
      <c r="J77" s="1589"/>
      <c r="K77" s="1589"/>
      <c r="L77" s="1589"/>
      <c r="M77" s="1589"/>
      <c r="N77" s="1589"/>
      <c r="O77" s="1589"/>
      <c r="P77" s="1589"/>
      <c r="Q77" s="1589"/>
      <c r="R77" s="1691"/>
      <c r="S77" s="1589"/>
      <c r="T77" s="1590"/>
      <c r="V77" s="1304"/>
      <c r="AF77" s="1371" t="str">
        <f t="shared" ref="AF77:AF86" si="62">IF(AR77=1,"●","")</f>
        <v/>
      </c>
      <c r="AG77" s="1542" t="str">
        <f t="shared" ref="AG77:AG86" si="63">IF(AR77=2,"●","")</f>
        <v/>
      </c>
      <c r="AH77" s="1542" t="str">
        <f t="shared" ref="AH77:AH86" si="64">IF(AR77=3,"●","")</f>
        <v/>
      </c>
      <c r="AI77" s="1374"/>
      <c r="AJ77" s="1543"/>
      <c r="AK77" s="1376" t="str">
        <f t="shared" ref="AK77:AK86" si="65">AS77</f>
        <v/>
      </c>
      <c r="AO77" s="1377"/>
      <c r="AP77" s="1378"/>
      <c r="AQ77" s="1389"/>
      <c r="AR77" s="1380" t="str">
        <f t="shared" ref="AR77:AR86" si="66">IF(AQ77="","",IF(AQ77&lt;=AQ$7,1,IF(AQ77&lt;AS$7,2,IF(AQ77&gt;=AS$7,3,""))))</f>
        <v/>
      </c>
      <c r="AS77" s="1380" t="str">
        <f t="shared" ref="AS77:AS86" si="67">IF(AR77="","",IF(AR77=3,3,IF(AT77=TRUE,AR77+1,AR77)))</f>
        <v/>
      </c>
      <c r="AT77" s="1496"/>
      <c r="AW77" s="1591"/>
      <c r="AX77" s="1592"/>
      <c r="AY77" s="1593"/>
      <c r="AZ77" s="1594"/>
      <c r="BA77" s="1595"/>
      <c r="BB77" s="1593"/>
      <c r="BF77">
        <f t="shared" ref="BF77:BF140" si="68">H77</f>
        <v>0</v>
      </c>
      <c r="BG77" s="1589"/>
    </row>
    <row r="78" spans="1:59" ht="21.6">
      <c r="A78" s="1982"/>
      <c r="B78" s="1983" t="s">
        <v>1650</v>
      </c>
      <c r="C78" s="1967" t="s">
        <v>1651</v>
      </c>
      <c r="D78" s="1968" t="s">
        <v>1652</v>
      </c>
      <c r="E78" s="1330" t="s">
        <v>1653</v>
      </c>
      <c r="F78" s="1332" t="s">
        <v>1654</v>
      </c>
      <c r="G78" s="1333" t="s">
        <v>1655</v>
      </c>
      <c r="H78" s="1333" t="s">
        <v>1656</v>
      </c>
      <c r="I78" s="340">
        <f>スコア!P70</f>
        <v>3</v>
      </c>
      <c r="J78" s="340">
        <f t="shared" ref="J78:J82" si="69">IF(I78&gt;=4,3,IF(I78&gt;=2,2,IF(I78=1,1,"")))</f>
        <v>2</v>
      </c>
      <c r="K78" s="340"/>
      <c r="L78" s="340"/>
      <c r="M78" s="340"/>
      <c r="N78" s="1370">
        <f t="shared" ref="N78:N82" si="70">IF(SUM(J78)=0,"",ROUND(AVERAGE(J78),0))</f>
        <v>2</v>
      </c>
      <c r="O78" s="1335" t="str">
        <f t="shared" si="53"/>
        <v/>
      </c>
      <c r="P78" s="1335" t="str">
        <f t="shared" si="54"/>
        <v>●</v>
      </c>
      <c r="Q78" s="1335" t="str">
        <f t="shared" si="55"/>
        <v/>
      </c>
      <c r="R78" s="1336"/>
      <c r="S78" s="1333"/>
      <c r="T78" s="1337">
        <f t="shared" si="56"/>
        <v>2</v>
      </c>
      <c r="V78" s="1304" t="str">
        <f t="shared" ref="V78:V110" si="71">C78</f>
        <v>11.1</v>
      </c>
      <c r="W78" s="1338">
        <f>IF(SUM(T78:T79)=0,"",AVERAGE(T78:T79))</f>
        <v>2.5</v>
      </c>
      <c r="X78" s="1338">
        <f>IF(SUM(W78:W120)=0,"",AVERAGE(W78:W120))</f>
        <v>2.0262626262626262</v>
      </c>
      <c r="AF78" s="1439" t="str">
        <f t="shared" si="62"/>
        <v/>
      </c>
      <c r="AG78" s="1494" t="str">
        <f t="shared" si="63"/>
        <v/>
      </c>
      <c r="AH78" s="1494" t="str">
        <f t="shared" si="64"/>
        <v/>
      </c>
      <c r="AI78" s="1442"/>
      <c r="AJ78" s="1495"/>
      <c r="AK78" s="1444" t="str">
        <f t="shared" si="65"/>
        <v/>
      </c>
      <c r="AO78" s="1397"/>
      <c r="AP78" s="1398"/>
      <c r="AQ78" s="1456"/>
      <c r="AR78" s="1400" t="str">
        <f t="shared" si="66"/>
        <v/>
      </c>
      <c r="AS78" s="1400" t="str">
        <f t="shared" si="67"/>
        <v/>
      </c>
      <c r="AT78" s="1544"/>
      <c r="AW78" s="1977"/>
      <c r="AX78" s="1350">
        <f>IFERROR(SUM(BA78:BA87)/AY78,"")</f>
        <v>0</v>
      </c>
      <c r="AY78" s="1351">
        <f>COUNTA(BB78:BB87)</f>
        <v>7</v>
      </c>
      <c r="AZ78" s="1971" t="s">
        <v>1651</v>
      </c>
      <c r="BA78" s="1352">
        <f>IFERROR(SUM(AK54:AK76)/BB78,"")</f>
        <v>0</v>
      </c>
      <c r="BB78" s="1353">
        <f>COUNTA(E78:E79)</f>
        <v>2</v>
      </c>
      <c r="BF78" t="str">
        <f t="shared" si="68"/>
        <v>Q2.5.2「多様な住宅の供給」</v>
      </c>
      <c r="BG78" s="340" t="str">
        <f>スコア!BN70</f>
        <v>2.5.2 多様な住宅の供給</v>
      </c>
    </row>
    <row r="79" spans="1:59" ht="21.6">
      <c r="A79" s="1982"/>
      <c r="B79" s="1983"/>
      <c r="C79" s="1967"/>
      <c r="D79" s="1968"/>
      <c r="E79" s="1330" t="s">
        <v>1657</v>
      </c>
      <c r="F79" s="1333" t="s">
        <v>1658</v>
      </c>
      <c r="G79" s="1333" t="s">
        <v>1659</v>
      </c>
      <c r="H79" s="1333" t="s">
        <v>1660</v>
      </c>
      <c r="I79" s="340">
        <f>スコア!P51</f>
        <v>3</v>
      </c>
      <c r="J79" s="340">
        <f t="shared" si="69"/>
        <v>2</v>
      </c>
      <c r="K79" s="340"/>
      <c r="L79" s="340"/>
      <c r="M79" s="340"/>
      <c r="N79" s="1370">
        <f t="shared" si="70"/>
        <v>2</v>
      </c>
      <c r="O79" s="1335" t="str">
        <f t="shared" si="53"/>
        <v/>
      </c>
      <c r="P79" s="1335" t="str">
        <f t="shared" si="54"/>
        <v>●</v>
      </c>
      <c r="Q79" s="1335" t="str">
        <f t="shared" si="55"/>
        <v/>
      </c>
      <c r="R79" s="1336"/>
      <c r="S79" s="1334">
        <v>1</v>
      </c>
      <c r="T79" s="1337">
        <f t="shared" si="56"/>
        <v>3</v>
      </c>
      <c r="V79" s="1304">
        <f t="shared" si="71"/>
        <v>0</v>
      </c>
      <c r="AF79" s="1439" t="str">
        <f t="shared" si="62"/>
        <v/>
      </c>
      <c r="AG79" s="1494" t="str">
        <f t="shared" si="63"/>
        <v/>
      </c>
      <c r="AH79" s="1494" t="str">
        <f t="shared" si="64"/>
        <v/>
      </c>
      <c r="AI79" s="1442"/>
      <c r="AJ79" s="1495"/>
      <c r="AK79" s="1444" t="str">
        <f t="shared" si="65"/>
        <v/>
      </c>
      <c r="AO79" s="1397"/>
      <c r="AP79" s="1398"/>
      <c r="AQ79" s="1456"/>
      <c r="AR79" s="1400" t="str">
        <f t="shared" si="66"/>
        <v/>
      </c>
      <c r="AS79" s="1400" t="str">
        <f t="shared" si="67"/>
        <v/>
      </c>
      <c r="AT79" s="1544"/>
      <c r="AW79" s="1977"/>
      <c r="AX79" s="1350"/>
      <c r="AY79" s="1351"/>
      <c r="AZ79" s="1976"/>
      <c r="BA79" s="1476"/>
      <c r="BB79" s="1477"/>
      <c r="BF79" t="str">
        <f t="shared" si="68"/>
        <v>Q2.2.1「商業施設」</v>
      </c>
      <c r="BG79" s="340" t="str">
        <f>スコア!BN51</f>
        <v>2.2.1 商業施設</v>
      </c>
    </row>
    <row r="80" spans="1:59" ht="16.2">
      <c r="A80" s="1300"/>
      <c r="B80" s="1597"/>
      <c r="C80" s="1967" t="s">
        <v>1661</v>
      </c>
      <c r="D80" s="1968" t="s">
        <v>1662</v>
      </c>
      <c r="E80" s="1330" t="s">
        <v>1663</v>
      </c>
      <c r="F80" s="1332" t="s">
        <v>1664</v>
      </c>
      <c r="G80" s="1333" t="s">
        <v>1387</v>
      </c>
      <c r="H80" s="1333" t="s">
        <v>1388</v>
      </c>
      <c r="I80" s="340">
        <f>スコア!P66</f>
        <v>3</v>
      </c>
      <c r="J80" s="340">
        <f t="shared" si="69"/>
        <v>2</v>
      </c>
      <c r="K80" s="340"/>
      <c r="L80" s="340"/>
      <c r="M80" s="340"/>
      <c r="N80" s="1370">
        <f t="shared" si="70"/>
        <v>2</v>
      </c>
      <c r="O80" s="1335" t="str">
        <f t="shared" si="53"/>
        <v/>
      </c>
      <c r="P80" s="1335" t="str">
        <f t="shared" si="54"/>
        <v>●</v>
      </c>
      <c r="Q80" s="1335" t="str">
        <f t="shared" si="55"/>
        <v/>
      </c>
      <c r="R80" s="1336"/>
      <c r="S80" s="1334">
        <v>1</v>
      </c>
      <c r="T80" s="1337">
        <f t="shared" si="56"/>
        <v>3</v>
      </c>
      <c r="V80" s="1304" t="str">
        <f t="shared" si="71"/>
        <v>11.2</v>
      </c>
      <c r="W80" s="1338">
        <f>IF(SUM(T80:T81)=0,"",AVERAGE(T80:T81))</f>
        <v>3</v>
      </c>
      <c r="AF80" s="1439" t="str">
        <f t="shared" si="62"/>
        <v/>
      </c>
      <c r="AG80" s="1494" t="str">
        <f t="shared" si="63"/>
        <v/>
      </c>
      <c r="AH80" s="1494" t="str">
        <f t="shared" si="64"/>
        <v/>
      </c>
      <c r="AI80" s="1442"/>
      <c r="AJ80" s="1495"/>
      <c r="AK80" s="1444" t="str">
        <f t="shared" si="65"/>
        <v/>
      </c>
      <c r="AO80" s="1397"/>
      <c r="AP80" s="1398"/>
      <c r="AQ80" s="1456"/>
      <c r="AR80" s="1400" t="str">
        <f t="shared" si="66"/>
        <v/>
      </c>
      <c r="AS80" s="1400" t="str">
        <f t="shared" si="67"/>
        <v/>
      </c>
      <c r="AT80" s="1544"/>
      <c r="AW80" s="1596"/>
      <c r="AX80" s="1350"/>
      <c r="AY80" s="1351"/>
      <c r="AZ80" s="1971" t="s">
        <v>1661</v>
      </c>
      <c r="BA80" s="1352">
        <f>IFERROR(SUM(AK55:AK76)/BB80,"")</f>
        <v>0</v>
      </c>
      <c r="BB80" s="1353">
        <f>COUNTA(E80:E81)</f>
        <v>2</v>
      </c>
      <c r="BF80" t="str">
        <f t="shared" si="68"/>
        <v>Q2.4.3「交通安全」</v>
      </c>
      <c r="BG80" s="340" t="str">
        <f>スコア!BN66</f>
        <v>2.4.3 交通安全</v>
      </c>
    </row>
    <row r="81" spans="1:59" ht="21.6">
      <c r="A81" s="1300"/>
      <c r="B81" s="1597"/>
      <c r="C81" s="1967"/>
      <c r="D81" s="1968"/>
      <c r="E81" s="1330" t="s">
        <v>1665</v>
      </c>
      <c r="F81" s="1332" t="s">
        <v>1666</v>
      </c>
      <c r="G81" s="1333" t="s">
        <v>1667</v>
      </c>
      <c r="H81" s="1333" t="s">
        <v>1668</v>
      </c>
      <c r="I81" s="340">
        <f>スコア!P52</f>
        <v>3</v>
      </c>
      <c r="J81" s="340">
        <f t="shared" si="69"/>
        <v>2</v>
      </c>
      <c r="K81" s="340"/>
      <c r="L81" s="340"/>
      <c r="M81" s="340"/>
      <c r="N81" s="1370">
        <f t="shared" si="70"/>
        <v>2</v>
      </c>
      <c r="O81" s="1335" t="str">
        <f t="shared" si="53"/>
        <v/>
      </c>
      <c r="P81" s="1335" t="str">
        <f t="shared" si="54"/>
        <v>●</v>
      </c>
      <c r="Q81" s="1335" t="str">
        <f t="shared" si="55"/>
        <v/>
      </c>
      <c r="R81" s="1336"/>
      <c r="S81" s="1334">
        <v>1</v>
      </c>
      <c r="T81" s="1337">
        <f t="shared" si="56"/>
        <v>3</v>
      </c>
      <c r="V81" s="1304">
        <f t="shared" si="71"/>
        <v>0</v>
      </c>
      <c r="AF81" s="1525" t="str">
        <f t="shared" si="62"/>
        <v/>
      </c>
      <c r="AG81" s="1577" t="str">
        <f t="shared" si="63"/>
        <v/>
      </c>
      <c r="AH81" s="1577" t="str">
        <f t="shared" si="64"/>
        <v/>
      </c>
      <c r="AI81" s="1465"/>
      <c r="AJ81" s="1466"/>
      <c r="AK81" s="1498" t="str">
        <f t="shared" si="65"/>
        <v/>
      </c>
      <c r="AO81" s="1538"/>
      <c r="AP81" s="1539"/>
      <c r="AQ81" s="1540"/>
      <c r="AR81" s="1348" t="str">
        <f t="shared" si="66"/>
        <v/>
      </c>
      <c r="AS81" s="1348" t="str">
        <f t="shared" si="67"/>
        <v/>
      </c>
      <c r="AT81" s="1547"/>
      <c r="AW81" s="1596"/>
      <c r="AX81" s="1350"/>
      <c r="AY81" s="1351"/>
      <c r="AZ81" s="1976"/>
      <c r="BA81" s="1476"/>
      <c r="BB81" s="1477"/>
      <c r="BF81" t="str">
        <f t="shared" si="68"/>
        <v>Q2.2.2「公共交通施設」</v>
      </c>
      <c r="BG81" s="340" t="str">
        <f>スコア!BN52</f>
        <v>2.2.2 公共交通施設</v>
      </c>
    </row>
    <row r="82" spans="1:59" ht="21.6">
      <c r="A82" s="1300"/>
      <c r="B82" s="1597"/>
      <c r="C82" s="1967" t="s">
        <v>1669</v>
      </c>
      <c r="D82" s="1968" t="s">
        <v>1670</v>
      </c>
      <c r="E82" s="1330" t="s">
        <v>1671</v>
      </c>
      <c r="F82" s="1332" t="s">
        <v>1672</v>
      </c>
      <c r="G82" s="1333" t="s">
        <v>1673</v>
      </c>
      <c r="H82" s="1333" t="s">
        <v>1674</v>
      </c>
      <c r="I82" s="340">
        <f>スコア!P97</f>
        <v>3</v>
      </c>
      <c r="J82" s="340">
        <f t="shared" si="69"/>
        <v>2</v>
      </c>
      <c r="K82" s="340"/>
      <c r="L82" s="340"/>
      <c r="M82" s="340"/>
      <c r="N82" s="1370">
        <f t="shared" si="70"/>
        <v>2</v>
      </c>
      <c r="O82" s="1335" t="str">
        <f t="shared" si="53"/>
        <v/>
      </c>
      <c r="P82" s="1335" t="str">
        <f t="shared" si="54"/>
        <v>●</v>
      </c>
      <c r="Q82" s="1335" t="str">
        <f t="shared" si="55"/>
        <v/>
      </c>
      <c r="R82" s="1336"/>
      <c r="S82" s="1333"/>
      <c r="T82" s="1337">
        <f t="shared" si="56"/>
        <v>2</v>
      </c>
      <c r="V82" s="1304" t="str">
        <f t="shared" si="71"/>
        <v>11.3</v>
      </c>
      <c r="W82" s="1338">
        <f>IF(SUM(T82:T83)=0,"",AVERAGE(T82:T83))</f>
        <v>1.5</v>
      </c>
      <c r="AF82" s="1371" t="str">
        <f t="shared" si="62"/>
        <v/>
      </c>
      <c r="AG82" s="1542" t="str">
        <f t="shared" si="63"/>
        <v/>
      </c>
      <c r="AH82" s="1542" t="str">
        <f t="shared" si="64"/>
        <v/>
      </c>
      <c r="AI82" s="1374"/>
      <c r="AJ82" s="1543"/>
      <c r="AK82" s="1376" t="str">
        <f t="shared" si="65"/>
        <v/>
      </c>
      <c r="AO82" s="1377"/>
      <c r="AP82" s="1378"/>
      <c r="AQ82" s="1389"/>
      <c r="AR82" s="1380" t="str">
        <f t="shared" si="66"/>
        <v/>
      </c>
      <c r="AS82" s="1380" t="str">
        <f t="shared" si="67"/>
        <v/>
      </c>
      <c r="AT82" s="1496"/>
      <c r="AW82" s="1596"/>
      <c r="AX82" s="1350"/>
      <c r="AY82" s="1351"/>
      <c r="AZ82" s="1969" t="s">
        <v>1669</v>
      </c>
      <c r="BA82" s="1368">
        <f>IFERROR(SUM(AK63:AK64)/BB82,"")</f>
        <v>0</v>
      </c>
      <c r="BB82" s="1351">
        <f>COUNTA(E82:E83)</f>
        <v>2</v>
      </c>
      <c r="BF82" t="str">
        <f t="shared" si="68"/>
        <v>Q3.3.3「多様な主体の連携」</v>
      </c>
      <c r="BG82" s="340" t="str">
        <f>スコア!BN97</f>
        <v>3.3.3 多様な主体の連携</v>
      </c>
    </row>
    <row r="83" spans="1:59" ht="75.599999999999994">
      <c r="A83" s="1300"/>
      <c r="B83" s="1597"/>
      <c r="C83" s="1967"/>
      <c r="D83" s="1968"/>
      <c r="E83" s="1330" t="s">
        <v>1675</v>
      </c>
      <c r="F83" s="1332" t="s">
        <v>1676</v>
      </c>
      <c r="G83" s="1333" t="s">
        <v>1975</v>
      </c>
      <c r="H83" s="1333"/>
      <c r="I83" s="340"/>
      <c r="J83" s="340"/>
      <c r="K83" s="340">
        <v>1</v>
      </c>
      <c r="L83" s="340">
        <v>2</v>
      </c>
      <c r="M83" s="340">
        <v>3</v>
      </c>
      <c r="N83" s="1334">
        <v>1</v>
      </c>
      <c r="O83" s="1335" t="str">
        <f t="shared" si="53"/>
        <v>●</v>
      </c>
      <c r="P83" s="1335" t="str">
        <f t="shared" si="54"/>
        <v/>
      </c>
      <c r="Q83" s="1335" t="str">
        <f t="shared" si="55"/>
        <v/>
      </c>
      <c r="R83" s="1355"/>
      <c r="S83" s="1333"/>
      <c r="T83" s="1337">
        <f t="shared" si="56"/>
        <v>1</v>
      </c>
      <c r="V83" s="1304">
        <f t="shared" si="71"/>
        <v>0</v>
      </c>
      <c r="AF83" s="1439" t="str">
        <f t="shared" si="62"/>
        <v/>
      </c>
      <c r="AG83" s="1494" t="str">
        <f t="shared" si="63"/>
        <v/>
      </c>
      <c r="AH83" s="1494" t="str">
        <f t="shared" si="64"/>
        <v/>
      </c>
      <c r="AI83" s="1442"/>
      <c r="AJ83" s="1495"/>
      <c r="AK83" s="1444" t="str">
        <f t="shared" si="65"/>
        <v/>
      </c>
      <c r="AO83" s="1397"/>
      <c r="AP83" s="1398"/>
      <c r="AQ83" s="1456"/>
      <c r="AR83" s="1400" t="str">
        <f t="shared" si="66"/>
        <v/>
      </c>
      <c r="AS83" s="1400" t="str">
        <f t="shared" si="67"/>
        <v/>
      </c>
      <c r="AT83" s="1544"/>
      <c r="AW83" s="1596"/>
      <c r="AX83" s="1350"/>
      <c r="AY83" s="1351"/>
      <c r="AZ83" s="1969"/>
      <c r="BA83" s="1368"/>
      <c r="BB83" s="1351"/>
      <c r="BF83">
        <f t="shared" si="68"/>
        <v>0</v>
      </c>
      <c r="BG83" s="340"/>
    </row>
    <row r="84" spans="1:59" ht="21.6">
      <c r="A84" s="1300"/>
      <c r="B84" s="1597"/>
      <c r="C84" s="1330" t="s">
        <v>1677</v>
      </c>
      <c r="D84" s="1331" t="s">
        <v>1678</v>
      </c>
      <c r="E84" s="1330" t="s">
        <v>1679</v>
      </c>
      <c r="F84" s="1332" t="s">
        <v>1680</v>
      </c>
      <c r="G84" s="1333" t="s">
        <v>1681</v>
      </c>
      <c r="H84" s="1333" t="s">
        <v>1682</v>
      </c>
      <c r="I84" s="340">
        <f>スコア!P69</f>
        <v>3</v>
      </c>
      <c r="J84" s="340">
        <f t="shared" ref="J84:J105" si="72">IF(I84&gt;=4,3,IF(I84&gt;=2,2,IF(I84=1,1,"")))</f>
        <v>2</v>
      </c>
      <c r="K84" s="340"/>
      <c r="L84" s="340"/>
      <c r="M84" s="340"/>
      <c r="N84" s="1370">
        <f t="shared" ref="N84:N105" si="73">IF(SUM(J84)=0,"",ROUND(AVERAGE(J84),0))</f>
        <v>2</v>
      </c>
      <c r="O84" s="1335" t="str">
        <f t="shared" si="53"/>
        <v/>
      </c>
      <c r="P84" s="1335" t="str">
        <f t="shared" si="54"/>
        <v>●</v>
      </c>
      <c r="Q84" s="1335" t="str">
        <f t="shared" si="55"/>
        <v/>
      </c>
      <c r="R84" s="1336"/>
      <c r="S84" s="1333"/>
      <c r="T84" s="1337">
        <f t="shared" si="56"/>
        <v>2</v>
      </c>
      <c r="V84" s="1304" t="str">
        <f t="shared" si="71"/>
        <v>11.4</v>
      </c>
      <c r="W84" s="1338">
        <f>IF(SUM(T84)=0,"",AVERAGE(T84))</f>
        <v>2</v>
      </c>
      <c r="AF84" s="1439" t="str">
        <f t="shared" si="62"/>
        <v/>
      </c>
      <c r="AG84" s="1494" t="str">
        <f t="shared" si="63"/>
        <v/>
      </c>
      <c r="AH84" s="1494" t="str">
        <f t="shared" si="64"/>
        <v/>
      </c>
      <c r="AI84" s="1442"/>
      <c r="AJ84" s="1495"/>
      <c r="AK84" s="1444" t="str">
        <f t="shared" si="65"/>
        <v/>
      </c>
      <c r="AO84" s="1397"/>
      <c r="AP84" s="1398"/>
      <c r="AQ84" s="1456"/>
      <c r="AR84" s="1400" t="str">
        <f t="shared" si="66"/>
        <v/>
      </c>
      <c r="AS84" s="1400" t="str">
        <f t="shared" si="67"/>
        <v/>
      </c>
      <c r="AT84" s="1544"/>
      <c r="AW84" s="1596"/>
      <c r="AX84" s="1350"/>
      <c r="AY84" s="1351"/>
      <c r="AZ84" s="1460" t="s">
        <v>1677</v>
      </c>
      <c r="BA84" s="1352">
        <f>IFERROR(SUM(AK56:AK76)/BB84,"")</f>
        <v>0</v>
      </c>
      <c r="BB84" s="1353">
        <f>COUNTA(E84:E84)</f>
        <v>1</v>
      </c>
      <c r="BF84" t="str">
        <f t="shared" si="68"/>
        <v>Q2.5.1「地域の歴史・文化との融和」</v>
      </c>
      <c r="BG84" s="340" t="str">
        <f>スコア!BN69</f>
        <v>2.5.1 地域の歴史・文化との融和</v>
      </c>
    </row>
    <row r="85" spans="1:59" ht="21.6">
      <c r="A85" s="1300"/>
      <c r="B85" s="1597"/>
      <c r="C85" s="1330" t="s">
        <v>1683</v>
      </c>
      <c r="D85" s="1331" t="s">
        <v>1684</v>
      </c>
      <c r="E85" s="1330" t="s">
        <v>1685</v>
      </c>
      <c r="F85" s="1332" t="s">
        <v>1686</v>
      </c>
      <c r="G85" s="1333" t="s">
        <v>1687</v>
      </c>
      <c r="H85" s="1333" t="s">
        <v>1512</v>
      </c>
      <c r="I85" s="340">
        <f>スコア!P10</f>
        <v>3</v>
      </c>
      <c r="J85" s="340">
        <f t="shared" si="72"/>
        <v>2</v>
      </c>
      <c r="K85" s="340"/>
      <c r="L85" s="340"/>
      <c r="M85" s="340"/>
      <c r="N85" s="1370">
        <f t="shared" si="73"/>
        <v>2</v>
      </c>
      <c r="O85" s="1335" t="str">
        <f t="shared" si="53"/>
        <v/>
      </c>
      <c r="P85" s="1335" t="str">
        <f t="shared" si="54"/>
        <v>●</v>
      </c>
      <c r="Q85" s="1335" t="str">
        <f t="shared" si="55"/>
        <v/>
      </c>
      <c r="R85" s="1336"/>
      <c r="S85" s="1333"/>
      <c r="T85" s="1337">
        <f t="shared" si="56"/>
        <v>2</v>
      </c>
      <c r="V85" s="1304" t="str">
        <f t="shared" si="71"/>
        <v>11.5</v>
      </c>
      <c r="W85" s="1338">
        <f>IF(SUM(T85)=0,"",AVERAGE(T85))</f>
        <v>2</v>
      </c>
      <c r="AF85" s="1525" t="str">
        <f t="shared" si="62"/>
        <v/>
      </c>
      <c r="AG85" s="1440" t="str">
        <f t="shared" si="63"/>
        <v/>
      </c>
      <c r="AH85" s="1440" t="str">
        <f t="shared" si="64"/>
        <v/>
      </c>
      <c r="AI85" s="1442"/>
      <c r="AJ85" s="1495"/>
      <c r="AK85" s="1444" t="str">
        <f t="shared" si="65"/>
        <v/>
      </c>
      <c r="AO85" s="1538"/>
      <c r="AP85" s="1539"/>
      <c r="AQ85" s="1540"/>
      <c r="AR85" s="1348" t="str">
        <f t="shared" si="66"/>
        <v/>
      </c>
      <c r="AS85" s="1348" t="str">
        <f t="shared" si="67"/>
        <v/>
      </c>
      <c r="AT85" s="1547"/>
      <c r="AW85" s="1596"/>
      <c r="AX85" s="1350"/>
      <c r="AY85" s="1351"/>
      <c r="AZ85" s="1460" t="s">
        <v>1683</v>
      </c>
      <c r="BA85" s="1352">
        <f>IFERROR(SUM(AK74)/BB85,"")</f>
        <v>0</v>
      </c>
      <c r="BB85" s="1353">
        <f>COUNTA(E85)</f>
        <v>1</v>
      </c>
      <c r="BF85" t="str">
        <f t="shared" si="68"/>
        <v>Q1.1.1「自然環境の保全」</v>
      </c>
      <c r="BG85" s="340" t="str">
        <f>スコア!BN10</f>
        <v>1.1.1 自然環境の保全</v>
      </c>
    </row>
    <row r="86" spans="1:59" ht="21.6">
      <c r="A86" s="1300"/>
      <c r="B86" s="1597"/>
      <c r="C86" s="1700" t="s">
        <v>1688</v>
      </c>
      <c r="D86" s="1701" t="s">
        <v>1689</v>
      </c>
      <c r="E86" s="1700" t="s">
        <v>1690</v>
      </c>
      <c r="F86" s="1699" t="s">
        <v>1691</v>
      </c>
      <c r="G86" s="1699" t="s">
        <v>1692</v>
      </c>
      <c r="H86" s="1333" t="s">
        <v>1990</v>
      </c>
      <c r="I86" s="340">
        <f>スコア!P35</f>
        <v>3</v>
      </c>
      <c r="J86" s="340">
        <f t="shared" si="72"/>
        <v>2</v>
      </c>
      <c r="K86" s="340"/>
      <c r="L86" s="340"/>
      <c r="M86" s="340"/>
      <c r="N86" s="1370">
        <f t="shared" si="73"/>
        <v>2</v>
      </c>
      <c r="O86" s="1335" t="str">
        <f t="shared" si="53"/>
        <v/>
      </c>
      <c r="P86" s="1335" t="str">
        <f t="shared" si="54"/>
        <v>●</v>
      </c>
      <c r="Q86" s="1335" t="str">
        <f t="shared" si="55"/>
        <v/>
      </c>
      <c r="R86" s="1336"/>
      <c r="S86" s="1333"/>
      <c r="T86" s="1337">
        <f t="shared" si="56"/>
        <v>2</v>
      </c>
      <c r="V86" s="1304" t="str">
        <f t="shared" si="71"/>
        <v>11.6</v>
      </c>
      <c r="W86" s="1338">
        <f>IF(SUM(T86:T86)=0,"",AVERAGE(T86:T86))</f>
        <v>2</v>
      </c>
      <c r="AF86" s="1439" t="str">
        <f t="shared" si="62"/>
        <v/>
      </c>
      <c r="AG86" s="1494" t="str">
        <f t="shared" si="63"/>
        <v/>
      </c>
      <c r="AH86" s="1494" t="str">
        <f t="shared" si="64"/>
        <v/>
      </c>
      <c r="AI86" s="1442"/>
      <c r="AJ86" s="1495"/>
      <c r="AK86" s="1444" t="str">
        <f t="shared" si="65"/>
        <v/>
      </c>
      <c r="AO86" s="1377"/>
      <c r="AP86" s="1378"/>
      <c r="AQ86" s="1389"/>
      <c r="AR86" s="1380" t="str">
        <f t="shared" si="66"/>
        <v/>
      </c>
      <c r="AS86" s="1380" t="str">
        <f t="shared" si="67"/>
        <v/>
      </c>
      <c r="AT86" s="1496"/>
      <c r="AW86" s="1596"/>
      <c r="AX86" s="1350"/>
      <c r="AY86" s="1351"/>
      <c r="AZ86" s="1460" t="s">
        <v>1688</v>
      </c>
      <c r="BA86" s="1352">
        <f>IFERROR(SUM(AK86:AK89)/BB86,"")</f>
        <v>0</v>
      </c>
      <c r="BB86" s="1353">
        <f>COUNTA(E86:E86)</f>
        <v>1</v>
      </c>
      <c r="BF86" t="str">
        <f t="shared" si="68"/>
        <v>Q1.2.3「都市景観」</v>
      </c>
      <c r="BG86" s="340" t="str">
        <f>スコア!BN35</f>
        <v>1.2.3 都市景観</v>
      </c>
    </row>
    <row r="87" spans="1:59" ht="21.6">
      <c r="B87" s="1597"/>
      <c r="C87" s="1961" t="s">
        <v>1693</v>
      </c>
      <c r="D87" s="1964" t="s">
        <v>1694</v>
      </c>
      <c r="E87" s="1330" t="s">
        <v>1695</v>
      </c>
      <c r="F87" s="1332" t="s">
        <v>1696</v>
      </c>
      <c r="G87" s="1333" t="s">
        <v>1697</v>
      </c>
      <c r="H87" s="1333" t="s">
        <v>1698</v>
      </c>
      <c r="I87" s="340">
        <f>スコア!P62</f>
        <v>3</v>
      </c>
      <c r="J87" s="340">
        <f t="shared" si="72"/>
        <v>2</v>
      </c>
      <c r="K87" s="340"/>
      <c r="L87" s="340"/>
      <c r="M87" s="340"/>
      <c r="N87" s="1370">
        <f t="shared" si="73"/>
        <v>2</v>
      </c>
      <c r="O87" s="1335" t="str">
        <f t="shared" si="53"/>
        <v/>
      </c>
      <c r="P87" s="1335" t="str">
        <f t="shared" si="54"/>
        <v>●</v>
      </c>
      <c r="Q87" s="1335" t="str">
        <f t="shared" si="55"/>
        <v/>
      </c>
      <c r="R87" s="1336"/>
      <c r="S87" s="1333"/>
      <c r="T87" s="1337">
        <f t="shared" si="56"/>
        <v>2</v>
      </c>
      <c r="V87" s="1304" t="str">
        <f t="shared" si="71"/>
        <v>11.7</v>
      </c>
      <c r="W87" s="1338">
        <f>IF(SUM(T87:T94)=0,"",AVERAGE(T87:T94))</f>
        <v>2</v>
      </c>
      <c r="AF87" s="1531" t="str">
        <f>IF(AR87=1,"●","")</f>
        <v/>
      </c>
      <c r="AG87" s="1545" t="str">
        <f>IF(AR87=2,"●","")</f>
        <v/>
      </c>
      <c r="AH87" s="1545" t="str">
        <f>IF(AR87=3,"●","")</f>
        <v/>
      </c>
      <c r="AI87" s="1394"/>
      <c r="AJ87" s="1509"/>
      <c r="AK87" s="1396" t="str">
        <f>AS87</f>
        <v/>
      </c>
      <c r="AO87" s="1397"/>
      <c r="AP87" s="1398"/>
      <c r="AQ87" s="1456"/>
      <c r="AR87" s="1400" t="str">
        <f>IF(AQ87="","",IF(AQ87&lt;=AQ$7,1,IF(AQ87&lt;AS$7,2,IF(AQ87&gt;=AS$7,3,""))))</f>
        <v/>
      </c>
      <c r="AS87" s="1400" t="str">
        <f>IF(AR87="","",IF(AR87=3,3,IF(AT87=TRUE,AR87+1,AR87)))</f>
        <v/>
      </c>
      <c r="AT87" s="1544"/>
      <c r="AW87" s="1596"/>
      <c r="AX87" s="1350"/>
      <c r="AY87" s="1351"/>
      <c r="AZ87" s="1367" t="s">
        <v>1693</v>
      </c>
      <c r="BA87" s="1368">
        <f>IFERROR(SUM(AK91)/BB87,"")</f>
        <v>0</v>
      </c>
      <c r="BB87" s="1351">
        <f>COUNTA(E121)</f>
        <v>1</v>
      </c>
      <c r="BF87" t="str">
        <f t="shared" si="68"/>
        <v>Q2.4.1.1「災害への対応」</v>
      </c>
      <c r="BG87" s="340" t="str">
        <f>スコア!BN62</f>
        <v>2.4.1.1 災害への対応</v>
      </c>
    </row>
    <row r="88" spans="1:59" ht="21.6">
      <c r="B88" s="1597"/>
      <c r="C88" s="1962"/>
      <c r="D88" s="1965"/>
      <c r="E88" s="1330" t="s">
        <v>1699</v>
      </c>
      <c r="F88" s="1332" t="s">
        <v>1700</v>
      </c>
      <c r="G88" s="1333" t="s">
        <v>1701</v>
      </c>
      <c r="H88" s="1333" t="s">
        <v>1629</v>
      </c>
      <c r="I88" s="340">
        <f>スコア!P63</f>
        <v>3</v>
      </c>
      <c r="J88" s="340">
        <f t="shared" si="72"/>
        <v>2</v>
      </c>
      <c r="K88" s="340"/>
      <c r="L88" s="340"/>
      <c r="M88" s="340"/>
      <c r="N88" s="1370">
        <f t="shared" si="73"/>
        <v>2</v>
      </c>
      <c r="O88" s="1335" t="str">
        <f t="shared" si="53"/>
        <v/>
      </c>
      <c r="P88" s="1335" t="str">
        <f t="shared" si="54"/>
        <v>●</v>
      </c>
      <c r="Q88" s="1335" t="str">
        <f t="shared" si="55"/>
        <v/>
      </c>
      <c r="R88" s="1336"/>
      <c r="S88" s="1333"/>
      <c r="T88" s="1337">
        <f t="shared" si="56"/>
        <v>2</v>
      </c>
      <c r="V88" s="1304">
        <f t="shared" si="71"/>
        <v>0</v>
      </c>
      <c r="AF88" s="1439" t="str">
        <f>IF(AR88=1,"●","")</f>
        <v/>
      </c>
      <c r="AG88" s="1494" t="str">
        <f>IF(AR88=2,"●","")</f>
        <v/>
      </c>
      <c r="AH88" s="1494" t="str">
        <f>IF(AR88=3,"●","")</f>
        <v/>
      </c>
      <c r="AI88" s="1442"/>
      <c r="AJ88" s="1495"/>
      <c r="AK88" s="1444" t="str">
        <f>AS88</f>
        <v/>
      </c>
      <c r="AO88" s="1397"/>
      <c r="AP88" s="1398"/>
      <c r="AQ88" s="1456"/>
      <c r="AR88" s="1400" t="str">
        <f>IF(AQ88="","",IF(AQ88&lt;=AQ$7,1,IF(AQ88&lt;AS$7,2,IF(AQ88&gt;=AS$7,3,""))))</f>
        <v/>
      </c>
      <c r="AS88" s="1400" t="str">
        <f>IF(AR88="","",IF(AR88=3,3,IF(AT88=TRUE,AR88+1,AR88)))</f>
        <v/>
      </c>
      <c r="AT88" s="1544"/>
      <c r="AW88" s="1596"/>
      <c r="AX88" s="1350"/>
      <c r="AY88" s="1351"/>
      <c r="AZ88" s="1367"/>
      <c r="BA88" s="1368"/>
      <c r="BB88" s="1351"/>
      <c r="BF88" t="str">
        <f t="shared" si="68"/>
        <v>Q2.4.1.2「各種インフラの防災性能」</v>
      </c>
      <c r="BG88" s="340" t="str">
        <f>スコア!BN63</f>
        <v>2.4.1.2 各種インフラの防災性能</v>
      </c>
    </row>
    <row r="89" spans="1:59" ht="16.2">
      <c r="B89" s="1597"/>
      <c r="C89" s="1962"/>
      <c r="D89" s="1965"/>
      <c r="E89" s="1961" t="s">
        <v>1702</v>
      </c>
      <c r="F89" s="1974" t="s">
        <v>1703</v>
      </c>
      <c r="G89" s="1974" t="s">
        <v>1704</v>
      </c>
      <c r="H89" s="1333" t="s">
        <v>1705</v>
      </c>
      <c r="I89" s="340">
        <f>スコア!P64</f>
        <v>3</v>
      </c>
      <c r="J89" s="340">
        <f t="shared" si="72"/>
        <v>2</v>
      </c>
      <c r="K89" s="340"/>
      <c r="L89" s="340"/>
      <c r="M89" s="340"/>
      <c r="N89" s="1370">
        <f>IF(SUM(J89:J90)=0,"",ROUND(AVERAGE(J89:J90),0))</f>
        <v>2</v>
      </c>
      <c r="O89" s="1335" t="str">
        <f t="shared" si="53"/>
        <v/>
      </c>
      <c r="P89" s="1335" t="str">
        <f t="shared" si="54"/>
        <v>●</v>
      </c>
      <c r="Q89" s="1335" t="str">
        <f t="shared" si="55"/>
        <v/>
      </c>
      <c r="R89" s="1336"/>
      <c r="S89" s="1333"/>
      <c r="T89" s="1337">
        <f t="shared" si="56"/>
        <v>2</v>
      </c>
      <c r="V89" s="1304">
        <f t="shared" si="71"/>
        <v>0</v>
      </c>
      <c r="AF89" s="1598" t="str">
        <f>IF(AR89=1,"●","")</f>
        <v/>
      </c>
      <c r="AG89" s="1599" t="str">
        <f>IF(AR89=2,"●","")</f>
        <v/>
      </c>
      <c r="AH89" s="1599" t="str">
        <f>IF(AR89=3,"●","")</f>
        <v/>
      </c>
      <c r="AI89" s="1342"/>
      <c r="AJ89" s="1561"/>
      <c r="AK89" s="1344" t="str">
        <f>AS89</f>
        <v/>
      </c>
      <c r="AO89" s="1538"/>
      <c r="AP89" s="1539"/>
      <c r="AQ89" s="1540"/>
      <c r="AR89" s="1348" t="str">
        <f>IF(AQ89="","",IF(AQ89&lt;=AQ$7,1,IF(AQ89&lt;AS$7,2,IF(AQ89&gt;=AS$7,3,""))))</f>
        <v/>
      </c>
      <c r="AS89" s="1348" t="str">
        <f>IF(AR89="","",IF(AR89=3,3,IF(AT89=TRUE,AR89+1,AR89)))</f>
        <v/>
      </c>
      <c r="AT89" s="1547"/>
      <c r="AW89" s="1596"/>
      <c r="AX89" s="1350"/>
      <c r="AY89" s="1351"/>
      <c r="AZ89" s="1367"/>
      <c r="BA89" s="1368"/>
      <c r="BB89" s="1351"/>
      <c r="BF89" t="str">
        <f t="shared" si="68"/>
        <v>Q2.4.1.3「防災空地・避難路」</v>
      </c>
      <c r="BG89" s="340" t="str">
        <f>スコア!BN64</f>
        <v>2.4.1.3 防災空地・避難路</v>
      </c>
    </row>
    <row r="90" spans="1:59" ht="16.2">
      <c r="B90" s="1597"/>
      <c r="C90" s="1962"/>
      <c r="D90" s="1965"/>
      <c r="E90" s="1963"/>
      <c r="F90" s="1966"/>
      <c r="G90" s="1966"/>
      <c r="H90" s="1333" t="s">
        <v>1633</v>
      </c>
      <c r="I90" s="340">
        <f>スコア!P65</f>
        <v>3</v>
      </c>
      <c r="J90" s="340">
        <f t="shared" si="72"/>
        <v>2</v>
      </c>
      <c r="K90" s="340"/>
      <c r="L90" s="340"/>
      <c r="M90" s="340"/>
      <c r="N90" s="1370" t="s">
        <v>311</v>
      </c>
      <c r="O90" s="1335" t="str">
        <f t="shared" si="53"/>
        <v/>
      </c>
      <c r="P90" s="1335" t="str">
        <f t="shared" si="54"/>
        <v/>
      </c>
      <c r="Q90" s="1335" t="str">
        <f t="shared" si="55"/>
        <v/>
      </c>
      <c r="R90" s="1336"/>
      <c r="S90" s="1333"/>
      <c r="T90" s="1337" t="s">
        <v>311</v>
      </c>
      <c r="V90" s="1304">
        <f t="shared" si="71"/>
        <v>0</v>
      </c>
      <c r="AF90" s="1531"/>
      <c r="AG90" s="1545"/>
      <c r="AH90" s="1545"/>
      <c r="AI90" s="1419"/>
      <c r="AJ90" s="1343"/>
      <c r="AK90" s="1421"/>
      <c r="AO90" s="1600"/>
      <c r="AP90" s="1601"/>
      <c r="AQ90" s="1602"/>
      <c r="AR90" s="1603"/>
      <c r="AS90" s="1603"/>
      <c r="AT90" s="1541"/>
      <c r="AW90" s="1596"/>
      <c r="AX90" s="1350"/>
      <c r="AY90" s="1351"/>
      <c r="AZ90" s="1367"/>
      <c r="BA90" s="1368"/>
      <c r="BB90" s="1351"/>
      <c r="BF90" t="str">
        <f t="shared" si="68"/>
        <v>Q2.4.2「発災後の対応性能」</v>
      </c>
      <c r="BG90" s="340" t="str">
        <f>スコア!BN65</f>
        <v>2.4.2 発災後の対応性能</v>
      </c>
    </row>
    <row r="91" spans="1:59" ht="21.6">
      <c r="B91" s="1597"/>
      <c r="C91" s="1962"/>
      <c r="D91" s="1965"/>
      <c r="E91" s="1961" t="s">
        <v>1706</v>
      </c>
      <c r="F91" s="1974" t="s">
        <v>1707</v>
      </c>
      <c r="G91" s="1333" t="s">
        <v>1708</v>
      </c>
      <c r="H91" s="1333" t="s">
        <v>1709</v>
      </c>
      <c r="I91" s="340">
        <f>スコア!P13</f>
        <v>3</v>
      </c>
      <c r="J91" s="340">
        <f t="shared" si="72"/>
        <v>2</v>
      </c>
      <c r="K91" s="340"/>
      <c r="L91" s="340"/>
      <c r="M91" s="340"/>
      <c r="N91" s="1370">
        <f>IF(SUM(J91:J94)=0,"",ROUND(AVERAGE(J91:J94),0))</f>
        <v>2</v>
      </c>
      <c r="O91" s="1335" t="str">
        <f t="shared" si="53"/>
        <v/>
      </c>
      <c r="P91" s="1335" t="str">
        <f t="shared" si="54"/>
        <v>●</v>
      </c>
      <c r="Q91" s="1335" t="str">
        <f t="shared" si="55"/>
        <v/>
      </c>
      <c r="R91" s="1336"/>
      <c r="S91" s="1333"/>
      <c r="T91" s="1337">
        <f t="shared" ref="T91" si="74">IF(N91="",$I$6,IF(N91+S91&gt;3,3,N91+S91))</f>
        <v>2</v>
      </c>
      <c r="V91" s="1304">
        <f t="shared" si="71"/>
        <v>0</v>
      </c>
      <c r="AF91" s="1391" t="str">
        <f>IF(AR91=1,"●","")</f>
        <v/>
      </c>
      <c r="AG91" s="1545" t="str">
        <f>IF(AR91=2,"●","")</f>
        <v/>
      </c>
      <c r="AH91" s="1545" t="str">
        <f>IF(AR91=3,"●","")</f>
        <v/>
      </c>
      <c r="AI91" s="1419"/>
      <c r="AJ91" s="1343"/>
      <c r="AK91" s="1396" t="str">
        <f>AS91</f>
        <v/>
      </c>
      <c r="AO91" s="1409"/>
      <c r="AP91" s="1410"/>
      <c r="AQ91" s="1411"/>
      <c r="AR91" s="1412" t="str">
        <f>IF(AQ91="","",IF(AQ91&lt;=AQ$7,1,IF(AQ91&lt;AS$7,2,IF(AQ91&gt;=AS$7,3,""))))</f>
        <v/>
      </c>
      <c r="AS91" s="1412" t="str">
        <f>IF(AR91="","",IF(AR91=3,3,IF(AT91=TRUE,AR91+1,AR91)))</f>
        <v/>
      </c>
      <c r="AT91" s="1413"/>
      <c r="AW91" s="1596"/>
      <c r="AX91" s="1350"/>
      <c r="AY91" s="1351"/>
      <c r="AZ91" s="1367"/>
      <c r="BA91" s="1368"/>
      <c r="BB91" s="1351"/>
      <c r="BF91" t="str">
        <f t="shared" si="68"/>
        <v>Q1.1.1.2「地形の保全」</v>
      </c>
      <c r="BG91" s="340" t="str">
        <f>スコア!BN13</f>
        <v>1.1.1.2 地形の保全</v>
      </c>
    </row>
    <row r="92" spans="1:59" ht="16.2">
      <c r="B92" s="1597"/>
      <c r="C92" s="1962"/>
      <c r="D92" s="1965"/>
      <c r="E92" s="1962"/>
      <c r="F92" s="1965"/>
      <c r="G92" s="1333" t="s">
        <v>1710</v>
      </c>
      <c r="H92" s="1333" t="s">
        <v>1949</v>
      </c>
      <c r="I92" s="340">
        <f>スコア!P14</f>
        <v>3</v>
      </c>
      <c r="J92" s="340">
        <f t="shared" si="72"/>
        <v>2</v>
      </c>
      <c r="K92" s="340"/>
      <c r="L92" s="340"/>
      <c r="M92" s="340"/>
      <c r="N92" s="1370" t="s">
        <v>311</v>
      </c>
      <c r="O92" s="1335" t="str">
        <f t="shared" si="53"/>
        <v/>
      </c>
      <c r="P92" s="1335" t="str">
        <f t="shared" si="54"/>
        <v/>
      </c>
      <c r="Q92" s="1335" t="str">
        <f t="shared" si="55"/>
        <v/>
      </c>
      <c r="R92" s="1336"/>
      <c r="S92" s="1333"/>
      <c r="T92" s="1337" t="s">
        <v>311</v>
      </c>
      <c r="V92" s="1304">
        <f t="shared" si="71"/>
        <v>0</v>
      </c>
      <c r="AF92" s="1531"/>
      <c r="AG92" s="1545"/>
      <c r="AH92" s="1545"/>
      <c r="AI92" s="1419"/>
      <c r="AJ92" s="1343"/>
      <c r="AK92" s="1421"/>
      <c r="AO92" s="1604"/>
      <c r="AP92" s="1605"/>
      <c r="AQ92" s="1606"/>
      <c r="AR92" s="1412"/>
      <c r="AS92" s="1412"/>
      <c r="AT92" s="1413"/>
      <c r="AW92" s="1596"/>
      <c r="AX92" s="1350"/>
      <c r="AY92" s="1351"/>
      <c r="AZ92" s="1367"/>
      <c r="BA92" s="1368"/>
      <c r="BB92" s="1351"/>
      <c r="BF92" t="str">
        <f t="shared" si="68"/>
        <v>Q1.1.1.3「土壌の保全」</v>
      </c>
      <c r="BG92" s="340" t="str">
        <f>スコア!BN14</f>
        <v>1.1.1.3 土壌の保全</v>
      </c>
    </row>
    <row r="93" spans="1:59" ht="16.2">
      <c r="B93" s="1597"/>
      <c r="C93" s="1962"/>
      <c r="D93" s="1965"/>
      <c r="E93" s="1962"/>
      <c r="F93" s="1965"/>
      <c r="G93" s="1333" t="s">
        <v>1711</v>
      </c>
      <c r="H93" s="1333" t="s">
        <v>1712</v>
      </c>
      <c r="I93" s="340">
        <f>スコア!P21</f>
        <v>3</v>
      </c>
      <c r="J93" s="340">
        <f t="shared" si="72"/>
        <v>2</v>
      </c>
      <c r="K93" s="340"/>
      <c r="L93" s="340"/>
      <c r="M93" s="340"/>
      <c r="N93" s="1370" t="s">
        <v>311</v>
      </c>
      <c r="O93" s="1335" t="str">
        <f t="shared" si="53"/>
        <v/>
      </c>
      <c r="P93" s="1335" t="str">
        <f t="shared" si="54"/>
        <v/>
      </c>
      <c r="Q93" s="1335" t="str">
        <f t="shared" si="55"/>
        <v/>
      </c>
      <c r="R93" s="1336"/>
      <c r="S93" s="1333"/>
      <c r="T93" s="1337" t="s">
        <v>311</v>
      </c>
      <c r="V93" s="1304">
        <f t="shared" si="71"/>
        <v>0</v>
      </c>
      <c r="AF93" s="1531"/>
      <c r="AG93" s="1545"/>
      <c r="AH93" s="1545"/>
      <c r="AI93" s="1419"/>
      <c r="AJ93" s="1343"/>
      <c r="AK93" s="1421"/>
      <c r="AO93" s="1604"/>
      <c r="AP93" s="1605"/>
      <c r="AQ93" s="1606"/>
      <c r="AR93" s="1412"/>
      <c r="AS93" s="1412"/>
      <c r="AT93" s="1413"/>
      <c r="AW93" s="1596"/>
      <c r="AX93" s="1350"/>
      <c r="AY93" s="1351"/>
      <c r="AZ93" s="1367"/>
      <c r="BA93" s="1368"/>
      <c r="BB93" s="1351"/>
      <c r="BF93" t="str">
        <f t="shared" si="68"/>
        <v>Q1.1.2.3「地域性への配慮」</v>
      </c>
      <c r="BG93" s="340" t="str">
        <f>スコア!BN21</f>
        <v>1.1.2.3 地域性への配慮</v>
      </c>
    </row>
    <row r="94" spans="1:59" ht="21.6">
      <c r="B94" s="1597"/>
      <c r="C94" s="1963"/>
      <c r="D94" s="1966"/>
      <c r="E94" s="1963"/>
      <c r="F94" s="1966"/>
      <c r="G94" s="1333" t="s">
        <v>1713</v>
      </c>
      <c r="H94" s="1333" t="s">
        <v>1714</v>
      </c>
      <c r="I94" s="340">
        <f>スコア!P49</f>
        <v>3</v>
      </c>
      <c r="J94" s="340">
        <f t="shared" si="72"/>
        <v>2</v>
      </c>
      <c r="K94" s="340"/>
      <c r="L94" s="340"/>
      <c r="M94" s="340"/>
      <c r="N94" s="1370" t="s">
        <v>311</v>
      </c>
      <c r="O94" s="1335" t="str">
        <f t="shared" si="53"/>
        <v/>
      </c>
      <c r="P94" s="1335" t="str">
        <f t="shared" si="54"/>
        <v/>
      </c>
      <c r="Q94" s="1335" t="str">
        <f t="shared" si="55"/>
        <v/>
      </c>
      <c r="R94" s="1336"/>
      <c r="S94" s="1333"/>
      <c r="T94" s="1337" t="s">
        <v>311</v>
      </c>
      <c r="V94" s="1304">
        <f t="shared" si="71"/>
        <v>0</v>
      </c>
      <c r="AF94" s="1531"/>
      <c r="AG94" s="1545"/>
      <c r="AH94" s="1545"/>
      <c r="AI94" s="1419"/>
      <c r="AJ94" s="1343"/>
      <c r="AK94" s="1421"/>
      <c r="AO94" s="1604"/>
      <c r="AP94" s="1605"/>
      <c r="AQ94" s="1606"/>
      <c r="AR94" s="1412"/>
      <c r="AS94" s="1412"/>
      <c r="AT94" s="1413"/>
      <c r="AW94" s="1596"/>
      <c r="AX94" s="1350"/>
      <c r="AY94" s="1351"/>
      <c r="AZ94" s="1367"/>
      <c r="BA94" s="1368"/>
      <c r="BB94" s="1351"/>
      <c r="BF94" t="str">
        <f t="shared" si="68"/>
        <v>Q2.1.2.3の2）「グリーンインフラの維持管理」</v>
      </c>
      <c r="BG94" s="340" t="str">
        <f>スコア!BN49</f>
        <v>2) グリーンインフラの維持管理</v>
      </c>
    </row>
    <row r="95" spans="1:59" ht="21.6">
      <c r="B95" s="1597"/>
      <c r="C95" s="1961" t="s">
        <v>1715</v>
      </c>
      <c r="D95" s="1964" t="s">
        <v>1716</v>
      </c>
      <c r="E95" s="1330" t="s">
        <v>1717</v>
      </c>
      <c r="F95" s="1332" t="s">
        <v>1718</v>
      </c>
      <c r="G95" s="1333" t="s">
        <v>1719</v>
      </c>
      <c r="H95" s="1333" t="s">
        <v>1720</v>
      </c>
      <c r="I95" s="340">
        <f>スコア!P138</f>
        <v>3</v>
      </c>
      <c r="J95" s="340">
        <f t="shared" si="72"/>
        <v>2</v>
      </c>
      <c r="K95" s="340"/>
      <c r="L95" s="340"/>
      <c r="M95" s="340"/>
      <c r="N95" s="1370">
        <f t="shared" si="73"/>
        <v>2</v>
      </c>
      <c r="O95" s="1335" t="str">
        <f t="shared" si="53"/>
        <v/>
      </c>
      <c r="P95" s="1335" t="str">
        <f t="shared" si="54"/>
        <v>●</v>
      </c>
      <c r="Q95" s="1335" t="str">
        <f t="shared" si="55"/>
        <v/>
      </c>
      <c r="R95" s="1336"/>
      <c r="S95" s="1333"/>
      <c r="T95" s="1337">
        <f t="shared" si="56"/>
        <v>2</v>
      </c>
      <c r="V95" s="1304" t="str">
        <f t="shared" si="71"/>
        <v>11.8</v>
      </c>
      <c r="W95" s="1338">
        <f>IF(SUM(T95:T106)=0,"",AVERAGE(T95:T106))</f>
        <v>1.8888888888888888</v>
      </c>
      <c r="AF95" s="1531"/>
      <c r="AG95" s="1545"/>
      <c r="AH95" s="1545"/>
      <c r="AI95" s="1419"/>
      <c r="AJ95" s="1343"/>
      <c r="AK95" s="1421"/>
      <c r="AO95" s="1604"/>
      <c r="AP95" s="1605"/>
      <c r="AQ95" s="1606"/>
      <c r="AR95" s="1412"/>
      <c r="AS95" s="1412"/>
      <c r="AT95" s="1413"/>
      <c r="AW95" s="1596"/>
      <c r="AX95" s="1350"/>
      <c r="AY95" s="1351"/>
      <c r="AZ95" s="1367"/>
      <c r="BA95" s="1368"/>
      <c r="BB95" s="1351"/>
      <c r="BF95" t="str">
        <f t="shared" si="68"/>
        <v>LR3.3.2「対象区域外に対する大気汚染の防止」</v>
      </c>
      <c r="BG95" s="340" t="str">
        <f>スコア!BN138</f>
        <v>3.3.2 対象区域外に対する大気汚染の防止</v>
      </c>
    </row>
    <row r="96" spans="1:59" ht="64.8">
      <c r="B96" s="1597"/>
      <c r="C96" s="1962"/>
      <c r="D96" s="1965"/>
      <c r="E96" s="1330" t="s">
        <v>1721</v>
      </c>
      <c r="F96" s="1332" t="s">
        <v>1534</v>
      </c>
      <c r="G96" s="1333" t="str">
        <f>G17</f>
        <v>以下の取組みに、
取組んでいる=1)に該当、積極的に取組んでいる=2)に該当
1) 水質汚濁防止法あるいは下水道法、または地方公共団体等で定める排出基準のうち厳しい基準を満たしている
2) 排出基準を満たした上でそれ以上の特別な工夫を実施し、汚水処理負荷を高く抑制している</v>
      </c>
      <c r="H96" s="1333" t="s">
        <v>1958</v>
      </c>
      <c r="I96" s="340"/>
      <c r="J96" s="340"/>
      <c r="K96" s="340" t="s">
        <v>311</v>
      </c>
      <c r="L96" s="340">
        <v>2</v>
      </c>
      <c r="M96" s="340">
        <v>3</v>
      </c>
      <c r="N96" s="1712">
        <f>N17</f>
        <v>2</v>
      </c>
      <c r="O96" s="1335" t="str">
        <f t="shared" si="53"/>
        <v/>
      </c>
      <c r="P96" s="1335" t="str">
        <f t="shared" si="54"/>
        <v>●</v>
      </c>
      <c r="Q96" s="1335" t="str">
        <f t="shared" si="55"/>
        <v/>
      </c>
      <c r="R96" s="1336"/>
      <c r="S96" s="1712">
        <f>S17</f>
        <v>0</v>
      </c>
      <c r="T96" s="1337">
        <f t="shared" si="56"/>
        <v>2</v>
      </c>
      <c r="V96" s="1304">
        <f t="shared" si="71"/>
        <v>0</v>
      </c>
      <c r="AF96" s="1531"/>
      <c r="AG96" s="1545"/>
      <c r="AH96" s="1545"/>
      <c r="AI96" s="1419"/>
      <c r="AJ96" s="1343"/>
      <c r="AK96" s="1421"/>
      <c r="AO96" s="1604"/>
      <c r="AP96" s="1605"/>
      <c r="AQ96" s="1606"/>
      <c r="AR96" s="1412"/>
      <c r="AS96" s="1412"/>
      <c r="AT96" s="1413"/>
      <c r="AW96" s="1596"/>
      <c r="AX96" s="1350"/>
      <c r="AY96" s="1351"/>
      <c r="AZ96" s="1367"/>
      <c r="BA96" s="1368"/>
      <c r="BB96" s="1351"/>
      <c r="BF96" t="str">
        <f t="shared" si="68"/>
        <v>本項目の採点基準は3.4.2と同じであり、3.4.2で評価すれば本項目も同じ採点となる。</v>
      </c>
      <c r="BG96" s="340"/>
    </row>
    <row r="97" spans="2:59" ht="21.6">
      <c r="B97" s="1597"/>
      <c r="C97" s="1962"/>
      <c r="D97" s="1965"/>
      <c r="E97" s="1330" t="s">
        <v>1722</v>
      </c>
      <c r="F97" s="1332" t="s">
        <v>1723</v>
      </c>
      <c r="G97" s="1333" t="s">
        <v>1724</v>
      </c>
      <c r="H97" s="1333" t="s">
        <v>1725</v>
      </c>
      <c r="I97" s="340">
        <f>スコア!P118</f>
        <v>3</v>
      </c>
      <c r="J97" s="340">
        <f t="shared" si="72"/>
        <v>2</v>
      </c>
      <c r="K97" s="340"/>
      <c r="L97" s="340"/>
      <c r="M97" s="340"/>
      <c r="N97" s="1370">
        <f t="shared" si="73"/>
        <v>2</v>
      </c>
      <c r="O97" s="1335" t="str">
        <f t="shared" si="53"/>
        <v/>
      </c>
      <c r="P97" s="1335" t="str">
        <f t="shared" si="54"/>
        <v>●</v>
      </c>
      <c r="Q97" s="1335" t="str">
        <f t="shared" si="55"/>
        <v/>
      </c>
      <c r="R97" s="1336"/>
      <c r="S97" s="1333"/>
      <c r="T97" s="1337">
        <f t="shared" si="56"/>
        <v>2</v>
      </c>
      <c r="V97" s="1304">
        <f t="shared" si="71"/>
        <v>0</v>
      </c>
      <c r="AF97" s="1531"/>
      <c r="AG97" s="1545"/>
      <c r="AH97" s="1545"/>
      <c r="AI97" s="1419"/>
      <c r="AJ97" s="1343"/>
      <c r="AK97" s="1421"/>
      <c r="AO97" s="1604"/>
      <c r="AP97" s="1605"/>
      <c r="AQ97" s="1606"/>
      <c r="AR97" s="1412"/>
      <c r="AS97" s="1412"/>
      <c r="AT97" s="1413"/>
      <c r="AW97" s="1596"/>
      <c r="AX97" s="1350"/>
      <c r="AY97" s="1351"/>
      <c r="AZ97" s="1367"/>
      <c r="BA97" s="1368"/>
      <c r="BB97" s="1351"/>
      <c r="BF97" t="str">
        <f t="shared" si="68"/>
        <v>LR2.2.2.2「雨水流出抑制」</v>
      </c>
      <c r="BG97" s="340" t="str">
        <f>スコア!BN118</f>
        <v>2.2.2.2 雨水流出抑制</v>
      </c>
    </row>
    <row r="98" spans="2:59" ht="16.2">
      <c r="B98" s="1597"/>
      <c r="C98" s="1962"/>
      <c r="D98" s="1965"/>
      <c r="E98" s="1330" t="s">
        <v>1726</v>
      </c>
      <c r="F98" s="1332" t="s">
        <v>1727</v>
      </c>
      <c r="G98" s="1333" t="s">
        <v>1728</v>
      </c>
      <c r="H98" s="1333" t="s">
        <v>1403</v>
      </c>
      <c r="I98" s="340">
        <f>スコア!P109</f>
        <v>3</v>
      </c>
      <c r="J98" s="340">
        <f t="shared" si="72"/>
        <v>2</v>
      </c>
      <c r="K98" s="340"/>
      <c r="L98" s="340"/>
      <c r="M98" s="340"/>
      <c r="N98" s="1370">
        <f t="shared" si="73"/>
        <v>2</v>
      </c>
      <c r="O98" s="1335" t="str">
        <f t="shared" si="53"/>
        <v/>
      </c>
      <c r="P98" s="1335" t="str">
        <f t="shared" si="54"/>
        <v>●</v>
      </c>
      <c r="Q98" s="1335" t="str">
        <f t="shared" si="55"/>
        <v/>
      </c>
      <c r="R98" s="1336"/>
      <c r="S98" s="1333"/>
      <c r="T98" s="1337">
        <f t="shared" si="56"/>
        <v>2</v>
      </c>
      <c r="V98" s="1304">
        <f t="shared" si="71"/>
        <v>0</v>
      </c>
      <c r="AF98" s="1531"/>
      <c r="AG98" s="1545"/>
      <c r="AH98" s="1545"/>
      <c r="AI98" s="1419"/>
      <c r="AJ98" s="1343"/>
      <c r="AK98" s="1421"/>
      <c r="AO98" s="1604"/>
      <c r="AP98" s="1605"/>
      <c r="AQ98" s="1606"/>
      <c r="AR98" s="1412"/>
      <c r="AS98" s="1412"/>
      <c r="AT98" s="1413"/>
      <c r="AW98" s="1596"/>
      <c r="AX98" s="1350"/>
      <c r="AY98" s="1351"/>
      <c r="AZ98" s="1367"/>
      <c r="BA98" s="1368"/>
      <c r="BB98" s="1351"/>
      <c r="BF98" t="str">
        <f t="shared" si="68"/>
        <v>LR2.1.1「土壌汚染への対応」</v>
      </c>
      <c r="BG98" s="340" t="str">
        <f>スコア!BN109</f>
        <v>2.1.1 土壌汚染への対応</v>
      </c>
    </row>
    <row r="99" spans="2:59" ht="21.6">
      <c r="B99" s="1597"/>
      <c r="C99" s="1962"/>
      <c r="D99" s="1965"/>
      <c r="E99" s="1961" t="s">
        <v>1729</v>
      </c>
      <c r="F99" s="1974" t="s">
        <v>1730</v>
      </c>
      <c r="G99" s="1333" t="s">
        <v>1731</v>
      </c>
      <c r="H99" s="1333" t="s">
        <v>1416</v>
      </c>
      <c r="I99" s="340">
        <f>スコア!P143</f>
        <v>3</v>
      </c>
      <c r="J99" s="340">
        <f t="shared" si="72"/>
        <v>2</v>
      </c>
      <c r="K99" s="340"/>
      <c r="L99" s="340"/>
      <c r="M99" s="340"/>
      <c r="N99" s="1370">
        <f>IF(SUM(J99:J101)=0,"",ROUND(AVERAGE(J99:J101),0))</f>
        <v>2</v>
      </c>
      <c r="O99" s="1335" t="str">
        <f t="shared" si="53"/>
        <v/>
      </c>
      <c r="P99" s="1335" t="str">
        <f t="shared" si="54"/>
        <v>●</v>
      </c>
      <c r="Q99" s="1335" t="str">
        <f t="shared" si="55"/>
        <v/>
      </c>
      <c r="R99" s="1336"/>
      <c r="S99" s="1333"/>
      <c r="T99" s="1337">
        <f t="shared" si="56"/>
        <v>2</v>
      </c>
      <c r="V99" s="1304">
        <f t="shared" si="71"/>
        <v>0</v>
      </c>
      <c r="AF99" s="1531"/>
      <c r="AG99" s="1545"/>
      <c r="AH99" s="1545"/>
      <c r="AI99" s="1419"/>
      <c r="AJ99" s="1343"/>
      <c r="AK99" s="1421"/>
      <c r="AO99" s="1604"/>
      <c r="AP99" s="1605"/>
      <c r="AQ99" s="1606"/>
      <c r="AR99" s="1412"/>
      <c r="AS99" s="1412"/>
      <c r="AT99" s="1413"/>
      <c r="AW99" s="1596"/>
      <c r="AX99" s="1350"/>
      <c r="AY99" s="1351"/>
      <c r="AZ99" s="1367"/>
      <c r="BA99" s="1368"/>
      <c r="BB99" s="1351"/>
      <c r="BF99" t="str">
        <f t="shared" si="68"/>
        <v>LR3.3.3.1「騒音が対象区域外に及ぼす影響の軽減」</v>
      </c>
      <c r="BG99" s="340" t="str">
        <f>スコア!BN143</f>
        <v>3.3.3.1 騒音が対象区域外に及ぼす影響の軽減</v>
      </c>
    </row>
    <row r="100" spans="2:59" ht="21.6">
      <c r="B100" s="1597"/>
      <c r="C100" s="1962"/>
      <c r="D100" s="1965"/>
      <c r="E100" s="1978"/>
      <c r="F100" s="1980"/>
      <c r="G100" s="1333" t="s">
        <v>1732</v>
      </c>
      <c r="H100" s="1333" t="s">
        <v>1417</v>
      </c>
      <c r="I100" s="340">
        <f>スコア!P144</f>
        <v>3</v>
      </c>
      <c r="J100" s="340">
        <f t="shared" si="72"/>
        <v>2</v>
      </c>
      <c r="K100" s="340"/>
      <c r="L100" s="340"/>
      <c r="M100" s="340"/>
      <c r="N100" s="1370" t="s">
        <v>311</v>
      </c>
      <c r="O100" s="1335" t="str">
        <f t="shared" si="53"/>
        <v/>
      </c>
      <c r="P100" s="1335" t="str">
        <f t="shared" si="54"/>
        <v/>
      </c>
      <c r="Q100" s="1335" t="str">
        <f t="shared" si="55"/>
        <v/>
      </c>
      <c r="R100" s="1336"/>
      <c r="S100" s="1333"/>
      <c r="T100" s="1337" t="s">
        <v>311</v>
      </c>
      <c r="V100" s="1304">
        <f t="shared" si="71"/>
        <v>0</v>
      </c>
      <c r="AF100" s="1531"/>
      <c r="AG100" s="1545"/>
      <c r="AH100" s="1545"/>
      <c r="AI100" s="1419"/>
      <c r="AJ100" s="1343"/>
      <c r="AK100" s="1421"/>
      <c r="AO100" s="1604"/>
      <c r="AP100" s="1605"/>
      <c r="AQ100" s="1606"/>
      <c r="AR100" s="1412"/>
      <c r="AS100" s="1412"/>
      <c r="AT100" s="1413"/>
      <c r="AW100" s="1596"/>
      <c r="AX100" s="1350"/>
      <c r="AY100" s="1351"/>
      <c r="AZ100" s="1367"/>
      <c r="BA100" s="1368"/>
      <c r="BB100" s="1351"/>
      <c r="BF100" t="str">
        <f t="shared" si="68"/>
        <v>LR3.3.3.2「振動が対象区域外に及ぼす影響の軽減」</v>
      </c>
      <c r="BG100" s="340" t="str">
        <f>スコア!BN144</f>
        <v>3.3.3.2 振動が対象区域外に及ぼす影響の軽減</v>
      </c>
    </row>
    <row r="101" spans="2:59" ht="21.6">
      <c r="B101" s="1597"/>
      <c r="C101" s="1962"/>
      <c r="D101" s="1965"/>
      <c r="E101" s="1979"/>
      <c r="F101" s="1981"/>
      <c r="G101" s="1333" t="s">
        <v>1733</v>
      </c>
      <c r="H101" s="1333" t="s">
        <v>1418</v>
      </c>
      <c r="I101" s="340">
        <f>スコア!P145</f>
        <v>2</v>
      </c>
      <c r="J101" s="340">
        <f t="shared" si="72"/>
        <v>2</v>
      </c>
      <c r="K101" s="340"/>
      <c r="L101" s="340"/>
      <c r="M101" s="340"/>
      <c r="N101" s="1370" t="s">
        <v>311</v>
      </c>
      <c r="O101" s="1335" t="str">
        <f t="shared" si="53"/>
        <v/>
      </c>
      <c r="P101" s="1335" t="str">
        <f t="shared" si="54"/>
        <v/>
      </c>
      <c r="Q101" s="1335" t="str">
        <f t="shared" si="55"/>
        <v/>
      </c>
      <c r="R101" s="1336"/>
      <c r="S101" s="1333"/>
      <c r="T101" s="1337" t="s">
        <v>311</v>
      </c>
      <c r="V101" s="1304">
        <f t="shared" si="71"/>
        <v>0</v>
      </c>
      <c r="AF101" s="1531"/>
      <c r="AG101" s="1545"/>
      <c r="AH101" s="1545"/>
      <c r="AI101" s="1419"/>
      <c r="AJ101" s="1343"/>
      <c r="AK101" s="1421"/>
      <c r="AO101" s="1604"/>
      <c r="AP101" s="1605"/>
      <c r="AQ101" s="1606"/>
      <c r="AR101" s="1412"/>
      <c r="AS101" s="1412"/>
      <c r="AT101" s="1413"/>
      <c r="AW101" s="1596"/>
      <c r="AX101" s="1350"/>
      <c r="AY101" s="1351"/>
      <c r="AZ101" s="1367"/>
      <c r="BA101" s="1368"/>
      <c r="BB101" s="1351"/>
      <c r="BF101" t="str">
        <f t="shared" si="68"/>
        <v>LR3.3.3.3「悪臭が対象区域外に及ぼす影響の軽減」</v>
      </c>
      <c r="BG101" s="340" t="str">
        <f>スコア!BN145</f>
        <v>3.3.3.3 悪臭が対象区域外に及ぼす影響の軽減</v>
      </c>
    </row>
    <row r="102" spans="2:59" ht="21.6">
      <c r="B102" s="1597"/>
      <c r="C102" s="1962"/>
      <c r="D102" s="1965"/>
      <c r="E102" s="1961" t="s">
        <v>1734</v>
      </c>
      <c r="F102" s="1974" t="s">
        <v>1735</v>
      </c>
      <c r="G102" s="1333" t="s">
        <v>1736</v>
      </c>
      <c r="H102" s="1333" t="s">
        <v>1407</v>
      </c>
      <c r="I102" s="340">
        <f>スコア!P146</f>
        <v>3</v>
      </c>
      <c r="J102" s="340">
        <f t="shared" si="72"/>
        <v>2</v>
      </c>
      <c r="K102" s="340"/>
      <c r="L102" s="340"/>
      <c r="M102" s="340"/>
      <c r="N102" s="1370">
        <f>IF(SUM(J102:J103)=0,"",ROUND(AVERAGE(J102:J103),0))</f>
        <v>2</v>
      </c>
      <c r="O102" s="1335" t="str">
        <f t="shared" si="53"/>
        <v/>
      </c>
      <c r="P102" s="1335" t="str">
        <f t="shared" si="54"/>
        <v>●</v>
      </c>
      <c r="Q102" s="1335" t="str">
        <f t="shared" si="55"/>
        <v/>
      </c>
      <c r="R102" s="1336"/>
      <c r="S102" s="1333"/>
      <c r="T102" s="1337">
        <f t="shared" ref="T102" si="75">IF(N102="",$I$6,IF(N102+S102&gt;3,3,N102+S102))</f>
        <v>2</v>
      </c>
      <c r="V102" s="1304">
        <f t="shared" si="71"/>
        <v>0</v>
      </c>
      <c r="AF102" s="1531"/>
      <c r="AG102" s="1545"/>
      <c r="AH102" s="1545"/>
      <c r="AI102" s="1419"/>
      <c r="AJ102" s="1343"/>
      <c r="AK102" s="1421"/>
      <c r="AO102" s="1604"/>
      <c r="AP102" s="1605"/>
      <c r="AQ102" s="1606"/>
      <c r="AR102" s="1412"/>
      <c r="AS102" s="1412"/>
      <c r="AT102" s="1413"/>
      <c r="AW102" s="1596"/>
      <c r="AX102" s="1350"/>
      <c r="AY102" s="1351"/>
      <c r="AZ102" s="1367"/>
      <c r="BA102" s="1368"/>
      <c r="BB102" s="1351"/>
      <c r="BF102" t="str">
        <f t="shared" si="68"/>
        <v>LR3.3.4「対象区域外に対する風害の抑制」</v>
      </c>
      <c r="BG102" s="340" t="str">
        <f>スコア!BN146</f>
        <v>3.3.4 対象区域外に対する風害の抑制</v>
      </c>
    </row>
    <row r="103" spans="2:59" ht="21.6">
      <c r="B103" s="1597"/>
      <c r="C103" s="1962"/>
      <c r="D103" s="1965"/>
      <c r="E103" s="1963"/>
      <c r="F103" s="1966"/>
      <c r="G103" s="1333" t="s">
        <v>1737</v>
      </c>
      <c r="H103" s="1333" t="s">
        <v>1411</v>
      </c>
      <c r="I103" s="340">
        <f>スコア!P147</f>
        <v>3</v>
      </c>
      <c r="J103" s="340">
        <f t="shared" si="72"/>
        <v>2</v>
      </c>
      <c r="K103" s="340"/>
      <c r="L103" s="340"/>
      <c r="M103" s="340"/>
      <c r="N103" s="1370" t="s">
        <v>311</v>
      </c>
      <c r="O103" s="1335" t="str">
        <f t="shared" si="53"/>
        <v/>
      </c>
      <c r="P103" s="1335" t="str">
        <f t="shared" si="54"/>
        <v/>
      </c>
      <c r="Q103" s="1335" t="str">
        <f t="shared" si="55"/>
        <v/>
      </c>
      <c r="R103" s="1336"/>
      <c r="S103" s="1333"/>
      <c r="T103" s="1337" t="s">
        <v>311</v>
      </c>
      <c r="V103" s="1304">
        <f t="shared" si="71"/>
        <v>0</v>
      </c>
      <c r="AF103" s="1531"/>
      <c r="AG103" s="1545"/>
      <c r="AH103" s="1545"/>
      <c r="AI103" s="1419"/>
      <c r="AJ103" s="1343"/>
      <c r="AK103" s="1421"/>
      <c r="AO103" s="1604"/>
      <c r="AP103" s="1605"/>
      <c r="AQ103" s="1606"/>
      <c r="AR103" s="1412"/>
      <c r="AS103" s="1412"/>
      <c r="AT103" s="1413"/>
      <c r="AW103" s="1596"/>
      <c r="AX103" s="1350"/>
      <c r="AY103" s="1351"/>
      <c r="AZ103" s="1367"/>
      <c r="BA103" s="1368"/>
      <c r="BB103" s="1351"/>
      <c r="BF103" t="str">
        <f t="shared" si="68"/>
        <v>LR3.3.5「対象区域外に対する日照阻害の抑制」</v>
      </c>
      <c r="BG103" s="340" t="str">
        <f>スコア!BN147</f>
        <v>3.3.5 対象区域外に対する日照阻害の抑制</v>
      </c>
    </row>
    <row r="104" spans="2:59" ht="21.6">
      <c r="B104" s="1597"/>
      <c r="C104" s="1962"/>
      <c r="D104" s="1965"/>
      <c r="E104" s="1330" t="s">
        <v>1738</v>
      </c>
      <c r="F104" s="1332" t="s">
        <v>1739</v>
      </c>
      <c r="G104" s="1333" t="s">
        <v>1740</v>
      </c>
      <c r="H104" s="1333" t="s">
        <v>1741</v>
      </c>
      <c r="I104" s="340">
        <f>スコア!P148</f>
        <v>3</v>
      </c>
      <c r="J104" s="340">
        <f t="shared" si="72"/>
        <v>2</v>
      </c>
      <c r="K104" s="340"/>
      <c r="L104" s="340"/>
      <c r="M104" s="340"/>
      <c r="N104" s="1370">
        <f t="shared" si="73"/>
        <v>2</v>
      </c>
      <c r="O104" s="1335" t="str">
        <f t="shared" si="53"/>
        <v/>
      </c>
      <c r="P104" s="1335" t="str">
        <f t="shared" si="54"/>
        <v>●</v>
      </c>
      <c r="Q104" s="1335" t="str">
        <f t="shared" si="55"/>
        <v/>
      </c>
      <c r="R104" s="1336"/>
      <c r="S104" s="1333"/>
      <c r="T104" s="1337">
        <f t="shared" si="56"/>
        <v>2</v>
      </c>
      <c r="V104" s="1304">
        <f t="shared" si="71"/>
        <v>0</v>
      </c>
      <c r="AF104" s="1531"/>
      <c r="AG104" s="1545"/>
      <c r="AH104" s="1545"/>
      <c r="AI104" s="1419"/>
      <c r="AJ104" s="1343"/>
      <c r="AK104" s="1421"/>
      <c r="AO104" s="1604"/>
      <c r="AP104" s="1605"/>
      <c r="AQ104" s="1606"/>
      <c r="AR104" s="1412"/>
      <c r="AS104" s="1412"/>
      <c r="AT104" s="1413"/>
      <c r="AW104" s="1596"/>
      <c r="AX104" s="1350"/>
      <c r="AY104" s="1351"/>
      <c r="AZ104" s="1367"/>
      <c r="BA104" s="1368"/>
      <c r="BB104" s="1351"/>
      <c r="BF104" t="str">
        <f t="shared" si="68"/>
        <v>LR3.3.6「対象区域外に対する光害の抑制」</v>
      </c>
      <c r="BG104" s="340" t="str">
        <f>スコア!BN148</f>
        <v>3.3.6 対象区域外に対する光害の抑制</v>
      </c>
    </row>
    <row r="105" spans="2:59" ht="16.2">
      <c r="B105" s="1597"/>
      <c r="C105" s="1962"/>
      <c r="D105" s="1965"/>
      <c r="E105" s="1330" t="s">
        <v>1742</v>
      </c>
      <c r="F105" s="1332" t="s">
        <v>1743</v>
      </c>
      <c r="G105" s="1333" t="s">
        <v>1744</v>
      </c>
      <c r="H105" s="1333" t="s">
        <v>1745</v>
      </c>
      <c r="I105" s="340">
        <f>スコア!P137</f>
        <v>3</v>
      </c>
      <c r="J105" s="340">
        <f t="shared" si="72"/>
        <v>2</v>
      </c>
      <c r="K105" s="340"/>
      <c r="L105" s="340"/>
      <c r="M105" s="340"/>
      <c r="N105" s="1370">
        <f t="shared" si="73"/>
        <v>2</v>
      </c>
      <c r="O105" s="1335" t="str">
        <f t="shared" si="53"/>
        <v/>
      </c>
      <c r="P105" s="1335" t="str">
        <f t="shared" si="54"/>
        <v>●</v>
      </c>
      <c r="Q105" s="1335" t="str">
        <f t="shared" si="55"/>
        <v/>
      </c>
      <c r="R105" s="1336"/>
      <c r="S105" s="1333"/>
      <c r="T105" s="1337">
        <f t="shared" si="56"/>
        <v>2</v>
      </c>
      <c r="V105" s="1304">
        <f t="shared" si="71"/>
        <v>0</v>
      </c>
      <c r="AF105" s="1531"/>
      <c r="AG105" s="1545"/>
      <c r="AH105" s="1545"/>
      <c r="AI105" s="1419"/>
      <c r="AJ105" s="1343"/>
      <c r="AK105" s="1421"/>
      <c r="AO105" s="1604"/>
      <c r="AP105" s="1605"/>
      <c r="AQ105" s="1606"/>
      <c r="AR105" s="1412"/>
      <c r="AS105" s="1412"/>
      <c r="AT105" s="1413"/>
      <c r="AW105" s="1596"/>
      <c r="AX105" s="1350"/>
      <c r="AY105" s="1351"/>
      <c r="AZ105" s="1367"/>
      <c r="BA105" s="1368"/>
      <c r="BB105" s="1351"/>
      <c r="BF105" t="str">
        <f t="shared" si="68"/>
        <v>LR3.3.1「ヒートアイランドの緩和」</v>
      </c>
      <c r="BG105" s="340" t="str">
        <f>スコア!BN137</f>
        <v>3.3.1 ヒートアイランドの緩和</v>
      </c>
    </row>
    <row r="106" spans="2:59" ht="86.4">
      <c r="B106" s="1597"/>
      <c r="C106" s="1963"/>
      <c r="D106" s="1966"/>
      <c r="E106" s="1330" t="s">
        <v>1746</v>
      </c>
      <c r="F106" s="1332" t="s">
        <v>1747</v>
      </c>
      <c r="G106" s="1333" t="s">
        <v>1976</v>
      </c>
      <c r="H106" s="1333"/>
      <c r="I106" s="340"/>
      <c r="J106" s="340"/>
      <c r="K106" s="340">
        <v>1</v>
      </c>
      <c r="L106" s="340">
        <v>2</v>
      </c>
      <c r="M106" s="340">
        <v>3</v>
      </c>
      <c r="N106" s="1334">
        <v>1</v>
      </c>
      <c r="O106" s="1335" t="str">
        <f t="shared" si="53"/>
        <v>●</v>
      </c>
      <c r="P106" s="1335" t="str">
        <f t="shared" si="54"/>
        <v/>
      </c>
      <c r="Q106" s="1335" t="str">
        <f t="shared" si="55"/>
        <v/>
      </c>
      <c r="R106" s="1355"/>
      <c r="S106" s="1333"/>
      <c r="T106" s="1337">
        <f t="shared" si="56"/>
        <v>1</v>
      </c>
      <c r="V106" s="1304">
        <f t="shared" si="71"/>
        <v>0</v>
      </c>
      <c r="AF106" s="1531"/>
      <c r="AG106" s="1545"/>
      <c r="AH106" s="1545"/>
      <c r="AI106" s="1419"/>
      <c r="AJ106" s="1343"/>
      <c r="AK106" s="1421"/>
      <c r="AO106" s="1604"/>
      <c r="AP106" s="1605"/>
      <c r="AQ106" s="1606"/>
      <c r="AR106" s="1412"/>
      <c r="AS106" s="1412"/>
      <c r="AT106" s="1413"/>
      <c r="AW106" s="1596"/>
      <c r="AX106" s="1350"/>
      <c r="AY106" s="1351"/>
      <c r="AZ106" s="1367"/>
      <c r="BA106" s="1368"/>
      <c r="BB106" s="1351"/>
      <c r="BF106">
        <f t="shared" si="68"/>
        <v>0</v>
      </c>
      <c r="BG106" s="340"/>
    </row>
    <row r="107" spans="2:59" ht="21.6">
      <c r="B107" s="1597"/>
      <c r="C107" s="1961" t="s">
        <v>1748</v>
      </c>
      <c r="D107" s="1964" t="s">
        <v>1991</v>
      </c>
      <c r="E107" s="1703" t="s">
        <v>1749</v>
      </c>
      <c r="F107" s="1699" t="s">
        <v>1995</v>
      </c>
      <c r="G107" s="1333" t="s">
        <v>1762</v>
      </c>
      <c r="H107" s="1333" t="s">
        <v>1996</v>
      </c>
      <c r="I107" s="1711">
        <f>スコア!P28</f>
        <v>3</v>
      </c>
      <c r="J107" s="340">
        <f t="shared" ref="J107" si="76">IF(I107&gt;=4,3,IF(I107&gt;=2,2,IF(I107=1,1,"")))</f>
        <v>2</v>
      </c>
      <c r="K107" s="340"/>
      <c r="L107" s="340"/>
      <c r="M107" s="340"/>
      <c r="N107" s="1370">
        <f t="shared" ref="N107" si="77">IF(SUM(J107)=0,"",ROUND(AVERAGE(J107),0))</f>
        <v>2</v>
      </c>
      <c r="O107" s="1335" t="str">
        <f t="shared" ref="O107" si="78">IF(N107=1,$J$6,"")</f>
        <v/>
      </c>
      <c r="P107" s="1335" t="str">
        <f t="shared" ref="P107" si="79">IF(N107=2,$J$6,"")</f>
        <v>●</v>
      </c>
      <c r="Q107" s="1335" t="str">
        <f t="shared" ref="Q107" si="80">IF(N107=3,$J$6,"")</f>
        <v/>
      </c>
      <c r="R107" s="1355"/>
      <c r="S107" s="1333"/>
      <c r="T107" s="1337">
        <f t="shared" ref="T107" si="81">IF(N107="",$I$6,IF(N107+S107&gt;3,3,N107+S107))</f>
        <v>2</v>
      </c>
      <c r="V107" s="1304"/>
      <c r="W107" s="1338">
        <f>IF(SUM(T107:T113)=0,"",AVERAGE(T107:T113))</f>
        <v>2</v>
      </c>
      <c r="AF107" s="1531"/>
      <c r="AG107" s="1545"/>
      <c r="AH107" s="1545"/>
      <c r="AI107" s="1419"/>
      <c r="AJ107" s="1343"/>
      <c r="AK107" s="1421"/>
      <c r="AO107" s="1604"/>
      <c r="AP107" s="1605"/>
      <c r="AQ107" s="1606"/>
      <c r="AR107" s="1412"/>
      <c r="AS107" s="1412"/>
      <c r="AT107" s="1413"/>
      <c r="AW107" s="1596"/>
      <c r="AX107" s="1350"/>
      <c r="AY107" s="1351"/>
      <c r="AZ107" s="1367"/>
      <c r="BA107" s="1368"/>
      <c r="BB107" s="1351"/>
      <c r="BF107" t="str">
        <f t="shared" si="68"/>
        <v>Q1.2.1.2「建物の緑」</v>
      </c>
      <c r="BG107" s="1711" t="str">
        <f>スコア!BN28</f>
        <v>1.2.1.2 建物の緑</v>
      </c>
    </row>
    <row r="108" spans="2:59" ht="21.6">
      <c r="B108" s="1597"/>
      <c r="C108" s="1978"/>
      <c r="D108" s="1972"/>
      <c r="E108" s="1703" t="s">
        <v>1992</v>
      </c>
      <c r="F108" s="1699" t="s">
        <v>1997</v>
      </c>
      <c r="G108" s="1333" t="s">
        <v>1998</v>
      </c>
      <c r="H108" s="1333" t="s">
        <v>1999</v>
      </c>
      <c r="I108" s="1711">
        <f>スコア!P26</f>
        <v>3</v>
      </c>
      <c r="J108" s="340">
        <f t="shared" ref="J108" si="82">IF(I108&gt;=4,3,IF(I108&gt;=2,2,IF(I108=1,1,"")))</f>
        <v>2</v>
      </c>
      <c r="K108" s="340"/>
      <c r="L108" s="340"/>
      <c r="M108" s="340"/>
      <c r="N108" s="1370">
        <f t="shared" ref="N108" si="83">IF(SUM(J108)=0,"",ROUND(AVERAGE(J108),0))</f>
        <v>2</v>
      </c>
      <c r="O108" s="1335" t="str">
        <f t="shared" ref="O108" si="84">IF(N108=1,$J$6,"")</f>
        <v/>
      </c>
      <c r="P108" s="1335" t="str">
        <f t="shared" ref="P108" si="85">IF(N108=2,$J$6,"")</f>
        <v>●</v>
      </c>
      <c r="Q108" s="1335" t="str">
        <f t="shared" ref="Q108" si="86">IF(N108=3,$J$6,"")</f>
        <v/>
      </c>
      <c r="R108" s="1355"/>
      <c r="S108" s="1333"/>
      <c r="T108" s="1337">
        <f t="shared" ref="T108" si="87">IF(N108="",$I$6,IF(N108+S108&gt;3,3,N108+S108))</f>
        <v>2</v>
      </c>
      <c r="V108" s="1304"/>
      <c r="W108" s="1338"/>
      <c r="AF108" s="1531"/>
      <c r="AG108" s="1545"/>
      <c r="AH108" s="1545"/>
      <c r="AI108" s="1419"/>
      <c r="AJ108" s="1343"/>
      <c r="AK108" s="1421"/>
      <c r="AO108" s="1604"/>
      <c r="AP108" s="1605"/>
      <c r="AQ108" s="1606"/>
      <c r="AR108" s="1412"/>
      <c r="AS108" s="1412"/>
      <c r="AT108" s="1413"/>
      <c r="AW108" s="1596"/>
      <c r="AX108" s="1350"/>
      <c r="AY108" s="1351"/>
      <c r="AZ108" s="1367"/>
      <c r="BA108" s="1368"/>
      <c r="BB108" s="1351"/>
      <c r="BF108" t="str">
        <f t="shared" si="68"/>
        <v>Q1.2.1「水と緑」</v>
      </c>
      <c r="BG108" s="1711" t="str">
        <f>スコア!BN26</f>
        <v>1.2.1 水と緑</v>
      </c>
    </row>
    <row r="109" spans="2:59" ht="16.2">
      <c r="B109" s="1597"/>
      <c r="C109" s="1978"/>
      <c r="D109" s="1972"/>
      <c r="E109" s="1961" t="s">
        <v>1993</v>
      </c>
      <c r="F109" s="1974" t="s">
        <v>1750</v>
      </c>
      <c r="G109" s="1333" t="s">
        <v>1751</v>
      </c>
      <c r="H109" s="1333" t="s">
        <v>1432</v>
      </c>
      <c r="I109" s="340">
        <f>スコア!P56</f>
        <v>3</v>
      </c>
      <c r="J109" s="340">
        <f t="shared" ref="J109:J116" si="88">IF(I109&gt;=4,3,IF(I109&gt;=2,2,IF(I109=1,1,"")))</f>
        <v>2</v>
      </c>
      <c r="K109" s="340"/>
      <c r="L109" s="340"/>
      <c r="M109" s="340"/>
      <c r="N109" s="1370">
        <f>IF(SUM(J109:J112)=0,"",ROUND(AVERAGE(J109:J112),0))</f>
        <v>2</v>
      </c>
      <c r="O109" s="1335" t="str">
        <f t="shared" si="53"/>
        <v/>
      </c>
      <c r="P109" s="1335" t="str">
        <f>IF(N109=2,$J$6,"")</f>
        <v>●</v>
      </c>
      <c r="Q109" s="1335" t="str">
        <f t="shared" si="55"/>
        <v/>
      </c>
      <c r="R109" s="1336"/>
      <c r="S109" s="1333"/>
      <c r="T109" s="1337">
        <f t="shared" si="56"/>
        <v>2</v>
      </c>
      <c r="V109" s="1304" t="str">
        <f>C107</f>
        <v>11.9</v>
      </c>
      <c r="W109" s="1338"/>
      <c r="AF109" s="1531"/>
      <c r="AG109" s="1545"/>
      <c r="AH109" s="1545"/>
      <c r="AI109" s="1419"/>
      <c r="AJ109" s="1343"/>
      <c r="AK109" s="1421"/>
      <c r="AO109" s="1604"/>
      <c r="AP109" s="1605"/>
      <c r="AQ109" s="1606"/>
      <c r="AR109" s="1412"/>
      <c r="AS109" s="1412"/>
      <c r="AT109" s="1413"/>
      <c r="AW109" s="1596"/>
      <c r="AX109" s="1350"/>
      <c r="AY109" s="1351"/>
      <c r="AZ109" s="1367"/>
      <c r="BA109" s="1368"/>
      <c r="BB109" s="1351"/>
      <c r="BF109" t="str">
        <f t="shared" si="68"/>
        <v>Q2.3.1「健康増進施設」</v>
      </c>
      <c r="BG109" s="340" t="str">
        <f>スコア!BN56</f>
        <v>2.3.1 健康増進施設</v>
      </c>
    </row>
    <row r="110" spans="2:59" ht="16.2">
      <c r="B110" s="1597"/>
      <c r="C110" s="1978"/>
      <c r="D110" s="1972"/>
      <c r="E110" s="1962"/>
      <c r="F110" s="1965"/>
      <c r="G110" s="1333" t="s">
        <v>1752</v>
      </c>
      <c r="H110" s="1333" t="s">
        <v>1753</v>
      </c>
      <c r="I110" s="340">
        <f>スコア!P59</f>
        <v>3</v>
      </c>
      <c r="J110" s="340">
        <f t="shared" si="88"/>
        <v>2</v>
      </c>
      <c r="K110" s="340"/>
      <c r="L110" s="340"/>
      <c r="M110" s="340"/>
      <c r="N110" s="1370" t="s">
        <v>311</v>
      </c>
      <c r="O110" s="1335" t="str">
        <f t="shared" si="53"/>
        <v/>
      </c>
      <c r="P110" s="1335" t="str">
        <f>IF(N110=2,$J$6,"")</f>
        <v/>
      </c>
      <c r="Q110" s="1335" t="str">
        <f t="shared" si="55"/>
        <v/>
      </c>
      <c r="R110" s="1336"/>
      <c r="S110" s="1333"/>
      <c r="T110" s="1337" t="s">
        <v>311</v>
      </c>
      <c r="V110" s="1304">
        <f t="shared" si="71"/>
        <v>0</v>
      </c>
      <c r="AF110" s="1531"/>
      <c r="AG110" s="1545"/>
      <c r="AH110" s="1545"/>
      <c r="AI110" s="1419"/>
      <c r="AJ110" s="1343"/>
      <c r="AK110" s="1421"/>
      <c r="AO110" s="1604"/>
      <c r="AP110" s="1605"/>
      <c r="AQ110" s="1606"/>
      <c r="AR110" s="1412"/>
      <c r="AS110" s="1412"/>
      <c r="AT110" s="1413"/>
      <c r="AW110" s="1596"/>
      <c r="AX110" s="1350"/>
      <c r="AY110" s="1351"/>
      <c r="AZ110" s="1367"/>
      <c r="BA110" s="1368"/>
      <c r="BB110" s="1351"/>
      <c r="BF110" t="str">
        <f t="shared" si="68"/>
        <v>Q2.3.4「コミュニティ施設」</v>
      </c>
      <c r="BG110" s="340" t="str">
        <f>スコア!BN59</f>
        <v>2.3.4 コミュニティ施設</v>
      </c>
    </row>
    <row r="111" spans="2:59" ht="21.6">
      <c r="B111" s="1597"/>
      <c r="C111" s="1978"/>
      <c r="D111" s="1972"/>
      <c r="E111" s="1962"/>
      <c r="F111" s="1965"/>
      <c r="G111" s="1333" t="s">
        <v>1754</v>
      </c>
      <c r="H111" s="1333" t="s">
        <v>1755</v>
      </c>
      <c r="I111" s="340">
        <f>スコア!P54</f>
        <v>3</v>
      </c>
      <c r="J111" s="340">
        <f t="shared" si="88"/>
        <v>2</v>
      </c>
      <c r="K111" s="340"/>
      <c r="L111" s="340"/>
      <c r="M111" s="340"/>
      <c r="N111" s="1370" t="s">
        <v>311</v>
      </c>
      <c r="O111" s="1335" t="str">
        <f t="shared" si="53"/>
        <v/>
      </c>
      <c r="P111" s="1335" t="str">
        <f t="shared" si="54"/>
        <v/>
      </c>
      <c r="Q111" s="1335" t="str">
        <f t="shared" si="55"/>
        <v/>
      </c>
      <c r="R111" s="1336"/>
      <c r="S111" s="1333"/>
      <c r="T111" s="1337" t="s">
        <v>311</v>
      </c>
      <c r="V111" s="1304">
        <f t="shared" ref="V111:V138" si="89">C111</f>
        <v>0</v>
      </c>
      <c r="AF111" s="1531"/>
      <c r="AG111" s="1545"/>
      <c r="AH111" s="1545"/>
      <c r="AI111" s="1419"/>
      <c r="AJ111" s="1343"/>
      <c r="AK111" s="1421"/>
      <c r="AO111" s="1604"/>
      <c r="AP111" s="1605"/>
      <c r="AQ111" s="1606"/>
      <c r="AR111" s="1412"/>
      <c r="AS111" s="1412"/>
      <c r="AT111" s="1413"/>
      <c r="AW111" s="1596"/>
      <c r="AX111" s="1350"/>
      <c r="AY111" s="1351"/>
      <c r="AZ111" s="1367"/>
      <c r="BA111" s="1368"/>
      <c r="BB111" s="1351"/>
      <c r="BF111" t="str">
        <f t="shared" si="68"/>
        <v>Q2.2.4「行政施設」</v>
      </c>
      <c r="BG111" s="340" t="str">
        <f>スコア!BN54</f>
        <v>2.2.4 行政施設</v>
      </c>
    </row>
    <row r="112" spans="2:59" ht="21.6">
      <c r="B112" s="1597"/>
      <c r="C112" s="1978"/>
      <c r="D112" s="1972"/>
      <c r="E112" s="1963"/>
      <c r="F112" s="1966"/>
      <c r="G112" s="1333" t="s">
        <v>1756</v>
      </c>
      <c r="H112" s="1333" t="s">
        <v>1757</v>
      </c>
      <c r="I112" s="340">
        <f>スコア!P48</f>
        <v>3</v>
      </c>
      <c r="J112" s="340">
        <f t="shared" si="88"/>
        <v>2</v>
      </c>
      <c r="K112" s="340"/>
      <c r="L112" s="340"/>
      <c r="M112" s="340"/>
      <c r="N112" s="1370" t="s">
        <v>311</v>
      </c>
      <c r="O112" s="1335" t="str">
        <f t="shared" si="53"/>
        <v/>
      </c>
      <c r="P112" s="1335" t="str">
        <f t="shared" si="54"/>
        <v/>
      </c>
      <c r="Q112" s="1335" t="str">
        <f t="shared" si="55"/>
        <v/>
      </c>
      <c r="R112" s="1336"/>
      <c r="S112" s="1333"/>
      <c r="T112" s="1337" t="s">
        <v>311</v>
      </c>
      <c r="V112" s="1304">
        <f t="shared" si="89"/>
        <v>0</v>
      </c>
      <c r="AF112" s="1531"/>
      <c r="AG112" s="1545"/>
      <c r="AH112" s="1545"/>
      <c r="AI112" s="1419"/>
      <c r="AJ112" s="1343"/>
      <c r="AK112" s="1421"/>
      <c r="AO112" s="1604"/>
      <c r="AP112" s="1605"/>
      <c r="AQ112" s="1606"/>
      <c r="AR112" s="1412"/>
      <c r="AS112" s="1412"/>
      <c r="AT112" s="1413"/>
      <c r="AW112" s="1596"/>
      <c r="AX112" s="1350"/>
      <c r="AY112" s="1351"/>
      <c r="AZ112" s="1367"/>
      <c r="BA112" s="1368"/>
      <c r="BB112" s="1351"/>
      <c r="BF112" t="str">
        <f t="shared" si="68"/>
        <v>Q2.1.2.3の1）「街区施設等の維持管理」</v>
      </c>
      <c r="BG112" s="340" t="str">
        <f>スコア!BN48</f>
        <v>１) 街区施設等の維持管理</v>
      </c>
    </row>
    <row r="113" spans="2:59" ht="21.6">
      <c r="B113" s="1597"/>
      <c r="C113" s="1979"/>
      <c r="D113" s="1973"/>
      <c r="E113" s="1330" t="s">
        <v>1994</v>
      </c>
      <c r="F113" s="1332" t="s">
        <v>1758</v>
      </c>
      <c r="G113" s="1333" t="s">
        <v>1759</v>
      </c>
      <c r="H113" s="1333" t="s">
        <v>1392</v>
      </c>
      <c r="I113" s="340">
        <f>スコア!P71</f>
        <v>3</v>
      </c>
      <c r="J113" s="340">
        <f t="shared" si="88"/>
        <v>2</v>
      </c>
      <c r="K113" s="340"/>
      <c r="L113" s="340"/>
      <c r="M113" s="340"/>
      <c r="N113" s="1370">
        <f>IF(SUM(J113)=0,"",ROUND(AVERAGE(J113),0))</f>
        <v>2</v>
      </c>
      <c r="O113" s="1335" t="str">
        <f t="shared" si="53"/>
        <v/>
      </c>
      <c r="P113" s="1335" t="str">
        <f t="shared" si="54"/>
        <v>●</v>
      </c>
      <c r="Q113" s="1335" t="str">
        <f t="shared" si="55"/>
        <v/>
      </c>
      <c r="R113" s="1336"/>
      <c r="S113" s="1334"/>
      <c r="T113" s="1337">
        <f t="shared" ref="T113:T115" si="90">IF(N113="",$I$6,IF(N113+S113&gt;3,3,N113+S113))</f>
        <v>2</v>
      </c>
      <c r="V113" s="1304">
        <f t="shared" si="89"/>
        <v>0</v>
      </c>
      <c r="W113" s="1338"/>
      <c r="AF113" s="1531"/>
      <c r="AG113" s="1545"/>
      <c r="AH113" s="1545"/>
      <c r="AI113" s="1419"/>
      <c r="AJ113" s="1343"/>
      <c r="AK113" s="1421"/>
      <c r="AO113" s="1604"/>
      <c r="AP113" s="1605"/>
      <c r="AQ113" s="1606"/>
      <c r="AR113" s="1412"/>
      <c r="AS113" s="1412"/>
      <c r="AT113" s="1413"/>
      <c r="AW113" s="1596"/>
      <c r="AX113" s="1350"/>
      <c r="AY113" s="1351"/>
      <c r="AZ113" s="1367"/>
      <c r="BA113" s="1368"/>
      <c r="BB113" s="1351"/>
      <c r="BF113" t="str">
        <f t="shared" si="68"/>
        <v>Q2.5.3「ユニバーサルデザイン」</v>
      </c>
      <c r="BG113" s="340" t="str">
        <f>スコア!BN71</f>
        <v>2.5.3 ユニバーサルデザイン</v>
      </c>
    </row>
    <row r="114" spans="2:59" ht="21.6">
      <c r="B114" s="1597"/>
      <c r="C114" s="1330" t="s">
        <v>1760</v>
      </c>
      <c r="D114" s="1331" t="s">
        <v>1764</v>
      </c>
      <c r="E114" s="1330" t="s">
        <v>1761</v>
      </c>
      <c r="F114" s="1332" t="s">
        <v>1766</v>
      </c>
      <c r="G114" s="1333" t="s">
        <v>1767</v>
      </c>
      <c r="H114" s="1333" t="s">
        <v>1768</v>
      </c>
      <c r="I114" s="340">
        <f>スコア!R39</f>
        <v>3</v>
      </c>
      <c r="J114" s="340">
        <f t="shared" si="88"/>
        <v>2</v>
      </c>
      <c r="K114" s="340"/>
      <c r="L114" s="340"/>
      <c r="M114" s="340"/>
      <c r="N114" s="1370">
        <f t="shared" ref="N114" si="91">IF(SUM(J114)=0,"",ROUND(AVERAGE(J114),0))</f>
        <v>2</v>
      </c>
      <c r="O114" s="1335" t="str">
        <f t="shared" si="53"/>
        <v/>
      </c>
      <c r="P114" s="1335" t="str">
        <f t="shared" si="54"/>
        <v>●</v>
      </c>
      <c r="Q114" s="1335" t="str">
        <f t="shared" si="55"/>
        <v/>
      </c>
      <c r="R114" s="1336"/>
      <c r="S114" s="1333"/>
      <c r="T114" s="1337">
        <f t="shared" si="90"/>
        <v>2</v>
      </c>
      <c r="V114" s="1304" t="str">
        <f t="shared" si="89"/>
        <v>11.10</v>
      </c>
      <c r="W114" s="1338">
        <f>IF(SUM(T114)=0,"",AVERAGE(T114))</f>
        <v>2</v>
      </c>
      <c r="AF114" s="1531"/>
      <c r="AG114" s="1545"/>
      <c r="AH114" s="1545"/>
      <c r="AI114" s="1419"/>
      <c r="AJ114" s="1343"/>
      <c r="AK114" s="1421"/>
      <c r="AO114" s="1604"/>
      <c r="AP114" s="1605"/>
      <c r="AQ114" s="1606"/>
      <c r="AR114" s="1412"/>
      <c r="AS114" s="1412"/>
      <c r="AT114" s="1413"/>
      <c r="AW114" s="1596"/>
      <c r="AX114" s="1350"/>
      <c r="AY114" s="1351"/>
      <c r="AZ114" s="1367"/>
      <c r="BA114" s="1368"/>
      <c r="BB114" s="1351"/>
      <c r="BF114" t="str">
        <f t="shared" si="68"/>
        <v>Q1.3「建築物における環境配慮」</v>
      </c>
      <c r="BG114" s="340" t="str">
        <f>スコア!BN39</f>
        <v>1.3 建築物における環境配慮</v>
      </c>
    </row>
    <row r="115" spans="2:59" ht="16.2">
      <c r="B115" s="1597"/>
      <c r="C115" s="1964" t="s">
        <v>1763</v>
      </c>
      <c r="D115" s="1964" t="s">
        <v>1769</v>
      </c>
      <c r="E115" s="1961" t="s">
        <v>1765</v>
      </c>
      <c r="F115" s="1974" t="s">
        <v>1770</v>
      </c>
      <c r="G115" s="1974" t="s">
        <v>1771</v>
      </c>
      <c r="H115" s="1333" t="s">
        <v>1977</v>
      </c>
      <c r="I115" s="340">
        <f>スコア!P77</f>
        <v>3</v>
      </c>
      <c r="J115" s="340">
        <f t="shared" si="88"/>
        <v>2</v>
      </c>
      <c r="K115" s="340"/>
      <c r="L115" s="340"/>
      <c r="M115" s="340"/>
      <c r="N115" s="1370">
        <f>IF(SUM(J115:J116)=0,"",ROUND(AVERAGE(J115:J116),0))</f>
        <v>2</v>
      </c>
      <c r="O115" s="1335" t="str">
        <f t="shared" si="53"/>
        <v/>
      </c>
      <c r="P115" s="1335" t="str">
        <f t="shared" si="54"/>
        <v>●</v>
      </c>
      <c r="Q115" s="1335" t="str">
        <f t="shared" si="55"/>
        <v/>
      </c>
      <c r="R115" s="1336"/>
      <c r="S115" s="1333"/>
      <c r="T115" s="1337">
        <f t="shared" si="90"/>
        <v>2</v>
      </c>
      <c r="V115" s="1304" t="str">
        <f t="shared" si="89"/>
        <v>11.11</v>
      </c>
      <c r="W115" s="1338">
        <f>IF(SUM(T115:T120)=0,"",AVERAGE(T115:T120))</f>
        <v>1.4</v>
      </c>
      <c r="AF115" s="1531"/>
      <c r="AG115" s="1545"/>
      <c r="AH115" s="1545"/>
      <c r="AI115" s="1419"/>
      <c r="AJ115" s="1343"/>
      <c r="AK115" s="1421"/>
      <c r="AO115" s="1604"/>
      <c r="AP115" s="1605"/>
      <c r="AQ115" s="1606"/>
      <c r="AR115" s="1412"/>
      <c r="AS115" s="1412"/>
      <c r="AT115" s="1413"/>
      <c r="AW115" s="1596"/>
      <c r="AX115" s="1350"/>
      <c r="AY115" s="1351"/>
      <c r="AZ115" s="1367"/>
      <c r="BA115" s="1368"/>
      <c r="BB115" s="1351"/>
      <c r="BF115" t="str">
        <f t="shared" si="68"/>
        <v>Q3.1.1.1「周辺地域への貢献」</v>
      </c>
      <c r="BG115" s="340" t="str">
        <f>スコア!BN77</f>
        <v>3.1.1.1 周辺地域への貢献</v>
      </c>
    </row>
    <row r="116" spans="2:59" ht="16.2">
      <c r="B116" s="1597"/>
      <c r="C116" s="1965"/>
      <c r="D116" s="1972"/>
      <c r="E116" s="1963"/>
      <c r="F116" s="1966"/>
      <c r="G116" s="1966"/>
      <c r="H116" s="1333" t="s">
        <v>1772</v>
      </c>
      <c r="I116" s="340">
        <f>スコア!P78</f>
        <v>3</v>
      </c>
      <c r="J116" s="340">
        <f t="shared" si="88"/>
        <v>2</v>
      </c>
      <c r="K116" s="340"/>
      <c r="L116" s="340"/>
      <c r="M116" s="340"/>
      <c r="N116" s="1370" t="s">
        <v>311</v>
      </c>
      <c r="O116" s="1335" t="str">
        <f t="shared" si="53"/>
        <v/>
      </c>
      <c r="P116" s="1335" t="str">
        <f t="shared" si="54"/>
        <v/>
      </c>
      <c r="Q116" s="1335" t="str">
        <f t="shared" si="55"/>
        <v/>
      </c>
      <c r="R116" s="1336"/>
      <c r="S116" s="1333"/>
      <c r="T116" s="1337" t="s">
        <v>311</v>
      </c>
      <c r="V116" s="1304">
        <f t="shared" si="89"/>
        <v>0</v>
      </c>
      <c r="AF116" s="1531"/>
      <c r="AG116" s="1545"/>
      <c r="AH116" s="1545"/>
      <c r="AI116" s="1419"/>
      <c r="AJ116" s="1343"/>
      <c r="AK116" s="1421"/>
      <c r="AO116" s="1604"/>
      <c r="AP116" s="1605"/>
      <c r="AQ116" s="1606"/>
      <c r="AR116" s="1412"/>
      <c r="AS116" s="1412"/>
      <c r="AT116" s="1413"/>
      <c r="AW116" s="1596"/>
      <c r="AX116" s="1350"/>
      <c r="AY116" s="1351"/>
      <c r="AZ116" s="1367"/>
      <c r="BA116" s="1368"/>
      <c r="BB116" s="1351"/>
      <c r="BF116" t="str">
        <f t="shared" si="68"/>
        <v>Q3.1.1.2「スマートロケーション」</v>
      </c>
      <c r="BG116" s="340" t="str">
        <f>スコア!BN78</f>
        <v>3.1.1.2 スマートロケーション</v>
      </c>
    </row>
    <row r="117" spans="2:59" ht="97.2">
      <c r="B117" s="1597"/>
      <c r="C117" s="1965"/>
      <c r="D117" s="1972"/>
      <c r="E117" s="1330" t="s">
        <v>2000</v>
      </c>
      <c r="F117" s="1332" t="s">
        <v>1773</v>
      </c>
      <c r="G117" s="1333" t="s">
        <v>1774</v>
      </c>
      <c r="H117" s="1333"/>
      <c r="I117" s="340"/>
      <c r="J117" s="340"/>
      <c r="K117" s="340">
        <v>1</v>
      </c>
      <c r="L117" s="340">
        <v>2</v>
      </c>
      <c r="M117" s="340">
        <v>3</v>
      </c>
      <c r="N117" s="1334">
        <v>1</v>
      </c>
      <c r="O117" s="1335" t="str">
        <f t="shared" si="53"/>
        <v>●</v>
      </c>
      <c r="P117" s="1335" t="str">
        <f t="shared" si="54"/>
        <v/>
      </c>
      <c r="Q117" s="1335" t="str">
        <f t="shared" si="55"/>
        <v/>
      </c>
      <c r="R117" s="1355"/>
      <c r="S117" s="1333"/>
      <c r="T117" s="1337">
        <f t="shared" si="56"/>
        <v>1</v>
      </c>
      <c r="V117" s="1304">
        <f t="shared" si="89"/>
        <v>0</v>
      </c>
      <c r="AF117" s="1531"/>
      <c r="AG117" s="1545"/>
      <c r="AH117" s="1545"/>
      <c r="AI117" s="1419"/>
      <c r="AJ117" s="1343"/>
      <c r="AK117" s="1421"/>
      <c r="AO117" s="1604"/>
      <c r="AP117" s="1605"/>
      <c r="AQ117" s="1606"/>
      <c r="AR117" s="1412"/>
      <c r="AS117" s="1412"/>
      <c r="AT117" s="1413"/>
      <c r="AW117" s="1596"/>
      <c r="AX117" s="1350"/>
      <c r="AY117" s="1351"/>
      <c r="AZ117" s="1367"/>
      <c r="BA117" s="1368"/>
      <c r="BB117" s="1351"/>
      <c r="BF117">
        <f t="shared" si="68"/>
        <v>0</v>
      </c>
      <c r="BG117" s="340"/>
    </row>
    <row r="118" spans="2:59" ht="64.8">
      <c r="B118" s="1597"/>
      <c r="C118" s="1965"/>
      <c r="D118" s="1972"/>
      <c r="E118" s="1330" t="s">
        <v>2001</v>
      </c>
      <c r="F118" s="1332" t="s">
        <v>1775</v>
      </c>
      <c r="G118" s="1333" t="s">
        <v>1776</v>
      </c>
      <c r="H118" s="1333"/>
      <c r="I118" s="340"/>
      <c r="J118" s="340"/>
      <c r="K118" s="340">
        <v>1</v>
      </c>
      <c r="L118" s="340">
        <v>2</v>
      </c>
      <c r="M118" s="340">
        <v>3</v>
      </c>
      <c r="N118" s="1334">
        <v>1</v>
      </c>
      <c r="O118" s="1335" t="str">
        <f t="shared" si="53"/>
        <v>●</v>
      </c>
      <c r="P118" s="1335" t="str">
        <f t="shared" si="54"/>
        <v/>
      </c>
      <c r="Q118" s="1335" t="str">
        <f t="shared" si="55"/>
        <v/>
      </c>
      <c r="R118" s="1355"/>
      <c r="S118" s="1333"/>
      <c r="T118" s="1337">
        <f t="shared" si="56"/>
        <v>1</v>
      </c>
      <c r="V118" s="1304">
        <f t="shared" si="89"/>
        <v>0</v>
      </c>
      <c r="AF118" s="1531"/>
      <c r="AG118" s="1545"/>
      <c r="AH118" s="1545"/>
      <c r="AI118" s="1419"/>
      <c r="AJ118" s="1343"/>
      <c r="AK118" s="1421"/>
      <c r="AO118" s="1604"/>
      <c r="AP118" s="1605"/>
      <c r="AQ118" s="1606"/>
      <c r="AR118" s="1412"/>
      <c r="AS118" s="1412"/>
      <c r="AT118" s="1413"/>
      <c r="AW118" s="1596"/>
      <c r="AX118" s="1350"/>
      <c r="AY118" s="1351"/>
      <c r="AZ118" s="1367"/>
      <c r="BA118" s="1368"/>
      <c r="BB118" s="1351"/>
      <c r="BF118">
        <f t="shared" si="68"/>
        <v>0</v>
      </c>
      <c r="BG118" s="340"/>
    </row>
    <row r="119" spans="2:59" ht="75.599999999999994">
      <c r="B119" s="1597"/>
      <c r="C119" s="1965"/>
      <c r="D119" s="1972"/>
      <c r="E119" s="1330" t="s">
        <v>2002</v>
      </c>
      <c r="F119" s="1332" t="s">
        <v>1777</v>
      </c>
      <c r="G119" s="1333" t="s">
        <v>1778</v>
      </c>
      <c r="H119" s="1333"/>
      <c r="I119" s="340"/>
      <c r="J119" s="340"/>
      <c r="K119" s="340">
        <v>1</v>
      </c>
      <c r="L119" s="340">
        <v>2</v>
      </c>
      <c r="M119" s="340">
        <v>3</v>
      </c>
      <c r="N119" s="1334">
        <v>1</v>
      </c>
      <c r="O119" s="1335" t="str">
        <f t="shared" si="53"/>
        <v>●</v>
      </c>
      <c r="P119" s="1335" t="str">
        <f t="shared" si="54"/>
        <v/>
      </c>
      <c r="Q119" s="1335" t="str">
        <f t="shared" si="55"/>
        <v/>
      </c>
      <c r="R119" s="1355"/>
      <c r="S119" s="1333"/>
      <c r="T119" s="1337">
        <f t="shared" si="56"/>
        <v>1</v>
      </c>
      <c r="V119" s="1304">
        <f t="shared" si="89"/>
        <v>0</v>
      </c>
      <c r="AF119" s="1531"/>
      <c r="AG119" s="1545"/>
      <c r="AH119" s="1545"/>
      <c r="AI119" s="1419"/>
      <c r="AJ119" s="1343"/>
      <c r="AK119" s="1421"/>
      <c r="AO119" s="1604"/>
      <c r="AP119" s="1605"/>
      <c r="AQ119" s="1606"/>
      <c r="AR119" s="1412"/>
      <c r="AS119" s="1412"/>
      <c r="AT119" s="1413"/>
      <c r="AW119" s="1596"/>
      <c r="AX119" s="1350"/>
      <c r="AY119" s="1351"/>
      <c r="AZ119" s="1367"/>
      <c r="BA119" s="1368"/>
      <c r="BB119" s="1351"/>
      <c r="BF119">
        <f t="shared" si="68"/>
        <v>0</v>
      </c>
      <c r="BG119" s="340"/>
    </row>
    <row r="120" spans="2:59" ht="32.4">
      <c r="B120" s="1607"/>
      <c r="C120" s="1966"/>
      <c r="D120" s="1973"/>
      <c r="E120" s="1330" t="s">
        <v>2003</v>
      </c>
      <c r="F120" s="1332" t="s">
        <v>1779</v>
      </c>
      <c r="G120" s="1333" t="s">
        <v>1780</v>
      </c>
      <c r="H120" s="1333" t="s">
        <v>1403</v>
      </c>
      <c r="I120" s="340">
        <f>スコア!P109</f>
        <v>3</v>
      </c>
      <c r="J120" s="340">
        <f t="shared" ref="J120" si="92">IF(I120&gt;=4,3,IF(I120&gt;=2,2,IF(I120=1,1,"")))</f>
        <v>2</v>
      </c>
      <c r="K120" s="340"/>
      <c r="L120" s="340"/>
      <c r="M120" s="340"/>
      <c r="N120" s="1370">
        <f>IF(SUM(J120)=0,"",ROUND(AVERAGE(J120),0))</f>
        <v>2</v>
      </c>
      <c r="O120" s="1335" t="str">
        <f t="shared" si="53"/>
        <v/>
      </c>
      <c r="P120" s="1335" t="str">
        <f t="shared" si="54"/>
        <v>●</v>
      </c>
      <c r="Q120" s="1335" t="str">
        <f t="shared" si="55"/>
        <v/>
      </c>
      <c r="R120" s="1336"/>
      <c r="S120" s="1333"/>
      <c r="T120" s="1337">
        <f t="shared" si="56"/>
        <v>2</v>
      </c>
      <c r="V120" s="1304">
        <f t="shared" si="89"/>
        <v>0</v>
      </c>
      <c r="AF120" s="1531"/>
      <c r="AG120" s="1545"/>
      <c r="AH120" s="1545"/>
      <c r="AI120" s="1419"/>
      <c r="AJ120" s="1343"/>
      <c r="AK120" s="1421"/>
      <c r="AO120" s="1604"/>
      <c r="AP120" s="1605"/>
      <c r="AQ120" s="1606"/>
      <c r="AR120" s="1412"/>
      <c r="AS120" s="1412"/>
      <c r="AT120" s="1413"/>
      <c r="AW120" s="1596"/>
      <c r="AX120" s="1350"/>
      <c r="AY120" s="1351"/>
      <c r="AZ120" s="1367"/>
      <c r="BA120" s="1368"/>
      <c r="BB120" s="1351"/>
      <c r="BF120" t="str">
        <f t="shared" si="68"/>
        <v>LR2.1.1「土壌汚染への対応」</v>
      </c>
      <c r="BG120" s="340" t="str">
        <f>スコア!BN109</f>
        <v>2.1.1 土壌汚染への対応</v>
      </c>
    </row>
    <row r="121" spans="2:59" ht="64.8">
      <c r="B121" s="1608" t="s">
        <v>1781</v>
      </c>
      <c r="C121" s="1961" t="s">
        <v>1782</v>
      </c>
      <c r="D121" s="1964" t="s">
        <v>1783</v>
      </c>
      <c r="E121" s="1330" t="s">
        <v>1784</v>
      </c>
      <c r="F121" s="1333" t="s">
        <v>1785</v>
      </c>
      <c r="G121" s="1333" t="s">
        <v>1786</v>
      </c>
      <c r="H121" s="1333"/>
      <c r="I121" s="340"/>
      <c r="J121" s="340"/>
      <c r="K121" s="340">
        <v>1</v>
      </c>
      <c r="L121" s="340">
        <v>2</v>
      </c>
      <c r="M121" s="340">
        <v>3</v>
      </c>
      <c r="N121" s="1334">
        <v>1</v>
      </c>
      <c r="O121" s="1335" t="str">
        <f t="shared" si="53"/>
        <v>●</v>
      </c>
      <c r="P121" s="1335" t="str">
        <f t="shared" si="54"/>
        <v/>
      </c>
      <c r="Q121" s="1335" t="str">
        <f t="shared" si="55"/>
        <v/>
      </c>
      <c r="R121" s="1355"/>
      <c r="S121" s="1334"/>
      <c r="T121" s="1337">
        <f t="shared" si="56"/>
        <v>1</v>
      </c>
      <c r="V121" s="1304" t="str">
        <f t="shared" si="89"/>
        <v>12.1</v>
      </c>
      <c r="W121" s="1338">
        <f>IF(SUM(T121:T123)=0,"",AVERAGE(T121:T123))</f>
        <v>1.5</v>
      </c>
      <c r="X121" s="1338">
        <f>IF(SUM(W121:W133)=0,"",AVERAGE(W121:W133))</f>
        <v>1.3333333333333333</v>
      </c>
      <c r="AF121" s="1609"/>
      <c r="AG121" s="1463"/>
      <c r="AH121" s="1463"/>
      <c r="AI121" s="1481"/>
      <c r="AJ121" s="1420"/>
      <c r="AK121" s="1610" t="str">
        <f>AS121</f>
        <v/>
      </c>
      <c r="AO121" s="1468"/>
      <c r="AP121" s="1469"/>
      <c r="AQ121" s="1470"/>
      <c r="AR121" s="1412" t="str">
        <f>IF(AQ121="","",IF(AQ121=4,"",AQ121))</f>
        <v/>
      </c>
      <c r="AS121" s="1412" t="str">
        <f>IF(AR121="","",IF(AR121=3,3,IF(AT121=TRUE,AR121+1,AR121)))</f>
        <v/>
      </c>
      <c r="AT121" s="1471"/>
      <c r="AW121" s="1611"/>
      <c r="AX121" s="1506">
        <f>IFERROR(SUM(BA121:BA127)/AY121,"")</f>
        <v>0</v>
      </c>
      <c r="AY121" s="1353">
        <f>COUNTA(BB121:BB127)</f>
        <v>4</v>
      </c>
      <c r="AZ121" s="1367" t="s">
        <v>1782</v>
      </c>
      <c r="BA121" s="1368">
        <f>IFERROR(SUM(AK121)/BB121,"")</f>
        <v>0</v>
      </c>
      <c r="BB121" s="1351">
        <f>COUNTA(E121)</f>
        <v>1</v>
      </c>
      <c r="BF121">
        <f t="shared" si="68"/>
        <v>0</v>
      </c>
      <c r="BG121" s="340"/>
    </row>
    <row r="122" spans="2:59" ht="21.6">
      <c r="B122" s="1612"/>
      <c r="C122" s="1962"/>
      <c r="D122" s="1965"/>
      <c r="E122" s="1961" t="s">
        <v>1787</v>
      </c>
      <c r="F122" s="1974" t="s">
        <v>1788</v>
      </c>
      <c r="G122" s="1974" t="s">
        <v>1789</v>
      </c>
      <c r="H122" s="1333" t="s">
        <v>1790</v>
      </c>
      <c r="I122" s="340">
        <f>スコア!P48</f>
        <v>3</v>
      </c>
      <c r="J122" s="340">
        <f t="shared" ref="J122:J123" si="93">IF(I122&gt;=4,3,IF(I122&gt;=2,2,IF(I122=1,1,"")))</f>
        <v>2</v>
      </c>
      <c r="K122" s="340"/>
      <c r="L122" s="340"/>
      <c r="M122" s="340"/>
      <c r="N122" s="1370">
        <f>IF(SUM(J122:J123)=0,"",ROUND(AVERAGE(J122:J123),0))</f>
        <v>2</v>
      </c>
      <c r="O122" s="1335" t="str">
        <f t="shared" ref="O122:O123" si="94">IF(N122=1,$J$6,"")</f>
        <v/>
      </c>
      <c r="P122" s="1335" t="str">
        <f t="shared" ref="P122:P123" si="95">IF(N122=2,$J$6,"")</f>
        <v>●</v>
      </c>
      <c r="Q122" s="1335" t="str">
        <f t="shared" ref="Q122:Q123" si="96">IF(N122=3,$J$6,"")</f>
        <v/>
      </c>
      <c r="R122" s="1336"/>
      <c r="S122" s="1333"/>
      <c r="T122" s="1337">
        <f t="shared" si="56"/>
        <v>2</v>
      </c>
      <c r="V122" s="1304">
        <f t="shared" si="89"/>
        <v>0</v>
      </c>
      <c r="AF122" s="1339"/>
      <c r="AG122" s="1613"/>
      <c r="AH122" s="1613"/>
      <c r="AI122" s="1419"/>
      <c r="AJ122" s="1343"/>
      <c r="AK122" s="1614"/>
      <c r="AO122" s="1615"/>
      <c r="AP122" s="1616"/>
      <c r="AQ122" s="1617"/>
      <c r="AR122" s="1461"/>
      <c r="AS122" s="1461"/>
      <c r="AT122" s="1618"/>
      <c r="AW122" s="1611"/>
      <c r="AX122" s="1350"/>
      <c r="AY122" s="1351"/>
      <c r="AZ122" s="1367"/>
      <c r="BA122" s="1368"/>
      <c r="BB122" s="1351"/>
      <c r="BF122" t="str">
        <f t="shared" si="68"/>
        <v>Q2.1.2.3「維持管理」1）「街区施設等の維持管理」</v>
      </c>
      <c r="BG122" s="340" t="str">
        <f>スコア!BN48</f>
        <v>１) 街区施設等の維持管理</v>
      </c>
    </row>
    <row r="123" spans="2:59" ht="21.6">
      <c r="B123" s="1612"/>
      <c r="C123" s="1963"/>
      <c r="D123" s="1966"/>
      <c r="E123" s="1963"/>
      <c r="F123" s="1966"/>
      <c r="G123" s="1966"/>
      <c r="H123" s="1333" t="s">
        <v>1520</v>
      </c>
      <c r="I123" s="340">
        <f>スコア!P49</f>
        <v>3</v>
      </c>
      <c r="J123" s="340">
        <f t="shared" si="93"/>
        <v>2</v>
      </c>
      <c r="K123" s="340"/>
      <c r="L123" s="340"/>
      <c r="M123" s="340"/>
      <c r="N123" s="1370" t="s">
        <v>311</v>
      </c>
      <c r="O123" s="1335" t="str">
        <f t="shared" si="94"/>
        <v/>
      </c>
      <c r="P123" s="1335" t="str">
        <f t="shared" si="95"/>
        <v/>
      </c>
      <c r="Q123" s="1335" t="str">
        <f t="shared" si="96"/>
        <v/>
      </c>
      <c r="R123" s="1336"/>
      <c r="S123" s="1333"/>
      <c r="T123" s="1337" t="s">
        <v>311</v>
      </c>
      <c r="V123" s="1304">
        <f t="shared" si="89"/>
        <v>0</v>
      </c>
      <c r="AF123" s="1339"/>
      <c r="AG123" s="1613"/>
      <c r="AH123" s="1613"/>
      <c r="AI123" s="1419"/>
      <c r="AJ123" s="1343"/>
      <c r="AK123" s="1614"/>
      <c r="AO123" s="1615"/>
      <c r="AP123" s="1616"/>
      <c r="AQ123" s="1617"/>
      <c r="AR123" s="1461"/>
      <c r="AS123" s="1461"/>
      <c r="AT123" s="1618"/>
      <c r="AW123" s="1611"/>
      <c r="AX123" s="1350"/>
      <c r="AY123" s="1351"/>
      <c r="AZ123" s="1367"/>
      <c r="BA123" s="1368"/>
      <c r="BB123" s="1351"/>
      <c r="BF123" t="str">
        <f t="shared" si="68"/>
        <v>Q2.1.2.3「維持管理」2）「グリーンインフラの維持管理」</v>
      </c>
      <c r="BG123" s="340" t="str">
        <f>スコア!BN49</f>
        <v>2) グリーンインフラの維持管理</v>
      </c>
    </row>
    <row r="124" spans="2:59" ht="86.4">
      <c r="B124" s="1619"/>
      <c r="C124" s="1330" t="s">
        <v>1791</v>
      </c>
      <c r="D124" s="1331" t="s">
        <v>1792</v>
      </c>
      <c r="E124" s="1330" t="s">
        <v>1793</v>
      </c>
      <c r="F124" s="1332" t="s">
        <v>1986</v>
      </c>
      <c r="G124" s="1333" t="s">
        <v>1794</v>
      </c>
      <c r="H124" s="1333"/>
      <c r="I124" s="340"/>
      <c r="J124" s="340"/>
      <c r="K124" s="340">
        <v>1</v>
      </c>
      <c r="L124" s="340">
        <v>2</v>
      </c>
      <c r="M124" s="340">
        <v>3</v>
      </c>
      <c r="N124" s="1334">
        <v>1</v>
      </c>
      <c r="O124" s="1335" t="str">
        <f t="shared" si="53"/>
        <v>●</v>
      </c>
      <c r="P124" s="1335" t="str">
        <f t="shared" si="54"/>
        <v/>
      </c>
      <c r="Q124" s="1335" t="str">
        <f t="shared" si="55"/>
        <v/>
      </c>
      <c r="R124" s="1355"/>
      <c r="S124" s="1333"/>
      <c r="T124" s="1337">
        <f t="shared" si="56"/>
        <v>1</v>
      </c>
      <c r="V124" s="1304" t="str">
        <f t="shared" si="89"/>
        <v>12.2</v>
      </c>
      <c r="W124" s="1338">
        <f>IF(SUM(T124)=0,"",AVERAGE(T124))</f>
        <v>1</v>
      </c>
      <c r="AW124" s="1620"/>
      <c r="AX124" s="1350"/>
      <c r="AY124" s="1351"/>
      <c r="AZ124" s="1367" t="s">
        <v>1791</v>
      </c>
      <c r="BA124" s="1368">
        <f>IFERROR(SUM(AK77:AK81)/BB124,"")</f>
        <v>0</v>
      </c>
      <c r="BB124" s="1351">
        <f>COUNTA(E124:E124)</f>
        <v>1</v>
      </c>
      <c r="BF124">
        <f t="shared" si="68"/>
        <v>0</v>
      </c>
      <c r="BG124" s="340"/>
    </row>
    <row r="125" spans="2:59" ht="21.6">
      <c r="B125" s="1619"/>
      <c r="C125" s="1330" t="s">
        <v>1795</v>
      </c>
      <c r="D125" s="1331" t="s">
        <v>1796</v>
      </c>
      <c r="E125" s="1330" t="s">
        <v>1797</v>
      </c>
      <c r="F125" s="1332" t="s">
        <v>1798</v>
      </c>
      <c r="G125" s="1333" t="s">
        <v>1799</v>
      </c>
      <c r="H125" s="1333" t="s">
        <v>1950</v>
      </c>
      <c r="I125" s="340">
        <f>スコア!P126</f>
        <v>3</v>
      </c>
      <c r="J125" s="340">
        <f t="shared" ref="J125" si="97">IF(I125&gt;=4,3,IF(I125&gt;=2,2,IF(I125=1,1,"")))</f>
        <v>2</v>
      </c>
      <c r="K125" s="340"/>
      <c r="L125" s="340"/>
      <c r="M125" s="340"/>
      <c r="N125" s="1370">
        <f>IF(SUM(J125:J126)=0,"",ROUND(AVERAGE(J125:J126),0))</f>
        <v>2</v>
      </c>
      <c r="O125" s="1335" t="str">
        <f t="shared" si="53"/>
        <v/>
      </c>
      <c r="P125" s="1335" t="str">
        <f t="shared" si="54"/>
        <v>●</v>
      </c>
      <c r="Q125" s="1335" t="str">
        <f t="shared" si="55"/>
        <v/>
      </c>
      <c r="R125" s="1336"/>
      <c r="S125" s="1333"/>
      <c r="T125" s="1337">
        <f t="shared" si="56"/>
        <v>2</v>
      </c>
      <c r="V125" s="1304" t="str">
        <f t="shared" si="89"/>
        <v>12.3</v>
      </c>
      <c r="W125" s="1338">
        <f>IF(SUM(T125)=0,"",AVERAGE(T125))</f>
        <v>2</v>
      </c>
      <c r="AW125" s="1620"/>
      <c r="AX125" s="1350"/>
      <c r="AY125" s="1351"/>
      <c r="AZ125" s="1460" t="s">
        <v>1795</v>
      </c>
      <c r="BA125" s="1352">
        <f>IFERROR(SUM(AK82:AK85)/BB125,"")</f>
        <v>0</v>
      </c>
      <c r="BB125" s="1353">
        <f>COUNTA(E125:E125)</f>
        <v>1</v>
      </c>
      <c r="BF125" t="str">
        <f t="shared" si="68"/>
        <v>LR2.3.2.3「食品系のリサイクル・廃棄物削減」</v>
      </c>
      <c r="BG125" s="340" t="str">
        <f>スコア!BN126</f>
        <v>2.3.2.3 食品系のリサイクル・廃棄物削減</v>
      </c>
    </row>
    <row r="126" spans="2:59" ht="97.2">
      <c r="B126" s="1619"/>
      <c r="C126" s="1967" t="s">
        <v>1800</v>
      </c>
      <c r="D126" s="1968" t="s">
        <v>1801</v>
      </c>
      <c r="E126" s="1330" t="s">
        <v>1802</v>
      </c>
      <c r="F126" s="1332" t="s">
        <v>1803</v>
      </c>
      <c r="G126" s="1333" t="s">
        <v>1804</v>
      </c>
      <c r="H126" s="1333"/>
      <c r="I126" s="340"/>
      <c r="J126" s="340"/>
      <c r="K126" s="340">
        <v>1</v>
      </c>
      <c r="L126" s="340">
        <v>2</v>
      </c>
      <c r="M126" s="340">
        <v>3</v>
      </c>
      <c r="N126" s="1334">
        <v>1</v>
      </c>
      <c r="O126" s="1335" t="str">
        <f t="shared" si="53"/>
        <v>●</v>
      </c>
      <c r="P126" s="1335" t="str">
        <f t="shared" si="54"/>
        <v/>
      </c>
      <c r="Q126" s="1335" t="str">
        <f t="shared" si="55"/>
        <v/>
      </c>
      <c r="R126" s="1355"/>
      <c r="S126" s="1333"/>
      <c r="T126" s="1337">
        <f t="shared" si="56"/>
        <v>1</v>
      </c>
      <c r="V126" s="1304" t="str">
        <f t="shared" si="89"/>
        <v>12.4</v>
      </c>
      <c r="W126" s="1338">
        <f>IF(SUM(T126:T127)=0,"",AVERAGE(T126:T127))</f>
        <v>1.5</v>
      </c>
      <c r="AF126" s="1503" t="str">
        <f>IF(AR126=1,"●","")</f>
        <v/>
      </c>
      <c r="AG126" s="1621" t="str">
        <f>IF(AR126=2,"●","")</f>
        <v/>
      </c>
      <c r="AH126" s="1621" t="str">
        <f>IF(AR126=3,"●","")</f>
        <v/>
      </c>
      <c r="AI126" s="1428"/>
      <c r="AJ126" s="1429"/>
      <c r="AK126" s="1474" t="str">
        <f>AS126</f>
        <v/>
      </c>
      <c r="AO126" s="1377"/>
      <c r="AP126" s="1378"/>
      <c r="AQ126" s="1389"/>
      <c r="AR126" s="1380" t="str">
        <f>IF(AQ126="","",IF(AQ126&lt;=AQ$7,1,IF(AQ126&lt;AS$7,2,IF(AQ126&gt;=AS$7,3,""))))</f>
        <v/>
      </c>
      <c r="AS126" s="1380" t="str">
        <f>IF(AR126="","",IF(AR126=3,3,IF(AT126=TRUE,AR126+1,AR126)))</f>
        <v/>
      </c>
      <c r="AT126" s="1496"/>
      <c r="AW126" s="1620"/>
      <c r="AX126" s="1350"/>
      <c r="AY126" s="1351"/>
      <c r="AZ126" s="1971" t="s">
        <v>1800</v>
      </c>
      <c r="BA126" s="1352">
        <f>IFERROR(SUM(AK126:AK129)/BB126,"")</f>
        <v>0</v>
      </c>
      <c r="BB126" s="1353">
        <f>COUNTA(E126:E127)</f>
        <v>2</v>
      </c>
      <c r="BF126">
        <f t="shared" si="68"/>
        <v>0</v>
      </c>
      <c r="BG126" s="340"/>
    </row>
    <row r="127" spans="2:59" ht="21.6">
      <c r="B127" s="1619"/>
      <c r="C127" s="1967"/>
      <c r="D127" s="1968"/>
      <c r="E127" s="1330" t="s">
        <v>1805</v>
      </c>
      <c r="F127" s="1332" t="s">
        <v>1718</v>
      </c>
      <c r="G127" s="1333" t="s">
        <v>1806</v>
      </c>
      <c r="H127" s="1333" t="s">
        <v>1720</v>
      </c>
      <c r="I127" s="340">
        <f>スコア!P138</f>
        <v>3</v>
      </c>
      <c r="J127" s="340">
        <f t="shared" ref="J127:J128" si="98">IF(I127&gt;=4,3,IF(I127&gt;=2,2,IF(I127=1,1,"")))</f>
        <v>2</v>
      </c>
      <c r="K127" s="340"/>
      <c r="L127" s="340"/>
      <c r="M127" s="340"/>
      <c r="N127" s="1370">
        <f t="shared" ref="N127:N128" si="99">IF(SUM(J127)=0,"",ROUND(AVERAGE(J127),0))</f>
        <v>2</v>
      </c>
      <c r="O127" s="1335" t="str">
        <f t="shared" si="53"/>
        <v/>
      </c>
      <c r="P127" s="1335" t="str">
        <f t="shared" si="54"/>
        <v>●</v>
      </c>
      <c r="Q127" s="1335" t="str">
        <f t="shared" si="55"/>
        <v/>
      </c>
      <c r="R127" s="1336"/>
      <c r="S127" s="1333"/>
      <c r="T127" s="1337">
        <f t="shared" si="56"/>
        <v>2</v>
      </c>
      <c r="V127" s="1304">
        <f t="shared" si="89"/>
        <v>0</v>
      </c>
      <c r="AF127" s="1457" t="str">
        <f>IF(AR127=1,"●","")</f>
        <v/>
      </c>
      <c r="AG127" s="1622" t="str">
        <f>IF(AR127=2,"●","")</f>
        <v/>
      </c>
      <c r="AH127" s="1622" t="str">
        <f>IF(AR127=3,"●","")</f>
        <v/>
      </c>
      <c r="AI127" s="1442"/>
      <c r="AJ127" s="1495"/>
      <c r="AK127" s="1444" t="str">
        <f>AS127</f>
        <v/>
      </c>
      <c r="AO127" s="1397"/>
      <c r="AP127" s="1398"/>
      <c r="AQ127" s="1456"/>
      <c r="AR127" s="1400" t="str">
        <f>IF(AQ127="","",IF(AQ127&lt;=AQ$7,1,IF(AQ127&lt;AS$7,2,IF(AQ127&gt;=AS$7,3,""))))</f>
        <v/>
      </c>
      <c r="AS127" s="1400" t="str">
        <f>IF(AR127="","",IF(AR127=3,3,IF(AT127=TRUE,AR127+1,AR127)))</f>
        <v/>
      </c>
      <c r="AT127" s="1544"/>
      <c r="AW127" s="1620"/>
      <c r="AX127" s="1350"/>
      <c r="AY127" s="1351"/>
      <c r="AZ127" s="1969"/>
      <c r="BA127" s="1368"/>
      <c r="BB127" s="1351"/>
      <c r="BF127" t="str">
        <f t="shared" si="68"/>
        <v>LR3.3.2「対象区域外に対する大気汚染の防止」</v>
      </c>
      <c r="BG127" s="340" t="str">
        <f>スコア!BN138</f>
        <v>3.3.2 対象区域外に対する大気汚染の防止</v>
      </c>
    </row>
    <row r="128" spans="2:59" ht="21.6">
      <c r="B128" s="1619"/>
      <c r="C128" s="1961" t="s">
        <v>1807</v>
      </c>
      <c r="D128" s="1964" t="s">
        <v>1808</v>
      </c>
      <c r="E128" s="1330" t="s">
        <v>1809</v>
      </c>
      <c r="F128" s="1332" t="s">
        <v>1810</v>
      </c>
      <c r="G128" s="1333" t="s">
        <v>1811</v>
      </c>
      <c r="H128" s="1333" t="s">
        <v>1812</v>
      </c>
      <c r="I128" s="340">
        <f>スコア!P122</f>
        <v>3</v>
      </c>
      <c r="J128" s="340">
        <f t="shared" si="98"/>
        <v>2</v>
      </c>
      <c r="K128" s="340"/>
      <c r="L128" s="340"/>
      <c r="M128" s="340"/>
      <c r="N128" s="1370">
        <f t="shared" si="99"/>
        <v>2</v>
      </c>
      <c r="O128" s="1335" t="str">
        <f t="shared" ref="O128:O159" si="100">IF(N128=1,$J$6,"")</f>
        <v/>
      </c>
      <c r="P128" s="1335" t="str">
        <f t="shared" ref="P128:P159" si="101">IF(N128=2,$J$6,"")</f>
        <v>●</v>
      </c>
      <c r="Q128" s="1335" t="str">
        <f t="shared" ref="Q128:Q159" si="102">IF(N128=3,$J$6,"")</f>
        <v/>
      </c>
      <c r="R128" s="1336"/>
      <c r="S128" s="1333"/>
      <c r="T128" s="1337">
        <f t="shared" ref="T128:T159" si="103">IF(N128="",$I$6,IF(N128+S128&gt;3,3,N128+S128))</f>
        <v>2</v>
      </c>
      <c r="V128" s="1304" t="str">
        <f t="shared" si="89"/>
        <v>12.5</v>
      </c>
      <c r="W128" s="1338">
        <f>IF(SUM(T128:T130)=0,"",AVERAGE(T128:T130))</f>
        <v>1.3333333333333333</v>
      </c>
      <c r="AF128" s="1623"/>
      <c r="AG128" s="1624"/>
      <c r="AH128" s="1624"/>
      <c r="AI128" s="1342"/>
      <c r="AJ128" s="1625"/>
      <c r="AK128" s="1344"/>
      <c r="AO128" s="1600"/>
      <c r="AP128" s="1601"/>
      <c r="AQ128" s="1602"/>
      <c r="AR128" s="1603"/>
      <c r="AS128" s="1603"/>
      <c r="AT128" s="1541"/>
      <c r="AW128" s="1620"/>
      <c r="AX128" s="1350"/>
      <c r="AY128" s="1351"/>
      <c r="AZ128" s="1475"/>
      <c r="BA128" s="1476"/>
      <c r="BB128" s="1477"/>
      <c r="BF128" t="str">
        <f t="shared" si="68"/>
        <v>LR2.3.1.2「リサイクル資材の使用」</v>
      </c>
      <c r="BG128" s="340" t="str">
        <f>スコア!BN122</f>
        <v>2.3.1.2 リサイクル資材の使用(躯体、非構造材料)</v>
      </c>
    </row>
    <row r="129" spans="2:59" ht="75.599999999999994">
      <c r="B129" s="1619"/>
      <c r="C129" s="1962"/>
      <c r="D129" s="1965"/>
      <c r="E129" s="1330" t="s">
        <v>1813</v>
      </c>
      <c r="F129" s="1332" t="s">
        <v>1814</v>
      </c>
      <c r="G129" s="1333" t="s">
        <v>1815</v>
      </c>
      <c r="H129" s="1333"/>
      <c r="I129" s="340"/>
      <c r="J129" s="340"/>
      <c r="K129" s="340">
        <v>1</v>
      </c>
      <c r="L129" s="340">
        <v>2</v>
      </c>
      <c r="M129" s="340">
        <v>3</v>
      </c>
      <c r="N129" s="1334">
        <v>1</v>
      </c>
      <c r="O129" s="1335" t="str">
        <f t="shared" si="100"/>
        <v>●</v>
      </c>
      <c r="P129" s="1335" t="str">
        <f t="shared" si="101"/>
        <v/>
      </c>
      <c r="Q129" s="1335" t="str">
        <f t="shared" si="102"/>
        <v/>
      </c>
      <c r="R129" s="1355"/>
      <c r="S129" s="1333"/>
      <c r="T129" s="1337">
        <f t="shared" si="103"/>
        <v>1</v>
      </c>
      <c r="V129" s="1304">
        <f t="shared" si="89"/>
        <v>0</v>
      </c>
      <c r="AF129" s="1626" t="str">
        <f>IF(AR129=1,"●","")</f>
        <v/>
      </c>
      <c r="AG129" s="1627" t="str">
        <f>IF(AR129=2,"●","")</f>
        <v/>
      </c>
      <c r="AH129" s="1627" t="str">
        <f>IF(AR129=3,"●","")</f>
        <v/>
      </c>
      <c r="AI129" s="1465"/>
      <c r="AJ129" s="1466"/>
      <c r="AK129" s="1498" t="str">
        <f>AS129</f>
        <v/>
      </c>
      <c r="AO129" s="1538"/>
      <c r="AP129" s="1539"/>
      <c r="AQ129" s="1540"/>
      <c r="AR129" s="1348" t="str">
        <f>IF(AQ129="","",IF(AQ129&lt;=AQ$7,1,IF(AQ129&lt;AS$7,2,IF(AQ129&gt;=AS$7,3,""))))</f>
        <v/>
      </c>
      <c r="AS129" s="1348" t="str">
        <f>IF(AR129="","",IF(AR129=3,3,IF(AT129=TRUE,AR129+1,AR129)))</f>
        <v/>
      </c>
      <c r="AT129" s="1547"/>
      <c r="AW129" s="1620"/>
      <c r="AX129" s="1350"/>
      <c r="AY129" s="1351"/>
      <c r="AZ129" s="1475"/>
      <c r="BA129" s="1476"/>
      <c r="BB129" s="1477"/>
      <c r="BF129">
        <f t="shared" si="68"/>
        <v>0</v>
      </c>
      <c r="BG129" s="340"/>
    </row>
    <row r="130" spans="2:59" ht="86.4">
      <c r="B130" s="1619"/>
      <c r="C130" s="1963"/>
      <c r="D130" s="1966"/>
      <c r="E130" s="1330" t="s">
        <v>1816</v>
      </c>
      <c r="F130" s="1332" t="s">
        <v>1817</v>
      </c>
      <c r="G130" s="1333" t="s">
        <v>1978</v>
      </c>
      <c r="H130" s="1333"/>
      <c r="I130" s="340"/>
      <c r="J130" s="340"/>
      <c r="K130" s="340">
        <v>1</v>
      </c>
      <c r="L130" s="340" t="s">
        <v>311</v>
      </c>
      <c r="M130" s="340">
        <v>3</v>
      </c>
      <c r="N130" s="1334">
        <v>1</v>
      </c>
      <c r="O130" s="1335" t="str">
        <f t="shared" si="100"/>
        <v>●</v>
      </c>
      <c r="P130" s="1335" t="str">
        <f t="shared" si="101"/>
        <v/>
      </c>
      <c r="Q130" s="1335" t="str">
        <f t="shared" si="102"/>
        <v/>
      </c>
      <c r="R130" s="1355"/>
      <c r="S130" s="1333"/>
      <c r="T130" s="1337">
        <f t="shared" si="103"/>
        <v>1</v>
      </c>
      <c r="V130" s="1304">
        <f t="shared" si="89"/>
        <v>0</v>
      </c>
      <c r="AF130" s="1462"/>
      <c r="AG130" s="1487"/>
      <c r="AH130" s="1464"/>
      <c r="AI130" s="1465"/>
      <c r="AJ130" s="1466"/>
      <c r="AK130" s="1467" t="str">
        <f>AS130</f>
        <v/>
      </c>
      <c r="AO130" s="1488"/>
      <c r="AP130" s="1489"/>
      <c r="AQ130" s="1490"/>
      <c r="AR130" s="1348" t="str">
        <f>IF(AQ130="","",IF(AQ130=4,"",AQ130))</f>
        <v/>
      </c>
      <c r="AS130" s="1348" t="str">
        <f>IF(AR130="","",IF(AR130=3,3,IF(AT130=TRUE,AR130+1,AR130)))</f>
        <v/>
      </c>
      <c r="AT130" s="1491"/>
      <c r="AW130" s="1620"/>
      <c r="AX130" s="1350"/>
      <c r="AY130" s="1351"/>
      <c r="AZ130" s="1475"/>
      <c r="BA130" s="1476"/>
      <c r="BB130" s="1477"/>
      <c r="BF130">
        <f t="shared" si="68"/>
        <v>0</v>
      </c>
      <c r="BG130" s="340"/>
    </row>
    <row r="131" spans="2:59" ht="54">
      <c r="B131" s="1619"/>
      <c r="C131" s="1330" t="s">
        <v>1818</v>
      </c>
      <c r="D131" s="1331" t="s">
        <v>1819</v>
      </c>
      <c r="E131" s="1330" t="s">
        <v>1820</v>
      </c>
      <c r="F131" s="1332" t="s">
        <v>1821</v>
      </c>
      <c r="G131" s="1333" t="s">
        <v>1822</v>
      </c>
      <c r="H131" s="1333"/>
      <c r="I131" s="340"/>
      <c r="J131" s="340"/>
      <c r="K131" s="340">
        <v>1</v>
      </c>
      <c r="L131" s="340">
        <v>2</v>
      </c>
      <c r="M131" s="340">
        <v>3</v>
      </c>
      <c r="N131" s="1334">
        <v>1</v>
      </c>
      <c r="O131" s="1335" t="str">
        <f t="shared" si="100"/>
        <v>●</v>
      </c>
      <c r="P131" s="1335" t="str">
        <f t="shared" si="101"/>
        <v/>
      </c>
      <c r="Q131" s="1335" t="str">
        <f t="shared" si="102"/>
        <v/>
      </c>
      <c r="R131" s="1355"/>
      <c r="S131" s="1334"/>
      <c r="T131" s="1337">
        <f t="shared" si="103"/>
        <v>1</v>
      </c>
      <c r="V131" s="1304" t="str">
        <f t="shared" si="89"/>
        <v>12.6</v>
      </c>
      <c r="W131" s="1338">
        <f>IF(SUM(T131)=0,"",AVERAGE(T131))</f>
        <v>1</v>
      </c>
      <c r="AF131" s="1623"/>
      <c r="AG131" s="1624"/>
      <c r="AH131" s="1624"/>
      <c r="AI131" s="1342"/>
      <c r="AJ131" s="1625"/>
      <c r="AK131" s="1344"/>
      <c r="AO131" s="1600"/>
      <c r="AP131" s="1601"/>
      <c r="AQ131" s="1602"/>
      <c r="AR131" s="1603"/>
      <c r="AS131" s="1603"/>
      <c r="AT131" s="1541"/>
      <c r="AW131" s="1620"/>
      <c r="AX131" s="1350"/>
      <c r="AY131" s="1351"/>
      <c r="AZ131" s="1475"/>
      <c r="BA131" s="1476"/>
      <c r="BB131" s="1477"/>
      <c r="BF131">
        <f t="shared" si="68"/>
        <v>0</v>
      </c>
      <c r="BG131" s="340"/>
    </row>
    <row r="132" spans="2:59" ht="43.2">
      <c r="B132" s="1619"/>
      <c r="C132" s="1961" t="s">
        <v>1823</v>
      </c>
      <c r="D132" s="1964" t="s">
        <v>1824</v>
      </c>
      <c r="E132" s="1330" t="s">
        <v>1825</v>
      </c>
      <c r="F132" s="1332" t="s">
        <v>1826</v>
      </c>
      <c r="G132" s="1333" t="s">
        <v>2004</v>
      </c>
      <c r="H132" s="1333"/>
      <c r="I132" s="340"/>
      <c r="J132" s="340"/>
      <c r="K132" s="340">
        <v>1</v>
      </c>
      <c r="L132" s="340">
        <v>2</v>
      </c>
      <c r="M132" s="340">
        <v>3</v>
      </c>
      <c r="N132" s="1334">
        <v>1</v>
      </c>
      <c r="O132" s="1335" t="str">
        <f t="shared" si="100"/>
        <v>●</v>
      </c>
      <c r="P132" s="1335" t="str">
        <f t="shared" si="101"/>
        <v/>
      </c>
      <c r="Q132" s="1335" t="str">
        <f t="shared" si="102"/>
        <v/>
      </c>
      <c r="R132" s="1355"/>
      <c r="S132" s="1333"/>
      <c r="T132" s="1337">
        <f t="shared" si="103"/>
        <v>1</v>
      </c>
      <c r="V132" s="1304" t="str">
        <f t="shared" si="89"/>
        <v>12.7</v>
      </c>
      <c r="W132" s="1338">
        <f>IF(SUM(T132:T133)=0,"",AVERAGE(T132:T133))</f>
        <v>1</v>
      </c>
      <c r="AF132" s="1623"/>
      <c r="AG132" s="1624"/>
      <c r="AH132" s="1624"/>
      <c r="AI132" s="1342"/>
      <c r="AJ132" s="1625"/>
      <c r="AK132" s="1344"/>
      <c r="AO132" s="1600"/>
      <c r="AP132" s="1601"/>
      <c r="AQ132" s="1602"/>
      <c r="AR132" s="1603"/>
      <c r="AS132" s="1603"/>
      <c r="AT132" s="1541"/>
      <c r="AW132" s="1620"/>
      <c r="AX132" s="1350"/>
      <c r="AY132" s="1351"/>
      <c r="AZ132" s="1475"/>
      <c r="BA132" s="1476"/>
      <c r="BB132" s="1477"/>
      <c r="BF132">
        <f t="shared" si="68"/>
        <v>0</v>
      </c>
      <c r="BG132" s="340"/>
    </row>
    <row r="133" spans="2:59" ht="64.8">
      <c r="B133" s="1619"/>
      <c r="C133" s="1963"/>
      <c r="D133" s="1966"/>
      <c r="E133" s="1330" t="s">
        <v>1827</v>
      </c>
      <c r="F133" s="1332" t="s">
        <v>1828</v>
      </c>
      <c r="G133" s="1333" t="s">
        <v>2005</v>
      </c>
      <c r="H133" s="1333"/>
      <c r="I133" s="340"/>
      <c r="J133" s="340"/>
      <c r="K133" s="340">
        <v>1</v>
      </c>
      <c r="L133" s="340">
        <v>2</v>
      </c>
      <c r="M133" s="340">
        <v>3</v>
      </c>
      <c r="N133" s="1334">
        <v>1</v>
      </c>
      <c r="O133" s="1335" t="str">
        <f t="shared" si="100"/>
        <v>●</v>
      </c>
      <c r="P133" s="1335" t="str">
        <f t="shared" si="101"/>
        <v/>
      </c>
      <c r="Q133" s="1335" t="str">
        <f t="shared" si="102"/>
        <v/>
      </c>
      <c r="R133" s="1355"/>
      <c r="S133" s="1333"/>
      <c r="T133" s="1337">
        <f t="shared" si="103"/>
        <v>1</v>
      </c>
      <c r="V133" s="1304">
        <f t="shared" si="89"/>
        <v>0</v>
      </c>
      <c r="AF133" s="1623"/>
      <c r="AG133" s="1624"/>
      <c r="AH133" s="1624"/>
      <c r="AI133" s="1342"/>
      <c r="AJ133" s="1625"/>
      <c r="AK133" s="1344"/>
      <c r="AO133" s="1600"/>
      <c r="AP133" s="1601"/>
      <c r="AQ133" s="1602"/>
      <c r="AR133" s="1603"/>
      <c r="AS133" s="1603"/>
      <c r="AT133" s="1541"/>
      <c r="AW133" s="1620"/>
      <c r="AX133" s="1350"/>
      <c r="AY133" s="1351"/>
      <c r="AZ133" s="1475"/>
      <c r="BA133" s="1476"/>
      <c r="BB133" s="1477"/>
      <c r="BF133">
        <f t="shared" si="68"/>
        <v>0</v>
      </c>
      <c r="BG133" s="340"/>
    </row>
    <row r="134" spans="2:59" ht="41.4">
      <c r="B134" s="1628" t="s">
        <v>1829</v>
      </c>
      <c r="C134" s="1703" t="s">
        <v>1830</v>
      </c>
      <c r="D134" s="1704" t="s">
        <v>1831</v>
      </c>
      <c r="E134" s="1703" t="s">
        <v>1832</v>
      </c>
      <c r="F134" s="1699" t="s">
        <v>1833</v>
      </c>
      <c r="G134" s="1699" t="s">
        <v>1834</v>
      </c>
      <c r="H134" s="1333" t="s">
        <v>1960</v>
      </c>
      <c r="I134" s="340">
        <f>スコア!P31</f>
        <v>3</v>
      </c>
      <c r="J134" s="340">
        <f>IF(I134&gt;=4,3,IF(I134&gt;=2,2,IF(I134=1,1,"")))</f>
        <v>2</v>
      </c>
      <c r="K134" s="340"/>
      <c r="L134" s="340"/>
      <c r="M134" s="340"/>
      <c r="N134" s="1370">
        <f>IF(SUM(J134:J135)=0,"",ROUND(AVERAGE(J134:J135),0))</f>
        <v>2</v>
      </c>
      <c r="O134" s="1335" t="str">
        <f t="shared" si="100"/>
        <v/>
      </c>
      <c r="P134" s="1335" t="str">
        <f t="shared" si="101"/>
        <v>●</v>
      </c>
      <c r="Q134" s="1335" t="str">
        <f t="shared" si="102"/>
        <v/>
      </c>
      <c r="R134" s="1336"/>
      <c r="S134" s="1333"/>
      <c r="T134" s="1337">
        <f t="shared" si="103"/>
        <v>2</v>
      </c>
      <c r="V134" s="1304" t="str">
        <f t="shared" si="89"/>
        <v>13.1</v>
      </c>
      <c r="W134" s="1338">
        <f>IF(SUM(T134)=0,"",AVERAGE(T134))</f>
        <v>2</v>
      </c>
      <c r="X134" s="1338">
        <f>IF(SUM(W134:W138)=0,"",AVERAGE(W134:W138))</f>
        <v>1.75</v>
      </c>
      <c r="AF134" s="1406" t="str">
        <f t="shared" ref="AF134:AF135" si="104">IF(AR134=1,"●","")</f>
        <v/>
      </c>
      <c r="AG134" s="1407" t="str">
        <f t="shared" ref="AG134:AG135" si="105">IF(AR134=2,"●","")</f>
        <v/>
      </c>
      <c r="AH134" s="1407" t="str">
        <f t="shared" ref="AH134:AH135" si="106">IF(AR134=3,"●","")</f>
        <v/>
      </c>
      <c r="AI134" s="1436"/>
      <c r="AJ134" s="1437"/>
      <c r="AK134" s="1438" t="str">
        <f t="shared" ref="AK134:AK135" si="107">AS134</f>
        <v/>
      </c>
      <c r="AO134" s="1409"/>
      <c r="AP134" s="1410"/>
      <c r="AQ134" s="1411"/>
      <c r="AR134" s="1412" t="str">
        <f t="shared" ref="AR134:AR135" si="108">IF(AQ134="","",IF(AQ134&lt;=AQ$7,1,IF(AQ134&lt;AS$7,2,IF(AQ134&gt;=AS$7,3,""))))</f>
        <v/>
      </c>
      <c r="AS134" s="1412" t="str">
        <f t="shared" ref="AS134:AS135" si="109">IF(AR134="","",IF(AR134=3,3,IF(AT134=TRUE,AR134+1,AR134)))</f>
        <v/>
      </c>
      <c r="AT134" s="1413"/>
      <c r="AW134" s="1975"/>
      <c r="AX134" s="1350">
        <f>IFERROR(SUM(BA134:BA136)/AY134,"")</f>
        <v>0</v>
      </c>
      <c r="AY134" s="1351">
        <f>COUNTA(BB134:BB136)</f>
        <v>2</v>
      </c>
      <c r="AZ134" s="1535" t="s">
        <v>1830</v>
      </c>
      <c r="BA134" s="1536">
        <f>IFERROR(SUM(AK134)/BB134,"")</f>
        <v>0</v>
      </c>
      <c r="BB134" s="1537">
        <f>COUNTA(E134)</f>
        <v>1</v>
      </c>
      <c r="BF134" t="str">
        <f t="shared" si="68"/>
        <v>Q1.2.2「熱環境」</v>
      </c>
      <c r="BG134" s="340" t="str">
        <f>スコア!BN31</f>
        <v>1.2.2 熱環境</v>
      </c>
    </row>
    <row r="135" spans="2:59" ht="21.6">
      <c r="B135" s="1629"/>
      <c r="C135" s="1967" t="s">
        <v>1835</v>
      </c>
      <c r="D135" s="1968" t="s">
        <v>1836</v>
      </c>
      <c r="E135" s="1330" t="s">
        <v>1837</v>
      </c>
      <c r="F135" s="1332" t="s">
        <v>1838</v>
      </c>
      <c r="G135" s="1333" t="s">
        <v>1839</v>
      </c>
      <c r="H135" s="1333" t="s">
        <v>1840</v>
      </c>
      <c r="I135" s="340">
        <f>スコア!P61</f>
        <v>3</v>
      </c>
      <c r="J135" s="340">
        <f>IF(I135&gt;=4,3,IF(I135&gt;=2,2,IF(I135=1,1,"")))</f>
        <v>2</v>
      </c>
      <c r="K135" s="340"/>
      <c r="L135" s="340"/>
      <c r="M135" s="340"/>
      <c r="N135" s="1370">
        <f>IF(SUM(J135)=0,"",ROUND(AVERAGE(J135),0))</f>
        <v>2</v>
      </c>
      <c r="O135" s="1335" t="str">
        <f t="shared" si="100"/>
        <v/>
      </c>
      <c r="P135" s="1335" t="str">
        <f t="shared" si="101"/>
        <v>●</v>
      </c>
      <c r="Q135" s="1335" t="str">
        <f t="shared" si="102"/>
        <v/>
      </c>
      <c r="R135" s="1336"/>
      <c r="S135" s="1333"/>
      <c r="T135" s="1337">
        <f t="shared" si="103"/>
        <v>2</v>
      </c>
      <c r="V135" s="1304" t="str">
        <f t="shared" si="89"/>
        <v>13.2</v>
      </c>
      <c r="W135" s="1338">
        <f>IF(SUM(T135:T136)=0,"",AVERAGE(T135:T136))</f>
        <v>2</v>
      </c>
      <c r="AF135" s="1391" t="str">
        <f t="shared" si="104"/>
        <v/>
      </c>
      <c r="AG135" s="1392" t="str">
        <f t="shared" si="105"/>
        <v/>
      </c>
      <c r="AH135" s="1392" t="str">
        <f t="shared" si="106"/>
        <v/>
      </c>
      <c r="AI135" s="1419"/>
      <c r="AJ135" s="1533"/>
      <c r="AK135" s="1396" t="str">
        <f t="shared" si="107"/>
        <v/>
      </c>
      <c r="AO135" s="1377"/>
      <c r="AP135" s="1378"/>
      <c r="AQ135" s="1389"/>
      <c r="AR135" s="1380" t="str">
        <f t="shared" si="108"/>
        <v/>
      </c>
      <c r="AS135" s="1380" t="str">
        <f t="shared" si="109"/>
        <v/>
      </c>
      <c r="AT135" s="1496"/>
      <c r="AW135" s="1975"/>
      <c r="AX135" s="1350"/>
      <c r="AY135" s="1351"/>
      <c r="AZ135" s="1460" t="s">
        <v>1835</v>
      </c>
      <c r="BA135" s="1352">
        <f>IFERROR(SUM(AK135:AK136)/BB135,"")</f>
        <v>0</v>
      </c>
      <c r="BB135" s="1353">
        <f>COUNTA(E135:E136)</f>
        <v>2</v>
      </c>
      <c r="BF135" t="str">
        <f t="shared" si="68"/>
        <v>Q2.4.1「防災基本性能」</v>
      </c>
      <c r="BG135" s="340" t="str">
        <f>スコア!BN61</f>
        <v>2.4.1 防災基本性能</v>
      </c>
    </row>
    <row r="136" spans="2:59" ht="16.2">
      <c r="B136" s="1630"/>
      <c r="C136" s="1967"/>
      <c r="D136" s="1968"/>
      <c r="E136" s="1330" t="s">
        <v>1841</v>
      </c>
      <c r="F136" s="1333" t="s">
        <v>1842</v>
      </c>
      <c r="G136" s="1333" t="s">
        <v>1843</v>
      </c>
      <c r="H136" s="1333" t="s">
        <v>1633</v>
      </c>
      <c r="I136" s="340">
        <f>スコア!P65</f>
        <v>3</v>
      </c>
      <c r="J136" s="340">
        <f t="shared" ref="J136:J137" si="110">IF(I136&gt;=4,3,IF(I136&gt;=2,2,IF(I136=1,1,"")))</f>
        <v>2</v>
      </c>
      <c r="K136" s="340"/>
      <c r="L136" s="340"/>
      <c r="M136" s="340"/>
      <c r="N136" s="1370">
        <f t="shared" ref="N136:N137" si="111">IF(SUM(J136)=0,"",ROUND(AVERAGE(J136),0))</f>
        <v>2</v>
      </c>
      <c r="O136" s="1335" t="str">
        <f t="shared" si="100"/>
        <v/>
      </c>
      <c r="P136" s="1335" t="str">
        <f t="shared" si="101"/>
        <v>●</v>
      </c>
      <c r="Q136" s="1335" t="str">
        <f t="shared" si="102"/>
        <v/>
      </c>
      <c r="R136" s="1336"/>
      <c r="S136" s="1333"/>
      <c r="T136" s="1337">
        <f t="shared" si="103"/>
        <v>2</v>
      </c>
      <c r="V136" s="1304">
        <f t="shared" si="89"/>
        <v>0</v>
      </c>
      <c r="AW136" s="1631"/>
      <c r="AX136" s="1350"/>
      <c r="AY136" s="1351"/>
      <c r="AZ136" s="1632"/>
      <c r="BA136" s="1476"/>
      <c r="BB136" s="1477"/>
      <c r="BF136" t="str">
        <f t="shared" si="68"/>
        <v>Q2.4.2「発災後の対応性能」</v>
      </c>
      <c r="BG136" s="340" t="str">
        <f>スコア!BN65</f>
        <v>2.4.2 発災後の対応性能</v>
      </c>
    </row>
    <row r="137" spans="2:59" ht="21.6">
      <c r="B137" s="1630"/>
      <c r="C137" s="1330" t="s">
        <v>1844</v>
      </c>
      <c r="D137" s="1333" t="s">
        <v>1845</v>
      </c>
      <c r="E137" s="1330" t="s">
        <v>1846</v>
      </c>
      <c r="F137" s="1333" t="s">
        <v>1847</v>
      </c>
      <c r="G137" s="1333" t="s">
        <v>1848</v>
      </c>
      <c r="H137" s="1333" t="s">
        <v>1849</v>
      </c>
      <c r="I137" s="340">
        <f>スコア!R128</f>
        <v>2</v>
      </c>
      <c r="J137" s="340">
        <f t="shared" si="110"/>
        <v>2</v>
      </c>
      <c r="K137" s="340"/>
      <c r="L137" s="340"/>
      <c r="M137" s="340"/>
      <c r="N137" s="1370">
        <f t="shared" si="111"/>
        <v>2</v>
      </c>
      <c r="O137" s="1335" t="str">
        <f t="shared" si="100"/>
        <v/>
      </c>
      <c r="P137" s="1335" t="str">
        <f t="shared" si="101"/>
        <v>●</v>
      </c>
      <c r="Q137" s="1335" t="str">
        <f t="shared" si="102"/>
        <v/>
      </c>
      <c r="R137" s="1336"/>
      <c r="S137" s="1333"/>
      <c r="T137" s="1337">
        <f t="shared" si="103"/>
        <v>2</v>
      </c>
      <c r="V137" s="1304" t="str">
        <f t="shared" si="89"/>
        <v>13.3</v>
      </c>
      <c r="W137" s="1338">
        <f>IF(SUM(T137)=0,"",AVERAGE(T137))</f>
        <v>2</v>
      </c>
      <c r="AF137" s="1633"/>
      <c r="AG137" s="1633"/>
      <c r="AH137" s="1633"/>
      <c r="AI137" s="1634"/>
      <c r="AJ137" s="1625"/>
      <c r="AK137" s="1635"/>
      <c r="AO137" s="1345"/>
      <c r="AP137" s="1346"/>
      <c r="AQ137" s="1347"/>
      <c r="AR137" s="1636"/>
      <c r="AS137" s="1636"/>
      <c r="AT137" s="1349"/>
      <c r="AW137" s="1631"/>
      <c r="AX137" s="1350"/>
      <c r="AY137" s="1351"/>
      <c r="AZ137" s="1475"/>
      <c r="BA137" s="1476"/>
      <c r="BB137" s="1477"/>
      <c r="BF137" t="str">
        <f t="shared" si="68"/>
        <v>LR3.1「地球温暖化への配慮」</v>
      </c>
      <c r="BG137" s="340" t="str">
        <f>スコア!BN128</f>
        <v>3.1　地球温暖化への配慮</v>
      </c>
    </row>
    <row r="138" spans="2:59" ht="32.4">
      <c r="B138" s="1637"/>
      <c r="C138" s="1330" t="s">
        <v>1850</v>
      </c>
      <c r="D138" s="1331" t="s">
        <v>1851</v>
      </c>
      <c r="E138" s="1330" t="s">
        <v>1852</v>
      </c>
      <c r="F138" s="1333" t="s">
        <v>1853</v>
      </c>
      <c r="G138" s="1333" t="s">
        <v>1854</v>
      </c>
      <c r="H138" s="1333"/>
      <c r="I138" s="340"/>
      <c r="J138" s="340"/>
      <c r="K138" s="340">
        <v>1</v>
      </c>
      <c r="L138" s="340" t="s">
        <v>311</v>
      </c>
      <c r="M138" s="340">
        <v>3</v>
      </c>
      <c r="N138" s="1334">
        <v>1</v>
      </c>
      <c r="O138" s="1335" t="str">
        <f t="shared" si="100"/>
        <v>●</v>
      </c>
      <c r="P138" s="1335" t="str">
        <f t="shared" si="101"/>
        <v/>
      </c>
      <c r="Q138" s="1335" t="str">
        <f t="shared" si="102"/>
        <v/>
      </c>
      <c r="R138" s="1355"/>
      <c r="S138" s="1333"/>
      <c r="T138" s="1337">
        <f t="shared" si="103"/>
        <v>1</v>
      </c>
      <c r="V138" s="1304" t="str">
        <f t="shared" si="89"/>
        <v>13.4</v>
      </c>
      <c r="W138" s="1338">
        <f>IF(SUM(T138)=0,"",AVERAGE(T138))</f>
        <v>1</v>
      </c>
      <c r="AF138" s="1633"/>
      <c r="AG138" s="1633"/>
      <c r="AH138" s="1633"/>
      <c r="AI138" s="1634"/>
      <c r="AJ138" s="1625"/>
      <c r="AK138" s="1635"/>
      <c r="AO138" s="1345"/>
      <c r="AP138" s="1346"/>
      <c r="AQ138" s="1347"/>
      <c r="AR138" s="1636"/>
      <c r="AS138" s="1636"/>
      <c r="AT138" s="1349"/>
      <c r="AW138" s="1631"/>
      <c r="AX138" s="1350"/>
      <c r="AY138" s="1351"/>
      <c r="AZ138" s="1475"/>
      <c r="BA138" s="1476"/>
      <c r="BB138" s="1477"/>
      <c r="BF138">
        <f t="shared" si="68"/>
        <v>0</v>
      </c>
      <c r="BG138" s="340"/>
    </row>
    <row r="139" spans="2:59" ht="90" customHeight="1">
      <c r="B139" s="1638" t="s">
        <v>2010</v>
      </c>
      <c r="C139" s="1639" t="s">
        <v>1952</v>
      </c>
      <c r="D139" s="1640"/>
      <c r="E139" s="1588"/>
      <c r="F139" s="1588"/>
      <c r="G139" s="1588"/>
      <c r="H139" s="1588"/>
      <c r="I139" s="1588"/>
      <c r="J139" s="1588"/>
      <c r="K139" s="1588"/>
      <c r="L139" s="1588"/>
      <c r="M139" s="1588"/>
      <c r="N139" s="1588"/>
      <c r="O139" s="1588"/>
      <c r="P139" s="1588"/>
      <c r="Q139" s="1588"/>
      <c r="R139" s="1692"/>
      <c r="S139" s="1588"/>
      <c r="T139" s="1641"/>
      <c r="V139" s="1304"/>
      <c r="AF139" s="1642"/>
      <c r="AG139" s="1642"/>
      <c r="AH139" s="1642"/>
      <c r="AI139" s="1643"/>
      <c r="AJ139" s="1644"/>
      <c r="AK139" s="1645"/>
      <c r="AO139" s="1646"/>
      <c r="AP139" s="1647"/>
      <c r="AQ139" s="1648"/>
      <c r="AR139" s="1649"/>
      <c r="AS139" s="1649"/>
      <c r="AT139" s="1413"/>
      <c r="AW139" s="1650"/>
      <c r="AX139" s="1592"/>
      <c r="AY139" s="1593"/>
      <c r="AZ139" s="1594"/>
      <c r="BA139" s="1595"/>
      <c r="BB139" s="1593"/>
      <c r="BF139">
        <f t="shared" si="68"/>
        <v>0</v>
      </c>
      <c r="BG139" s="1588"/>
    </row>
    <row r="140" spans="2:59" ht="41.4">
      <c r="B140" s="1651" t="s">
        <v>1855</v>
      </c>
      <c r="C140" s="1967" t="s">
        <v>1856</v>
      </c>
      <c r="D140" s="1968" t="s">
        <v>1857</v>
      </c>
      <c r="E140" s="1330" t="s">
        <v>1858</v>
      </c>
      <c r="F140" s="1332" t="s">
        <v>1859</v>
      </c>
      <c r="G140" s="1333" t="s">
        <v>1860</v>
      </c>
      <c r="H140" s="1333" t="s">
        <v>1512</v>
      </c>
      <c r="I140" s="340">
        <f>スコア!P10</f>
        <v>3</v>
      </c>
      <c r="J140" s="340">
        <f t="shared" ref="J140:J144" si="112">IF(I140&gt;=4,3,IF(I140&gt;=2,2,IF(I140=1,1,"")))</f>
        <v>2</v>
      </c>
      <c r="K140" s="340"/>
      <c r="L140" s="340"/>
      <c r="M140" s="340"/>
      <c r="N140" s="1370">
        <f t="shared" ref="N140:N144" si="113">IF(SUM(J140)=0,"",ROUND(AVERAGE(J140),0))</f>
        <v>2</v>
      </c>
      <c r="O140" s="1335" t="str">
        <f t="shared" si="100"/>
        <v/>
      </c>
      <c r="P140" s="1335" t="str">
        <f t="shared" si="101"/>
        <v>●</v>
      </c>
      <c r="Q140" s="1335" t="str">
        <f t="shared" si="102"/>
        <v/>
      </c>
      <c r="R140" s="1336"/>
      <c r="S140" s="1333"/>
      <c r="T140" s="1337">
        <f t="shared" si="103"/>
        <v>2</v>
      </c>
      <c r="V140" s="1304" t="str">
        <f t="shared" ref="V140:V159" si="114">C140</f>
        <v>15.1</v>
      </c>
      <c r="W140" s="1338">
        <f>IF(SUM(T140:T143)=0,"",AVERAGE(T140:T143))</f>
        <v>2</v>
      </c>
      <c r="X140" s="1338">
        <f>IF(SUM(W140:W148)=0,"",AVERAGE(W140:W148))</f>
        <v>1.5833333333333333</v>
      </c>
      <c r="AF140" s="1417" t="str">
        <f t="shared" ref="AF140:AF141" si="115">IF(AR140=1,"●","")</f>
        <v/>
      </c>
      <c r="AG140" s="1418" t="str">
        <f t="shared" ref="AG140:AG141" si="116">IF(AR140=2,"●","")</f>
        <v/>
      </c>
      <c r="AH140" s="1418" t="str">
        <f t="shared" ref="AH140:AH141" si="117">IF(AR140=3,"●","")</f>
        <v/>
      </c>
      <c r="AI140" s="1481"/>
      <c r="AJ140" s="1420"/>
      <c r="AK140" s="1520" t="str">
        <f t="shared" ref="AK140:AK143" si="118">AS140</f>
        <v/>
      </c>
      <c r="AO140" s="1377"/>
      <c r="AP140" s="1378"/>
      <c r="AQ140" s="1389"/>
      <c r="AR140" s="1380" t="str">
        <f t="shared" ref="AR140:AR141" si="119">IF(AQ140="","",IF(AQ140&lt;=AQ$7,1,IF(AQ140&lt;AS$7,2,IF(AQ140&gt;=AS$7,3,""))))</f>
        <v/>
      </c>
      <c r="AS140" s="1380" t="str">
        <f t="shared" ref="AS140:AS143" si="120">IF(AR140="","",IF(AR140=3,3,IF(AT140=TRUE,AR140+1,AR140)))</f>
        <v/>
      </c>
      <c r="AT140" s="1496" t="b">
        <v>0</v>
      </c>
      <c r="AW140" s="1652"/>
      <c r="AX140" s="1350">
        <f>IFERROR(SUM(BA140:BA144)/AY140,"")</f>
        <v>0</v>
      </c>
      <c r="AY140" s="1351">
        <f>COUNTA(BB140:BB144)</f>
        <v>2</v>
      </c>
      <c r="AZ140" s="1969" t="s">
        <v>1856</v>
      </c>
      <c r="BA140" s="1368">
        <f>IFERROR(SUM(AK140:AK143)/BB140,"")</f>
        <v>0</v>
      </c>
      <c r="BB140" s="1351">
        <f>COUNTA(E140:E143)</f>
        <v>2</v>
      </c>
      <c r="BF140" t="str">
        <f t="shared" si="68"/>
        <v>Q1.1.1「自然環境の保全」</v>
      </c>
      <c r="BG140" s="340" t="str">
        <f>スコア!BN10</f>
        <v>1.1.1 自然環境の保全</v>
      </c>
    </row>
    <row r="141" spans="2:59" ht="21.6">
      <c r="B141" s="1653"/>
      <c r="C141" s="1967"/>
      <c r="D141" s="1968"/>
      <c r="E141" s="1961" t="s">
        <v>1861</v>
      </c>
      <c r="F141" s="1974" t="s">
        <v>1862</v>
      </c>
      <c r="G141" s="1974" t="s">
        <v>1863</v>
      </c>
      <c r="H141" s="1333" t="s">
        <v>1864</v>
      </c>
      <c r="I141" s="340">
        <f>スコア!P16</f>
        <v>3</v>
      </c>
      <c r="J141" s="340">
        <f t="shared" si="112"/>
        <v>2</v>
      </c>
      <c r="K141" s="340"/>
      <c r="L141" s="340"/>
      <c r="M141" s="340"/>
      <c r="N141" s="1370">
        <f>IF(SUM(J141:J143)=0,"",ROUND(AVERAGE(J141:J143),0))</f>
        <v>2</v>
      </c>
      <c r="O141" s="1335" t="str">
        <f t="shared" si="100"/>
        <v/>
      </c>
      <c r="P141" s="1335" t="str">
        <f t="shared" si="101"/>
        <v>●</v>
      </c>
      <c r="Q141" s="1335" t="str">
        <f t="shared" si="102"/>
        <v/>
      </c>
      <c r="R141" s="1336"/>
      <c r="S141" s="1333"/>
      <c r="T141" s="1337">
        <f t="shared" si="103"/>
        <v>2</v>
      </c>
      <c r="V141" s="1304">
        <f t="shared" si="114"/>
        <v>0</v>
      </c>
      <c r="AF141" s="1439" t="str">
        <f t="shared" si="115"/>
        <v/>
      </c>
      <c r="AG141" s="1440" t="str">
        <f t="shared" si="116"/>
        <v/>
      </c>
      <c r="AH141" s="1440" t="str">
        <f t="shared" si="117"/>
        <v/>
      </c>
      <c r="AI141" s="1442"/>
      <c r="AJ141" s="1495"/>
      <c r="AK141" s="1444" t="str">
        <f t="shared" si="118"/>
        <v/>
      </c>
      <c r="AO141" s="1397"/>
      <c r="AP141" s="1398"/>
      <c r="AQ141" s="1456"/>
      <c r="AR141" s="1400" t="str">
        <f t="shared" si="119"/>
        <v/>
      </c>
      <c r="AS141" s="1400" t="str">
        <f t="shared" si="120"/>
        <v/>
      </c>
      <c r="AT141" s="1544"/>
      <c r="AW141" s="1652"/>
      <c r="AX141" s="1350"/>
      <c r="AY141" s="1351"/>
      <c r="AZ141" s="1969"/>
      <c r="BA141" s="1368"/>
      <c r="BB141" s="1351"/>
      <c r="BF141" t="str">
        <f t="shared" ref="BF141:BF160" si="121">H141</f>
        <v>Q1.1.2.1「生物の生息空間のまとまり」</v>
      </c>
      <c r="BG141" s="340" t="str">
        <f>スコア!BN16</f>
        <v>1.1.2.1 生物の生息空間のまとまり</v>
      </c>
    </row>
    <row r="142" spans="2:59" ht="16.2">
      <c r="B142" s="1653"/>
      <c r="C142" s="1967"/>
      <c r="D142" s="1968"/>
      <c r="E142" s="1962"/>
      <c r="F142" s="1965"/>
      <c r="G142" s="1965"/>
      <c r="H142" s="1333" t="s">
        <v>1865</v>
      </c>
      <c r="I142" s="340">
        <f>スコア!P17</f>
        <v>3</v>
      </c>
      <c r="J142" s="340">
        <f t="shared" si="112"/>
        <v>2</v>
      </c>
      <c r="K142" s="340"/>
      <c r="L142" s="340"/>
      <c r="M142" s="340"/>
      <c r="N142" s="1370" t="s">
        <v>311</v>
      </c>
      <c r="O142" s="1335" t="str">
        <f t="shared" si="100"/>
        <v/>
      </c>
      <c r="P142" s="1335" t="str">
        <f t="shared" si="101"/>
        <v/>
      </c>
      <c r="Q142" s="1335" t="str">
        <f t="shared" si="102"/>
        <v/>
      </c>
      <c r="R142" s="1336"/>
      <c r="S142" s="1333"/>
      <c r="T142" s="1337" t="s">
        <v>311</v>
      </c>
      <c r="V142" s="1304">
        <f t="shared" si="114"/>
        <v>0</v>
      </c>
      <c r="AF142" s="1654"/>
      <c r="AG142" s="1392"/>
      <c r="AH142" s="1546"/>
      <c r="AI142" s="1394"/>
      <c r="AJ142" s="1509"/>
      <c r="AK142" s="1396"/>
      <c r="AO142" s="1655"/>
      <c r="AP142" s="1656"/>
      <c r="AQ142" s="1657"/>
      <c r="AR142" s="1451"/>
      <c r="AS142" s="1451"/>
      <c r="AT142" s="1528"/>
      <c r="AW142" s="1652"/>
      <c r="AX142" s="1350"/>
      <c r="AY142" s="1351"/>
      <c r="AZ142" s="1969"/>
      <c r="BA142" s="1368"/>
      <c r="BB142" s="1351"/>
      <c r="BF142" t="str">
        <f t="shared" si="121"/>
        <v>Q1.1.2.2「生物の生息空間の質」</v>
      </c>
      <c r="BG142" s="340" t="str">
        <f>スコア!BN17</f>
        <v>1.1.2.2 生物の生息空間の質</v>
      </c>
    </row>
    <row r="143" spans="2:59" ht="16.2">
      <c r="B143" s="1653"/>
      <c r="C143" s="1967"/>
      <c r="D143" s="1968"/>
      <c r="E143" s="1963"/>
      <c r="F143" s="1966"/>
      <c r="G143" s="1966"/>
      <c r="H143" s="1333" t="s">
        <v>1866</v>
      </c>
      <c r="I143" s="340">
        <f>スコア!P24</f>
        <v>3</v>
      </c>
      <c r="J143" s="340">
        <f t="shared" si="112"/>
        <v>2</v>
      </c>
      <c r="K143" s="340"/>
      <c r="L143" s="340"/>
      <c r="M143" s="340"/>
      <c r="N143" s="1370" t="s">
        <v>311</v>
      </c>
      <c r="O143" s="1335" t="str">
        <f t="shared" si="100"/>
        <v/>
      </c>
      <c r="P143" s="1335" t="str">
        <f t="shared" si="101"/>
        <v/>
      </c>
      <c r="Q143" s="1335" t="str">
        <f t="shared" si="102"/>
        <v/>
      </c>
      <c r="R143" s="1336"/>
      <c r="S143" s="1333"/>
      <c r="T143" s="1337" t="s">
        <v>311</v>
      </c>
      <c r="V143" s="1304">
        <f t="shared" si="114"/>
        <v>0</v>
      </c>
      <c r="AF143" s="1462"/>
      <c r="AG143" s="1487"/>
      <c r="AH143" s="1464"/>
      <c r="AI143" s="1465"/>
      <c r="AJ143" s="1466"/>
      <c r="AK143" s="1467" t="str">
        <f t="shared" si="118"/>
        <v/>
      </c>
      <c r="AO143" s="1488"/>
      <c r="AP143" s="1489"/>
      <c r="AQ143" s="1490"/>
      <c r="AR143" s="1348" t="str">
        <f t="shared" ref="AR143" si="122">IF(AQ143="","",IF(AQ143=4,"",AQ143))</f>
        <v/>
      </c>
      <c r="AS143" s="1348" t="str">
        <f t="shared" si="120"/>
        <v/>
      </c>
      <c r="AT143" s="1491"/>
      <c r="AW143" s="1652"/>
      <c r="AX143" s="1350"/>
      <c r="AY143" s="1351"/>
      <c r="AZ143" s="1969"/>
      <c r="BA143" s="1368"/>
      <c r="BB143" s="1351"/>
      <c r="BF143" t="str">
        <f t="shared" si="121"/>
        <v>Q1.1.2.4「エコロジカルネットワーク」</v>
      </c>
      <c r="BG143" s="340" t="str">
        <f>スコア!BN24</f>
        <v>1.1.2.4 エコロジカルネットワーク</v>
      </c>
    </row>
    <row r="144" spans="2:59" ht="21.6">
      <c r="B144" s="1653"/>
      <c r="C144" s="1961" t="s">
        <v>1867</v>
      </c>
      <c r="D144" s="1964" t="s">
        <v>1868</v>
      </c>
      <c r="E144" s="1330" t="s">
        <v>1869</v>
      </c>
      <c r="F144" s="1333" t="s">
        <v>1870</v>
      </c>
      <c r="G144" s="1333" t="s">
        <v>1871</v>
      </c>
      <c r="H144" s="1333" t="s">
        <v>1872</v>
      </c>
      <c r="I144" s="340">
        <f>スコア!P121</f>
        <v>3</v>
      </c>
      <c r="J144" s="340">
        <f t="shared" si="112"/>
        <v>2</v>
      </c>
      <c r="K144" s="340"/>
      <c r="L144" s="340"/>
      <c r="M144" s="340"/>
      <c r="N144" s="1370">
        <f t="shared" si="113"/>
        <v>2</v>
      </c>
      <c r="O144" s="1335" t="str">
        <f t="shared" si="100"/>
        <v/>
      </c>
      <c r="P144" s="1335" t="str">
        <f t="shared" si="101"/>
        <v>●</v>
      </c>
      <c r="Q144" s="1335" t="str">
        <f t="shared" si="102"/>
        <v/>
      </c>
      <c r="R144" s="1336"/>
      <c r="S144" s="1333"/>
      <c r="T144" s="1337">
        <f t="shared" si="103"/>
        <v>2</v>
      </c>
      <c r="V144" s="1304" t="str">
        <f t="shared" si="114"/>
        <v>15.2</v>
      </c>
      <c r="W144" s="1338">
        <f>IF(SUM(T144:T146)=0,"",AVERAGE(T144:T146))</f>
        <v>1.3333333333333333</v>
      </c>
      <c r="AF144" s="1462"/>
      <c r="AG144" s="1487"/>
      <c r="AH144" s="1464"/>
      <c r="AI144" s="1436"/>
      <c r="AJ144" s="1563"/>
      <c r="AK144" s="1467" t="str">
        <f>AS144</f>
        <v/>
      </c>
      <c r="AO144" s="1468"/>
      <c r="AP144" s="1469"/>
      <c r="AQ144" s="1470"/>
      <c r="AR144" s="1412" t="str">
        <f>IF(AQ144="","",IF(AQ144=4,"",AQ144))</f>
        <v/>
      </c>
      <c r="AS144" s="1412" t="str">
        <f>IF(AR144="","",IF(AR144=3,3,IF(AT144=TRUE,AR144+1,AR144)))</f>
        <v/>
      </c>
      <c r="AT144" s="1471"/>
      <c r="AW144" s="1652"/>
      <c r="AX144" s="1350"/>
      <c r="AY144" s="1351"/>
      <c r="AZ144" s="1460" t="s">
        <v>1867</v>
      </c>
      <c r="BA144" s="1352">
        <f>IFERROR(SUM(AK144)/BB144,"")</f>
        <v>0</v>
      </c>
      <c r="BB144" s="1353">
        <f>COUNTA(E144)</f>
        <v>1</v>
      </c>
      <c r="BF144" t="str">
        <f t="shared" si="121"/>
        <v>LR2.3.1.1「持続可能な森林の木材利用」</v>
      </c>
      <c r="BG144" s="340" t="str">
        <f>スコア!BN121</f>
        <v>2.3.1.1 持続可能な森林の木材使用</v>
      </c>
    </row>
    <row r="145" spans="2:59" ht="86.4">
      <c r="B145" s="1653"/>
      <c r="C145" s="1962"/>
      <c r="D145" s="1965"/>
      <c r="E145" s="1330" t="s">
        <v>1873</v>
      </c>
      <c r="F145" s="1333" t="s">
        <v>1874</v>
      </c>
      <c r="G145" s="1333" t="s">
        <v>1875</v>
      </c>
      <c r="H145" s="1333"/>
      <c r="I145" s="340"/>
      <c r="J145" s="340"/>
      <c r="K145" s="340">
        <v>1</v>
      </c>
      <c r="L145" s="340">
        <v>2</v>
      </c>
      <c r="M145" s="340">
        <v>3</v>
      </c>
      <c r="N145" s="1334">
        <v>1</v>
      </c>
      <c r="O145" s="1335" t="str">
        <f t="shared" si="100"/>
        <v>●</v>
      </c>
      <c r="P145" s="1335" t="str">
        <f t="shared" si="101"/>
        <v/>
      </c>
      <c r="Q145" s="1335" t="str">
        <f t="shared" si="102"/>
        <v/>
      </c>
      <c r="R145" s="1355"/>
      <c r="S145" s="1333"/>
      <c r="T145" s="1337">
        <f t="shared" si="103"/>
        <v>1</v>
      </c>
      <c r="V145" s="1304">
        <f t="shared" si="114"/>
        <v>0</v>
      </c>
      <c r="AW145" s="1652"/>
      <c r="AX145" s="1350"/>
      <c r="AY145" s="1351"/>
      <c r="AZ145" s="1460"/>
      <c r="BA145" s="1352"/>
      <c r="BB145" s="1353"/>
      <c r="BF145">
        <f t="shared" si="121"/>
        <v>0</v>
      </c>
      <c r="BG145" s="340"/>
    </row>
    <row r="146" spans="2:59" ht="54">
      <c r="B146" s="1653"/>
      <c r="C146" s="1963"/>
      <c r="D146" s="1966"/>
      <c r="E146" s="1330" t="s">
        <v>1876</v>
      </c>
      <c r="F146" s="1333" t="s">
        <v>1877</v>
      </c>
      <c r="G146" s="1333" t="s">
        <v>1979</v>
      </c>
      <c r="H146" s="1333"/>
      <c r="I146" s="340"/>
      <c r="J146" s="340"/>
      <c r="K146" s="340">
        <v>1</v>
      </c>
      <c r="L146" s="340" t="s">
        <v>311</v>
      </c>
      <c r="M146" s="340">
        <v>3</v>
      </c>
      <c r="N146" s="1334">
        <v>1</v>
      </c>
      <c r="O146" s="1335" t="str">
        <f t="shared" si="100"/>
        <v>●</v>
      </c>
      <c r="P146" s="1335" t="str">
        <f t="shared" si="101"/>
        <v/>
      </c>
      <c r="Q146" s="1335" t="str">
        <f t="shared" si="102"/>
        <v/>
      </c>
      <c r="R146" s="1355"/>
      <c r="S146" s="1333"/>
      <c r="T146" s="1337">
        <f t="shared" si="103"/>
        <v>1</v>
      </c>
      <c r="V146" s="1304">
        <f t="shared" si="114"/>
        <v>0</v>
      </c>
      <c r="AF146" s="1633"/>
      <c r="AG146" s="1633"/>
      <c r="AH146" s="1633"/>
      <c r="AI146" s="1658"/>
      <c r="AJ146" s="1437"/>
      <c r="AK146" s="1635"/>
      <c r="AO146" s="1468"/>
      <c r="AP146" s="1469"/>
      <c r="AQ146" s="1470"/>
      <c r="AR146" s="1659"/>
      <c r="AS146" s="1659"/>
      <c r="AT146" s="1471"/>
      <c r="AW146" s="1652"/>
      <c r="AX146" s="1350"/>
      <c r="AY146" s="1351"/>
      <c r="AZ146" s="1460"/>
      <c r="BA146" s="1352"/>
      <c r="BB146" s="1353"/>
      <c r="BF146">
        <f t="shared" si="121"/>
        <v>0</v>
      </c>
      <c r="BG146" s="340"/>
    </row>
    <row r="147" spans="2:59" ht="21.6">
      <c r="B147" s="1653"/>
      <c r="C147" s="1330" t="s">
        <v>1878</v>
      </c>
      <c r="D147" s="1331" t="s">
        <v>1879</v>
      </c>
      <c r="E147" s="1330" t="s">
        <v>1880</v>
      </c>
      <c r="F147" s="1333" t="s">
        <v>1881</v>
      </c>
      <c r="G147" s="1333" t="s">
        <v>1882</v>
      </c>
      <c r="H147" s="1333" t="s">
        <v>1712</v>
      </c>
      <c r="I147" s="340">
        <f>スコア!P21</f>
        <v>3</v>
      </c>
      <c r="J147" s="340">
        <f t="shared" ref="J147" si="123">IF(I147&gt;=4,3,IF(I147&gt;=2,2,IF(I147=1,1,"")))</f>
        <v>2</v>
      </c>
      <c r="K147" s="340"/>
      <c r="L147" s="340"/>
      <c r="M147" s="340"/>
      <c r="N147" s="1370">
        <f>IF(SUM(J147)=0,"",ROUND(AVERAGE(J147),0))</f>
        <v>2</v>
      </c>
      <c r="O147" s="1335" t="str">
        <f t="shared" si="100"/>
        <v/>
      </c>
      <c r="P147" s="1335" t="str">
        <f t="shared" si="101"/>
        <v>●</v>
      </c>
      <c r="Q147" s="1335" t="str">
        <f t="shared" si="102"/>
        <v/>
      </c>
      <c r="R147" s="1336"/>
      <c r="S147" s="1333"/>
      <c r="T147" s="1337">
        <f t="shared" si="103"/>
        <v>2</v>
      </c>
      <c r="V147" s="1304" t="str">
        <f t="shared" si="114"/>
        <v>15.3</v>
      </c>
      <c r="W147" s="1338">
        <f>IF(SUM(T147)=0,"",AVERAGE(T147))</f>
        <v>2</v>
      </c>
      <c r="AF147" s="1633"/>
      <c r="AG147" s="1633"/>
      <c r="AH147" s="1633"/>
      <c r="AI147" s="1658"/>
      <c r="AJ147" s="1437"/>
      <c r="AK147" s="1635"/>
      <c r="AO147" s="1468"/>
      <c r="AP147" s="1469"/>
      <c r="AQ147" s="1470"/>
      <c r="AR147" s="1659"/>
      <c r="AS147" s="1659"/>
      <c r="AT147" s="1471"/>
      <c r="AW147" s="1652"/>
      <c r="AX147" s="1350"/>
      <c r="AY147" s="1351"/>
      <c r="AZ147" s="1460"/>
      <c r="BA147" s="1352"/>
      <c r="BB147" s="1353"/>
      <c r="BF147" t="str">
        <f t="shared" si="121"/>
        <v>Q1.1.2.3「地域性への配慮」</v>
      </c>
      <c r="BG147" s="340" t="str">
        <f>スコア!BN21</f>
        <v>1.1.2.3 地域性への配慮</v>
      </c>
    </row>
    <row r="148" spans="2:59" ht="43.2">
      <c r="B148" s="1653"/>
      <c r="C148" s="1330" t="s">
        <v>1883</v>
      </c>
      <c r="D148" s="1331" t="s">
        <v>1884</v>
      </c>
      <c r="E148" s="1330" t="s">
        <v>1885</v>
      </c>
      <c r="F148" s="1333" t="s">
        <v>1886</v>
      </c>
      <c r="G148" s="1333" t="s">
        <v>1980</v>
      </c>
      <c r="H148" s="1333"/>
      <c r="I148" s="340"/>
      <c r="J148" s="340"/>
      <c r="K148" s="340">
        <v>1</v>
      </c>
      <c r="L148" s="340" t="s">
        <v>311</v>
      </c>
      <c r="M148" s="340">
        <v>3</v>
      </c>
      <c r="N148" s="1334">
        <v>1</v>
      </c>
      <c r="O148" s="1335" t="str">
        <f t="shared" si="100"/>
        <v>●</v>
      </c>
      <c r="P148" s="1335" t="str">
        <f t="shared" si="101"/>
        <v/>
      </c>
      <c r="Q148" s="1335" t="str">
        <f t="shared" si="102"/>
        <v/>
      </c>
      <c r="R148" s="1355"/>
      <c r="S148" s="1333"/>
      <c r="T148" s="1337">
        <f t="shared" si="103"/>
        <v>1</v>
      </c>
      <c r="V148" s="1304" t="str">
        <f t="shared" si="114"/>
        <v>15.4</v>
      </c>
      <c r="W148" s="1338">
        <f>IF(SUM(T148)=0,"",AVERAGE(T148))</f>
        <v>1</v>
      </c>
      <c r="AF148" s="1439" t="str">
        <f>IF(AR148=1,"●","")</f>
        <v/>
      </c>
      <c r="AG148" s="1494" t="str">
        <f>IF(AR148=2,"●","")</f>
        <v/>
      </c>
      <c r="AH148" s="1494" t="str">
        <f>IF(AR148=3,"●","")</f>
        <v/>
      </c>
      <c r="AI148" s="1442"/>
      <c r="AJ148" s="1495"/>
      <c r="AK148" s="1444" t="str">
        <f>AS148</f>
        <v/>
      </c>
      <c r="AO148" s="1397"/>
      <c r="AP148" s="1398"/>
      <c r="AQ148" s="1456"/>
      <c r="AR148" s="1400" t="str">
        <f>IF(AQ148="","",IF(AQ148&lt;=AQ$7,1,IF(AQ148&lt;AS$7,2,IF(AQ148&gt;=AS$7,3,""))))</f>
        <v/>
      </c>
      <c r="AS148" s="1400" t="str">
        <f>IF(AR148="","",IF(AR148=3,3,IF(AT148=TRUE,AR148+1,AR148)))</f>
        <v/>
      </c>
      <c r="AT148" s="1544"/>
      <c r="AW148" s="1652"/>
      <c r="AX148" s="1350"/>
      <c r="AY148" s="1351"/>
      <c r="AZ148" s="1460"/>
      <c r="BA148" s="1352"/>
      <c r="BB148" s="1353"/>
      <c r="BF148">
        <f t="shared" si="121"/>
        <v>0</v>
      </c>
      <c r="BG148" s="340"/>
    </row>
    <row r="149" spans="2:59" ht="64.8">
      <c r="B149" s="1660" t="s">
        <v>1887</v>
      </c>
      <c r="C149" s="1967" t="s">
        <v>1888</v>
      </c>
      <c r="D149" s="1968" t="s">
        <v>1889</v>
      </c>
      <c r="E149" s="1330" t="s">
        <v>1890</v>
      </c>
      <c r="F149" s="1332" t="s">
        <v>1891</v>
      </c>
      <c r="G149" s="1333" t="s">
        <v>1981</v>
      </c>
      <c r="H149" s="1333"/>
      <c r="I149" s="340"/>
      <c r="J149" s="340"/>
      <c r="K149" s="340">
        <v>1</v>
      </c>
      <c r="L149" s="340">
        <v>2</v>
      </c>
      <c r="M149" s="340">
        <v>3</v>
      </c>
      <c r="N149" s="1334">
        <v>1</v>
      </c>
      <c r="O149" s="1335" t="str">
        <f t="shared" si="100"/>
        <v>●</v>
      </c>
      <c r="P149" s="1335" t="str">
        <f t="shared" si="101"/>
        <v/>
      </c>
      <c r="Q149" s="1335" t="str">
        <f t="shared" si="102"/>
        <v/>
      </c>
      <c r="R149" s="1355"/>
      <c r="S149" s="1333"/>
      <c r="T149" s="1337">
        <f t="shared" si="103"/>
        <v>1</v>
      </c>
      <c r="V149" s="1304" t="str">
        <f t="shared" si="114"/>
        <v>16.1</v>
      </c>
      <c r="W149" s="1338">
        <f>IF(SUM(T149:T150)=0,"",AVERAGE(T149:T150))</f>
        <v>1.5</v>
      </c>
      <c r="X149" s="1338">
        <f>IF(SUM(W149:W154)=0,"",AVERAGE(W149:W154))</f>
        <v>1.125</v>
      </c>
      <c r="AF149" s="1439" t="str">
        <f>IF(AR149=1,"●","")</f>
        <v/>
      </c>
      <c r="AG149" s="1494" t="str">
        <f>IF(AR149=2,"●","")</f>
        <v/>
      </c>
      <c r="AH149" s="1494" t="str">
        <f>IF(AR149=3,"●","")</f>
        <v/>
      </c>
      <c r="AI149" s="1442"/>
      <c r="AJ149" s="1495"/>
      <c r="AK149" s="1444" t="str">
        <f>AS149</f>
        <v/>
      </c>
      <c r="AO149" s="1397"/>
      <c r="AP149" s="1398"/>
      <c r="AQ149" s="1456"/>
      <c r="AR149" s="1400" t="str">
        <f>IF(AQ149="","",IF(AQ149&lt;=AQ$7,1,IF(AQ149&lt;AS$7,2,IF(AQ149&gt;=AS$7,3,""))))</f>
        <v/>
      </c>
      <c r="AS149" s="1400" t="str">
        <f>IF(AR149="","",IF(AR149=3,3,IF(AT149=TRUE,AR149+1,AR149)))</f>
        <v/>
      </c>
      <c r="AT149" s="1544"/>
      <c r="AW149" s="1661"/>
      <c r="AX149" s="1350">
        <f>IFERROR(SUM(BA149:BA151)/AY149,"")</f>
        <v>0</v>
      </c>
      <c r="AY149" s="1351">
        <f>COUNTA(BB149:BB151)</f>
        <v>2</v>
      </c>
      <c r="AZ149" s="1969" t="s">
        <v>1856</v>
      </c>
      <c r="BA149" s="1368" t="str">
        <f>IFERROR(SUM(#REF!)/BB149,"")</f>
        <v/>
      </c>
      <c r="BB149" s="1351">
        <f>COUNTA(E149:E150)</f>
        <v>2</v>
      </c>
      <c r="BF149">
        <f t="shared" si="121"/>
        <v>0</v>
      </c>
      <c r="BG149" s="340"/>
    </row>
    <row r="150" spans="2:59" ht="32.4">
      <c r="B150" s="1662"/>
      <c r="C150" s="1967"/>
      <c r="D150" s="1968"/>
      <c r="E150" s="1330" t="s">
        <v>1892</v>
      </c>
      <c r="F150" s="1332" t="s">
        <v>1893</v>
      </c>
      <c r="G150" s="1333" t="s">
        <v>1894</v>
      </c>
      <c r="H150" s="1333" t="s">
        <v>1468</v>
      </c>
      <c r="I150" s="340">
        <f>スコア!P67</f>
        <v>3</v>
      </c>
      <c r="J150" s="340">
        <f t="shared" ref="J150" si="124">IF(I150&gt;=4,3,IF(I150&gt;=2,2,IF(I150=1,1,"")))</f>
        <v>2</v>
      </c>
      <c r="K150" s="340"/>
      <c r="L150" s="340"/>
      <c r="M150" s="340"/>
      <c r="N150" s="1370">
        <f>IF(SUM(J150)=0,"",ROUND(AVERAGE(J150),0))</f>
        <v>2</v>
      </c>
      <c r="O150" s="1335" t="str">
        <f t="shared" si="100"/>
        <v/>
      </c>
      <c r="P150" s="1335" t="str">
        <f t="shared" si="101"/>
        <v>●</v>
      </c>
      <c r="Q150" s="1335" t="str">
        <f t="shared" si="102"/>
        <v/>
      </c>
      <c r="R150" s="1336"/>
      <c r="S150" s="1334"/>
      <c r="T150" s="1337">
        <f t="shared" si="103"/>
        <v>2</v>
      </c>
      <c r="V150" s="1304">
        <f t="shared" si="114"/>
        <v>0</v>
      </c>
      <c r="AF150" s="1439" t="str">
        <f>IF(AR150=1,"●","")</f>
        <v/>
      </c>
      <c r="AG150" s="1494" t="str">
        <f>IF(AR150=2,"●","")</f>
        <v/>
      </c>
      <c r="AH150" s="1494" t="str">
        <f>IF(AR150=3,"●","")</f>
        <v/>
      </c>
      <c r="AI150" s="1442"/>
      <c r="AJ150" s="1495"/>
      <c r="AK150" s="1444" t="str">
        <f>AS150</f>
        <v/>
      </c>
      <c r="AO150" s="1397"/>
      <c r="AP150" s="1398"/>
      <c r="AQ150" s="1456"/>
      <c r="AR150" s="1400" t="str">
        <f>IF(AQ150="","",IF(AQ150&lt;=AQ$7,1,IF(AQ150&lt;AS$7,2,IF(AQ150&gt;=AS$7,3,""))))</f>
        <v/>
      </c>
      <c r="AS150" s="1400" t="str">
        <f>IF(AR150="","",IF(AR150=3,3,IF(AT150=TRUE,AR150+1,AR150)))</f>
        <v/>
      </c>
      <c r="AT150" s="1544"/>
      <c r="AW150" s="1663"/>
      <c r="AX150" s="1350"/>
      <c r="AY150" s="1351"/>
      <c r="AZ150" s="1969"/>
      <c r="BA150" s="1368"/>
      <c r="BB150" s="1351"/>
      <c r="BF150" t="str">
        <f t="shared" si="121"/>
        <v>Q2.4.4「防犯」</v>
      </c>
      <c r="BG150" s="340" t="str">
        <f>スコア!BN67</f>
        <v>2.4.4 防犯</v>
      </c>
    </row>
    <row r="151" spans="2:59" ht="75.599999999999994">
      <c r="B151" s="1662"/>
      <c r="C151" s="1955" t="s">
        <v>1895</v>
      </c>
      <c r="D151" s="1958" t="s">
        <v>1896</v>
      </c>
      <c r="E151" s="1330" t="s">
        <v>1897</v>
      </c>
      <c r="F151" s="1333" t="s">
        <v>1898</v>
      </c>
      <c r="G151" s="1333" t="s">
        <v>1899</v>
      </c>
      <c r="H151" s="1333"/>
      <c r="I151" s="340"/>
      <c r="J151" s="340"/>
      <c r="K151" s="340">
        <v>1</v>
      </c>
      <c r="L151" s="340">
        <v>2</v>
      </c>
      <c r="M151" s="340">
        <v>3</v>
      </c>
      <c r="N151" s="1334">
        <v>1</v>
      </c>
      <c r="O151" s="1335" t="str">
        <f t="shared" si="100"/>
        <v>●</v>
      </c>
      <c r="P151" s="1335" t="str">
        <f t="shared" si="101"/>
        <v/>
      </c>
      <c r="Q151" s="1335" t="str">
        <f t="shared" si="102"/>
        <v/>
      </c>
      <c r="R151" s="1355"/>
      <c r="S151" s="1334"/>
      <c r="T151" s="1337">
        <f t="shared" si="103"/>
        <v>1</v>
      </c>
      <c r="V151" s="1304" t="str">
        <f t="shared" si="114"/>
        <v>16.2</v>
      </c>
      <c r="W151" s="1338">
        <f>IF(SUM(T151:T152)=0,"",AVERAGE(T151:T152))</f>
        <v>1</v>
      </c>
      <c r="AF151" s="1525" t="str">
        <f>IF(AR151=1,"●","")</f>
        <v/>
      </c>
      <c r="AG151" s="1577" t="str">
        <f>IF(AR151=2,"●","")</f>
        <v/>
      </c>
      <c r="AH151" s="1577" t="str">
        <f>IF(AR151=3,"●","")</f>
        <v/>
      </c>
      <c r="AI151" s="1465"/>
      <c r="AJ151" s="1466"/>
      <c r="AK151" s="1498" t="str">
        <f>AS151</f>
        <v/>
      </c>
      <c r="AO151" s="1538"/>
      <c r="AP151" s="1539"/>
      <c r="AQ151" s="1540"/>
      <c r="AR151" s="1348" t="str">
        <f>IF(AQ151="","",IF(AQ151&lt;=AQ$7,1,IF(AQ151&lt;AS$7,2,IF(AQ151&gt;=AS$7,3,""))))</f>
        <v/>
      </c>
      <c r="AS151" s="1348" t="str">
        <f>IF(AR151="","",IF(AR151=3,3,IF(AT151=TRUE,AR151+1,AR151)))</f>
        <v/>
      </c>
      <c r="AT151" s="1547"/>
      <c r="AW151" s="1663"/>
      <c r="AX151" s="1350"/>
      <c r="AY151" s="1351"/>
      <c r="AZ151" s="1460" t="s">
        <v>1867</v>
      </c>
      <c r="BA151" s="1352" t="str">
        <f>IFERROR(SUM(#REF!)/BB151,"")</f>
        <v/>
      </c>
      <c r="BB151" s="1353">
        <f>COUNTA(E151)</f>
        <v>1</v>
      </c>
      <c r="BF151">
        <f t="shared" si="121"/>
        <v>0</v>
      </c>
      <c r="BG151" s="340"/>
    </row>
    <row r="152" spans="2:59" ht="32.4">
      <c r="B152" s="1662"/>
      <c r="C152" s="1957"/>
      <c r="D152" s="1970"/>
      <c r="E152" s="1330" t="s">
        <v>1900</v>
      </c>
      <c r="F152" s="1333" t="s">
        <v>1901</v>
      </c>
      <c r="G152" s="1333" t="s">
        <v>1902</v>
      </c>
      <c r="H152" s="1333" t="s">
        <v>1903</v>
      </c>
      <c r="I152" s="340">
        <f>スコア!P43</f>
        <v>3</v>
      </c>
      <c r="J152" s="1698">
        <f>IF(I152&gt;=5,3,IF(I152&gt;=4,2,IF(I152&lt;=3,1,"")))</f>
        <v>1</v>
      </c>
      <c r="K152" s="340"/>
      <c r="L152" s="340"/>
      <c r="M152" s="340"/>
      <c r="N152" s="1370">
        <f>IF(SUM(J152)=0,"",ROUND(AVERAGE(J152),0))</f>
        <v>1</v>
      </c>
      <c r="O152" s="1335" t="str">
        <f t="shared" si="100"/>
        <v>●</v>
      </c>
      <c r="P152" s="1335" t="str">
        <f t="shared" si="101"/>
        <v/>
      </c>
      <c r="Q152" s="1335" t="str">
        <f t="shared" si="102"/>
        <v/>
      </c>
      <c r="R152" s="1336"/>
      <c r="S152" s="1334"/>
      <c r="T152" s="1337">
        <f t="shared" si="103"/>
        <v>1</v>
      </c>
      <c r="V152" s="1304">
        <f t="shared" si="114"/>
        <v>0</v>
      </c>
      <c r="AF152" s="1633"/>
      <c r="AG152" s="1633"/>
      <c r="AH152" s="1633"/>
      <c r="AI152" s="1658"/>
      <c r="AJ152" s="1437"/>
      <c r="AK152" s="1635"/>
      <c r="AO152" s="1468"/>
      <c r="AP152" s="1469"/>
      <c r="AQ152" s="1470"/>
      <c r="AR152" s="1659"/>
      <c r="AS152" s="1659"/>
      <c r="AT152" s="1471"/>
      <c r="AW152" s="1663"/>
      <c r="AX152" s="1350"/>
      <c r="AY152" s="1351"/>
      <c r="AZ152" s="1460"/>
      <c r="BA152" s="1352"/>
      <c r="BB152" s="1353"/>
      <c r="BF152" t="str">
        <f t="shared" si="121"/>
        <v>Q2.1.1「コンプライアンス」
レベル3以下＝1点、レベル4＝2点、レベル5＝3点</v>
      </c>
      <c r="BG152" s="340" t="str">
        <f>スコア!BN43</f>
        <v>2.1.1 コンプライアンス</v>
      </c>
    </row>
    <row r="153" spans="2:59" ht="64.8">
      <c r="B153" s="1662"/>
      <c r="C153" s="1330" t="s">
        <v>1904</v>
      </c>
      <c r="D153" s="1331" t="s">
        <v>1905</v>
      </c>
      <c r="E153" s="1330" t="s">
        <v>1906</v>
      </c>
      <c r="F153" s="1333" t="s">
        <v>2006</v>
      </c>
      <c r="G153" s="1333" t="s">
        <v>2007</v>
      </c>
      <c r="H153" s="1333"/>
      <c r="I153" s="340"/>
      <c r="J153" s="340"/>
      <c r="K153" s="340">
        <v>1</v>
      </c>
      <c r="L153" s="340">
        <v>2</v>
      </c>
      <c r="M153" s="340">
        <v>3</v>
      </c>
      <c r="N153" s="1334">
        <v>1</v>
      </c>
      <c r="O153" s="1335" t="str">
        <f t="shared" si="100"/>
        <v>●</v>
      </c>
      <c r="P153" s="1335" t="str">
        <f t="shared" si="101"/>
        <v/>
      </c>
      <c r="Q153" s="1335" t="str">
        <f t="shared" si="102"/>
        <v/>
      </c>
      <c r="R153" s="1355"/>
      <c r="S153" s="1333"/>
      <c r="T153" s="1337">
        <f t="shared" si="103"/>
        <v>1</v>
      </c>
      <c r="V153" s="1304" t="str">
        <f t="shared" si="114"/>
        <v>16,3</v>
      </c>
      <c r="W153" s="1338">
        <f>IF(SUM(T153)=0,"",AVERAGE(T153))</f>
        <v>1</v>
      </c>
      <c r="AF153" s="1633"/>
      <c r="AG153" s="1633"/>
      <c r="AH153" s="1633"/>
      <c r="AI153" s="1658"/>
      <c r="AJ153" s="1437"/>
      <c r="AK153" s="1635"/>
      <c r="AO153" s="1468"/>
      <c r="AP153" s="1469"/>
      <c r="AQ153" s="1470"/>
      <c r="AR153" s="1659"/>
      <c r="AS153" s="1659"/>
      <c r="AT153" s="1471"/>
      <c r="AW153" s="1663"/>
      <c r="AX153" s="1350"/>
      <c r="AY153" s="1351"/>
      <c r="AZ153" s="1460"/>
      <c r="BA153" s="1352"/>
      <c r="BB153" s="1353"/>
      <c r="BF153">
        <f t="shared" si="121"/>
        <v>0</v>
      </c>
      <c r="BG153" s="340"/>
    </row>
    <row r="154" spans="2:59" ht="54">
      <c r="B154" s="1664"/>
      <c r="C154" s="1330" t="s">
        <v>1907</v>
      </c>
      <c r="D154" s="1331" t="s">
        <v>1908</v>
      </c>
      <c r="E154" s="1330" t="s">
        <v>1909</v>
      </c>
      <c r="F154" s="1333" t="s">
        <v>1910</v>
      </c>
      <c r="G154" s="1333" t="s">
        <v>1959</v>
      </c>
      <c r="H154" s="1333"/>
      <c r="I154" s="340"/>
      <c r="J154" s="340"/>
      <c r="K154" s="340">
        <v>1</v>
      </c>
      <c r="L154" s="340">
        <v>2</v>
      </c>
      <c r="M154" s="340">
        <v>3</v>
      </c>
      <c r="N154" s="1334">
        <v>1</v>
      </c>
      <c r="O154" s="1335" t="str">
        <f t="shared" si="100"/>
        <v>●</v>
      </c>
      <c r="P154" s="1335" t="str">
        <f t="shared" si="101"/>
        <v/>
      </c>
      <c r="Q154" s="1335" t="str">
        <f t="shared" si="102"/>
        <v/>
      </c>
      <c r="R154" s="1355"/>
      <c r="S154" s="1333"/>
      <c r="T154" s="1337">
        <f t="shared" si="103"/>
        <v>1</v>
      </c>
      <c r="V154" s="1304" t="str">
        <f t="shared" si="114"/>
        <v>16,4</v>
      </c>
      <c r="W154" s="1338">
        <f>IF(SUM(T154)=0,"",AVERAGE(T154))</f>
        <v>1</v>
      </c>
      <c r="AF154" s="1665"/>
      <c r="AG154" s="1613"/>
      <c r="AH154" s="1613"/>
      <c r="AI154" s="1419"/>
      <c r="AJ154" s="1533"/>
      <c r="AK154" s="1614"/>
      <c r="AO154" s="1615"/>
      <c r="AP154" s="1616"/>
      <c r="AQ154" s="1617"/>
      <c r="AR154" s="1461"/>
      <c r="AS154" s="1461"/>
      <c r="AT154" s="1618"/>
      <c r="AW154" s="1663"/>
      <c r="AX154" s="1350"/>
      <c r="AY154" s="1351"/>
      <c r="AZ154" s="1367"/>
      <c r="BA154" s="1368"/>
      <c r="BB154" s="1351"/>
      <c r="BF154">
        <f t="shared" si="121"/>
        <v>0</v>
      </c>
      <c r="BG154" s="340"/>
    </row>
    <row r="155" spans="2:59" ht="54">
      <c r="B155" s="1666" t="s">
        <v>1911</v>
      </c>
      <c r="C155" s="1706" t="s">
        <v>1912</v>
      </c>
      <c r="D155" s="1704" t="s">
        <v>1913</v>
      </c>
      <c r="E155" s="1706" t="s">
        <v>1914</v>
      </c>
      <c r="F155" s="1707" t="s">
        <v>1915</v>
      </c>
      <c r="G155" s="1707" t="s">
        <v>1916</v>
      </c>
      <c r="H155" s="1333" t="s">
        <v>1964</v>
      </c>
      <c r="I155" s="340">
        <f>スコア!P44</f>
        <v>3</v>
      </c>
      <c r="J155" s="340">
        <f t="shared" ref="J155" si="125">IF(I155&gt;=4,3,IF(I155&gt;=2,2,IF(I155=1,1,"")))</f>
        <v>2</v>
      </c>
      <c r="K155" s="340"/>
      <c r="L155" s="340"/>
      <c r="M155" s="340"/>
      <c r="N155" s="1370">
        <f>IF(SUM(J155)=0,"",ROUND(AVERAGE(J155),0))</f>
        <v>2</v>
      </c>
      <c r="O155" s="1335" t="str">
        <f t="shared" si="100"/>
        <v/>
      </c>
      <c r="P155" s="1335" t="str">
        <f t="shared" si="101"/>
        <v>●</v>
      </c>
      <c r="Q155" s="1335" t="str">
        <f t="shared" si="102"/>
        <v/>
      </c>
      <c r="R155" s="1336"/>
      <c r="S155" s="1333"/>
      <c r="T155" s="1337">
        <f t="shared" si="103"/>
        <v>2</v>
      </c>
      <c r="V155" s="1304" t="str">
        <f t="shared" si="114"/>
        <v>17.1</v>
      </c>
      <c r="W155" s="1338">
        <f>IF(SUM(T155:T155)=0,"",AVERAGE(T155:T155))</f>
        <v>2</v>
      </c>
      <c r="X155" s="1338">
        <f>IF(SUM(W155:W159)=0,"",AVERAGE(W155:W159))</f>
        <v>1.3333333333333333</v>
      </c>
      <c r="AF155" s="1462"/>
      <c r="AG155" s="1463"/>
      <c r="AH155" s="1463"/>
      <c r="AI155" s="1436"/>
      <c r="AJ155" s="1437"/>
      <c r="AK155" s="1467" t="str">
        <f t="shared" ref="AK155:AK159" si="126">AS155</f>
        <v/>
      </c>
      <c r="AO155" s="1468"/>
      <c r="AP155" s="1469"/>
      <c r="AQ155" s="1470"/>
      <c r="AR155" s="1412" t="str">
        <f>IF(AQ155="","",IF(AQ155=4,"",AQ155))</f>
        <v/>
      </c>
      <c r="AS155" s="1412" t="str">
        <f t="shared" ref="AS155:AS159" si="127">IF(AR155="","",IF(AR155=3,3,IF(AT155=TRUE,AR155+1,AR155)))</f>
        <v/>
      </c>
      <c r="AT155" s="1471"/>
      <c r="AW155" s="1667"/>
      <c r="AX155" s="1350">
        <f>IFERROR(SUM(BA155:BA159)/AY155,"")</f>
        <v>0</v>
      </c>
      <c r="AY155" s="1351">
        <f>COUNTA(BB155:BB159)</f>
        <v>2</v>
      </c>
      <c r="AZ155" s="1475" t="s">
        <v>1912</v>
      </c>
      <c r="BA155" s="1476">
        <f>IFERROR(SUM(AK155)/BB155,"")</f>
        <v>0</v>
      </c>
      <c r="BB155" s="1477">
        <f>COUNTA(E155)</f>
        <v>1</v>
      </c>
      <c r="BF155" t="str">
        <f t="shared" si="121"/>
        <v>Q2.1.2「エリアマネジメント」</v>
      </c>
      <c r="BG155" s="340" t="str">
        <f>スコア!BN44</f>
        <v>2.1.2 エリアマネジメント</v>
      </c>
    </row>
    <row r="156" spans="2:59" ht="86.4">
      <c r="B156" s="1668"/>
      <c r="C156" s="1955" t="s">
        <v>1917</v>
      </c>
      <c r="D156" s="1958" t="s">
        <v>1918</v>
      </c>
      <c r="E156" s="1330" t="s">
        <v>1919</v>
      </c>
      <c r="F156" s="1332" t="s">
        <v>1920</v>
      </c>
      <c r="G156" s="1333" t="s">
        <v>1982</v>
      </c>
      <c r="H156" s="1333"/>
      <c r="I156" s="340"/>
      <c r="J156" s="340"/>
      <c r="K156" s="340">
        <v>1</v>
      </c>
      <c r="L156" s="340">
        <v>2</v>
      </c>
      <c r="M156" s="340">
        <v>3</v>
      </c>
      <c r="N156" s="1334">
        <v>1</v>
      </c>
      <c r="O156" s="1335" t="str">
        <f t="shared" si="100"/>
        <v>●</v>
      </c>
      <c r="P156" s="1335" t="str">
        <f t="shared" si="101"/>
        <v/>
      </c>
      <c r="Q156" s="1335" t="str">
        <f t="shared" si="102"/>
        <v/>
      </c>
      <c r="R156" s="1355"/>
      <c r="S156" s="1333"/>
      <c r="T156" s="1337">
        <f t="shared" si="103"/>
        <v>1</v>
      </c>
      <c r="V156" s="1304" t="str">
        <f t="shared" si="114"/>
        <v>17.2</v>
      </c>
      <c r="W156" s="1338">
        <f>IF(SUM(T156:T158)=0,"",AVERAGE(T156:T158))</f>
        <v>1</v>
      </c>
      <c r="AF156" s="1371" t="str">
        <f t="shared" ref="AF156:AF159" si="128">IF(AR156=1,"●","")</f>
        <v/>
      </c>
      <c r="AG156" s="1542" t="str">
        <f t="shared" ref="AG156:AG159" si="129">IF(AR156=2,"●","")</f>
        <v/>
      </c>
      <c r="AH156" s="1542" t="str">
        <f t="shared" ref="AH156:AH159" si="130">IF(AR156=3,"●","")</f>
        <v/>
      </c>
      <c r="AI156" s="1374"/>
      <c r="AJ156" s="1543"/>
      <c r="AK156" s="1376" t="str">
        <f t="shared" si="126"/>
        <v/>
      </c>
      <c r="AO156" s="1377"/>
      <c r="AP156" s="1378"/>
      <c r="AQ156" s="1389"/>
      <c r="AR156" s="1380" t="str">
        <f t="shared" ref="AR156:AR159" si="131">IF(AQ156="","",IF(AQ156&lt;=AQ$7,1,IF(AQ156&lt;AS$7,2,IF(AQ156&gt;=AS$7,3,""))))</f>
        <v/>
      </c>
      <c r="AS156" s="1380" t="str">
        <f t="shared" si="127"/>
        <v/>
      </c>
      <c r="AT156" s="1496"/>
      <c r="AW156" s="1669"/>
      <c r="AX156" s="1350"/>
      <c r="AY156" s="1351"/>
      <c r="AZ156" s="1670" t="s">
        <v>1917</v>
      </c>
      <c r="BA156" s="1368">
        <f>IFERROR(SUM(AK156:AK159)/BB156,"")</f>
        <v>0</v>
      </c>
      <c r="BB156" s="1351">
        <f>COUNTA(E156:E159)</f>
        <v>4</v>
      </c>
      <c r="BF156">
        <f t="shared" si="121"/>
        <v>0</v>
      </c>
      <c r="BG156" s="340"/>
    </row>
    <row r="157" spans="2:59" ht="32.4">
      <c r="B157" s="1668"/>
      <c r="C157" s="1956"/>
      <c r="D157" s="1959"/>
      <c r="E157" s="1330" t="s">
        <v>1921</v>
      </c>
      <c r="F157" s="1332" t="s">
        <v>1922</v>
      </c>
      <c r="G157" s="1333" t="s">
        <v>1923</v>
      </c>
      <c r="H157" s="1333"/>
      <c r="I157" s="340"/>
      <c r="J157" s="340"/>
      <c r="K157" s="340">
        <v>1</v>
      </c>
      <c r="L157" s="340" t="s">
        <v>311</v>
      </c>
      <c r="M157" s="340">
        <v>3</v>
      </c>
      <c r="N157" s="1334">
        <v>1</v>
      </c>
      <c r="O157" s="1335" t="str">
        <f t="shared" si="100"/>
        <v>●</v>
      </c>
      <c r="P157" s="1335" t="str">
        <f t="shared" si="101"/>
        <v/>
      </c>
      <c r="Q157" s="1335" t="str">
        <f t="shared" si="102"/>
        <v/>
      </c>
      <c r="R157" s="1355"/>
      <c r="S157" s="1333"/>
      <c r="T157" s="1337">
        <f t="shared" si="103"/>
        <v>1</v>
      </c>
      <c r="V157" s="1304">
        <f t="shared" si="114"/>
        <v>0</v>
      </c>
      <c r="AF157" s="1439" t="str">
        <f t="shared" si="128"/>
        <v/>
      </c>
      <c r="AG157" s="1494" t="str">
        <f t="shared" si="129"/>
        <v/>
      </c>
      <c r="AH157" s="1494" t="str">
        <f t="shared" si="130"/>
        <v/>
      </c>
      <c r="AI157" s="1442"/>
      <c r="AJ157" s="1495"/>
      <c r="AK157" s="1444" t="str">
        <f t="shared" si="126"/>
        <v/>
      </c>
      <c r="AO157" s="1397"/>
      <c r="AP157" s="1398"/>
      <c r="AQ157" s="1456"/>
      <c r="AR157" s="1400" t="str">
        <f t="shared" si="131"/>
        <v/>
      </c>
      <c r="AS157" s="1400" t="str">
        <f t="shared" si="127"/>
        <v/>
      </c>
      <c r="AT157" s="1544"/>
      <c r="AW157" s="1669"/>
      <c r="AX157" s="1350"/>
      <c r="AY157" s="1351"/>
      <c r="AZ157" s="1670"/>
      <c r="BA157" s="1368"/>
      <c r="BB157" s="1351"/>
      <c r="BF157">
        <f t="shared" si="121"/>
        <v>0</v>
      </c>
      <c r="BG157" s="340"/>
    </row>
    <row r="158" spans="2:59" ht="43.2">
      <c r="B158" s="1668"/>
      <c r="C158" s="1957"/>
      <c r="D158" s="1960"/>
      <c r="E158" s="1330" t="s">
        <v>1924</v>
      </c>
      <c r="F158" s="1332" t="s">
        <v>1925</v>
      </c>
      <c r="G158" s="1333" t="s">
        <v>1926</v>
      </c>
      <c r="H158" s="1333"/>
      <c r="I158" s="340"/>
      <c r="J158" s="340"/>
      <c r="K158" s="340">
        <v>1</v>
      </c>
      <c r="L158" s="340" t="s">
        <v>311</v>
      </c>
      <c r="M158" s="340">
        <v>3</v>
      </c>
      <c r="N158" s="1334">
        <v>1</v>
      </c>
      <c r="O158" s="1335" t="str">
        <f t="shared" si="100"/>
        <v>●</v>
      </c>
      <c r="P158" s="1335" t="str">
        <f t="shared" si="101"/>
        <v/>
      </c>
      <c r="Q158" s="1335" t="str">
        <f t="shared" si="102"/>
        <v/>
      </c>
      <c r="R158" s="1355"/>
      <c r="S158" s="1333"/>
      <c r="T158" s="1337">
        <f t="shared" si="103"/>
        <v>1</v>
      </c>
      <c r="V158" s="1304">
        <f t="shared" si="114"/>
        <v>0</v>
      </c>
      <c r="AF158" s="1439" t="str">
        <f t="shared" si="128"/>
        <v/>
      </c>
      <c r="AG158" s="1494" t="str">
        <f t="shared" si="129"/>
        <v/>
      </c>
      <c r="AH158" s="1494" t="str">
        <f t="shared" si="130"/>
        <v/>
      </c>
      <c r="AI158" s="1442"/>
      <c r="AJ158" s="1495"/>
      <c r="AK158" s="1444" t="str">
        <f t="shared" si="126"/>
        <v/>
      </c>
      <c r="AO158" s="1397"/>
      <c r="AP158" s="1398"/>
      <c r="AQ158" s="1456"/>
      <c r="AR158" s="1400" t="str">
        <f t="shared" si="131"/>
        <v/>
      </c>
      <c r="AS158" s="1400" t="str">
        <f t="shared" si="127"/>
        <v/>
      </c>
      <c r="AT158" s="1544"/>
      <c r="AW158" s="1669"/>
      <c r="AX158" s="1350"/>
      <c r="AY158" s="1351"/>
      <c r="AZ158" s="1670"/>
      <c r="BA158" s="1368"/>
      <c r="BB158" s="1351"/>
      <c r="BF158">
        <f t="shared" si="121"/>
        <v>0</v>
      </c>
      <c r="BG158" s="340"/>
    </row>
    <row r="159" spans="2:59" ht="54">
      <c r="B159" s="1671"/>
      <c r="C159" s="1330" t="s">
        <v>1927</v>
      </c>
      <c r="D159" s="1672" t="s">
        <v>1928</v>
      </c>
      <c r="E159" s="1330" t="s">
        <v>1929</v>
      </c>
      <c r="F159" s="1332" t="s">
        <v>1930</v>
      </c>
      <c r="G159" s="1333" t="s">
        <v>1931</v>
      </c>
      <c r="H159" s="1333"/>
      <c r="I159" s="340"/>
      <c r="J159" s="340"/>
      <c r="K159" s="340">
        <v>1</v>
      </c>
      <c r="L159" s="340">
        <v>2</v>
      </c>
      <c r="M159" s="340">
        <v>3</v>
      </c>
      <c r="N159" s="1334">
        <v>1</v>
      </c>
      <c r="O159" s="1335" t="str">
        <f t="shared" si="100"/>
        <v>●</v>
      </c>
      <c r="P159" s="1335" t="str">
        <f t="shared" si="101"/>
        <v/>
      </c>
      <c r="Q159" s="1335" t="str">
        <f t="shared" si="102"/>
        <v/>
      </c>
      <c r="R159" s="1355"/>
      <c r="S159" s="1333"/>
      <c r="T159" s="1337">
        <f t="shared" si="103"/>
        <v>1</v>
      </c>
      <c r="V159" s="1304" t="str">
        <f t="shared" si="114"/>
        <v>17.3</v>
      </c>
      <c r="W159" s="1338">
        <f>IF(SUM(T159)=0,"",AVERAGE(T159))</f>
        <v>1</v>
      </c>
      <c r="AF159" s="1439" t="str">
        <f t="shared" si="128"/>
        <v/>
      </c>
      <c r="AG159" s="1494" t="str">
        <f t="shared" si="129"/>
        <v/>
      </c>
      <c r="AH159" s="1494" t="str">
        <f t="shared" si="130"/>
        <v/>
      </c>
      <c r="AI159" s="1442"/>
      <c r="AJ159" s="1495"/>
      <c r="AK159" s="1444" t="str">
        <f t="shared" si="126"/>
        <v/>
      </c>
      <c r="AO159" s="1397"/>
      <c r="AP159" s="1398"/>
      <c r="AQ159" s="1456"/>
      <c r="AR159" s="1400" t="str">
        <f t="shared" si="131"/>
        <v/>
      </c>
      <c r="AS159" s="1400" t="str">
        <f t="shared" si="127"/>
        <v/>
      </c>
      <c r="AT159" s="1544"/>
      <c r="AW159" s="1669"/>
      <c r="AX159" s="1350"/>
      <c r="AY159" s="1351"/>
      <c r="AZ159" s="1670"/>
      <c r="BA159" s="1368"/>
      <c r="BB159" s="1351"/>
      <c r="BF159">
        <f t="shared" si="121"/>
        <v>0</v>
      </c>
      <c r="BG159" s="340"/>
    </row>
    <row r="160" spans="2:59" ht="16.2">
      <c r="B160" s="1264"/>
      <c r="C160" s="1265"/>
      <c r="D160" s="1266"/>
      <c r="E160" s="1266"/>
      <c r="F160" s="1266"/>
      <c r="G160" s="1266"/>
      <c r="H160" s="1266"/>
      <c r="I160" s="1266"/>
      <c r="J160" s="1266"/>
      <c r="K160" s="1266"/>
      <c r="L160" s="1266"/>
      <c r="M160" s="1266"/>
      <c r="O160" s="339"/>
      <c r="P160" s="339"/>
      <c r="Q160" s="339"/>
      <c r="R160" s="339"/>
      <c r="AF160" s="686"/>
      <c r="AG160" s="686"/>
      <c r="AH160" s="686"/>
      <c r="AI160" s="1673"/>
      <c r="AJ160" s="1674"/>
      <c r="AK160" s="1674"/>
      <c r="AO160" s="312"/>
      <c r="AP160" s="312"/>
      <c r="AR160" s="1263"/>
      <c r="AS160" s="1263"/>
      <c r="AT160" s="1270"/>
      <c r="AW160" s="1264"/>
      <c r="AX160" s="1271"/>
      <c r="AY160" s="1272"/>
      <c r="AZ160" s="1265"/>
      <c r="BF160">
        <f t="shared" si="121"/>
        <v>0</v>
      </c>
      <c r="BG160" s="340">
        <f>スコア!BC218</f>
        <v>0</v>
      </c>
    </row>
    <row r="161" spans="2:52" ht="21">
      <c r="B161" s="1264"/>
      <c r="C161" s="1265"/>
      <c r="D161" s="1266"/>
      <c r="E161" s="1266"/>
      <c r="F161" s="1266"/>
      <c r="G161" s="1266"/>
      <c r="H161" s="1266"/>
      <c r="I161" s="1266"/>
      <c r="J161" s="1266"/>
      <c r="K161" s="1266"/>
      <c r="L161" s="1266"/>
      <c r="M161" s="1266"/>
      <c r="O161" s="339"/>
      <c r="P161" s="339"/>
      <c r="Q161" s="339"/>
      <c r="R161" s="339"/>
      <c r="AF161" s="1675"/>
      <c r="AG161" s="1675"/>
      <c r="AH161" s="1675"/>
      <c r="AI161" s="1954"/>
      <c r="AJ161" s="1954"/>
      <c r="AK161" s="1954"/>
      <c r="AO161" s="312"/>
      <c r="AP161" s="312"/>
      <c r="AQ161" s="1279"/>
      <c r="AR161" s="1263"/>
      <c r="AS161" s="1263"/>
      <c r="AT161" s="1270"/>
      <c r="AW161" s="1264"/>
      <c r="AX161" s="1271"/>
      <c r="AY161" s="1272"/>
      <c r="AZ161" s="1265"/>
    </row>
    <row r="162" spans="2:52" ht="30">
      <c r="B162" s="1264"/>
      <c r="C162" s="1265"/>
      <c r="D162" s="1266"/>
      <c r="E162" s="1266"/>
      <c r="F162" s="1266"/>
      <c r="G162" s="1266"/>
      <c r="H162" s="1266"/>
      <c r="I162" s="1266"/>
      <c r="J162" s="1266"/>
      <c r="K162" s="1266"/>
      <c r="L162" s="1266"/>
      <c r="M162" s="1266"/>
      <c r="O162" s="1676"/>
      <c r="P162" s="1676"/>
      <c r="Q162" s="1676"/>
      <c r="R162" s="1676"/>
      <c r="AF162" s="1675"/>
      <c r="AG162" s="1675"/>
      <c r="AH162" s="1675"/>
      <c r="AI162" s="1954"/>
      <c r="AJ162" s="1954"/>
      <c r="AK162" s="1954"/>
      <c r="AO162" s="312"/>
      <c r="AP162" s="312"/>
      <c r="AQ162" s="1279"/>
      <c r="AR162" s="1263"/>
      <c r="AS162" s="1263"/>
      <c r="AT162" s="1270"/>
      <c r="AW162" s="1677"/>
      <c r="AX162" s="1678"/>
      <c r="AY162" s="1678" t="s">
        <v>1932</v>
      </c>
    </row>
    <row r="163" spans="2:52" ht="15">
      <c r="B163" s="1264"/>
      <c r="C163" s="1265"/>
      <c r="D163" s="1266"/>
      <c r="E163" s="1266"/>
      <c r="F163" s="1266"/>
      <c r="G163" s="1266"/>
      <c r="H163" s="1266"/>
      <c r="I163" s="1266"/>
      <c r="J163" s="1266"/>
      <c r="K163" s="1266"/>
      <c r="L163" s="1266"/>
      <c r="M163" s="1266"/>
      <c r="O163" s="339"/>
      <c r="P163" s="339"/>
      <c r="Q163" s="339"/>
      <c r="R163" s="339"/>
      <c r="AF163" s="686"/>
      <c r="AG163" s="686"/>
      <c r="AH163" s="686"/>
      <c r="AI163" s="313"/>
      <c r="AJ163" s="1268"/>
      <c r="AK163" s="1268"/>
      <c r="AO163" s="312"/>
      <c r="AP163" s="312"/>
      <c r="AR163" s="1263"/>
      <c r="AS163" s="1263"/>
      <c r="AT163" s="1270"/>
      <c r="AW163" s="1679" t="s">
        <v>1933</v>
      </c>
      <c r="AX163" s="1680" t="e">
        <f>AVERAGEIFS(AX165:AX176,AX165:AX176,"&lt;&gt;0",AX165:AX176,"&lt;&gt;#DIV/0!")</f>
        <v>#DIV/0!</v>
      </c>
      <c r="AY163" s="1681" t="e">
        <f>(AX163-1)*2+1</f>
        <v>#DIV/0!</v>
      </c>
    </row>
    <row r="165" spans="2:52" ht="15">
      <c r="AW165" s="1682" t="s">
        <v>1934</v>
      </c>
      <c r="AX165" s="1680">
        <f>AX10</f>
        <v>0</v>
      </c>
    </row>
    <row r="166" spans="2:52" ht="15">
      <c r="AW166" s="1682" t="s">
        <v>187</v>
      </c>
      <c r="AX166" s="1680">
        <f>AX26</f>
        <v>0</v>
      </c>
    </row>
    <row r="167" spans="2:52" ht="15">
      <c r="AW167" s="1682" t="s">
        <v>188</v>
      </c>
      <c r="AX167" s="1680">
        <f>AX32</f>
        <v>0</v>
      </c>
    </row>
    <row r="168" spans="2:52" ht="15">
      <c r="AW168" s="1682" t="s">
        <v>189</v>
      </c>
      <c r="AX168" s="1680">
        <f>AX37</f>
        <v>0</v>
      </c>
    </row>
    <row r="169" spans="2:52" ht="15">
      <c r="AW169" s="1682" t="s">
        <v>190</v>
      </c>
      <c r="AX169" s="1680">
        <f>AX53</f>
        <v>0</v>
      </c>
    </row>
    <row r="170" spans="2:52" ht="15">
      <c r="AW170" s="1682" t="s">
        <v>191</v>
      </c>
      <c r="AX170" s="1680">
        <f>AX60</f>
        <v>0</v>
      </c>
    </row>
    <row r="171" spans="2:52" ht="15">
      <c r="AW171" s="1682" t="s">
        <v>196</v>
      </c>
      <c r="AX171" s="1680">
        <f>AX68</f>
        <v>0</v>
      </c>
    </row>
    <row r="172" spans="2:52" ht="15">
      <c r="AW172" s="1682" t="s">
        <v>1935</v>
      </c>
      <c r="AX172" s="1680">
        <f>AX78</f>
        <v>0</v>
      </c>
    </row>
    <row r="173" spans="2:52" ht="15">
      <c r="AW173" s="1682" t="s">
        <v>201</v>
      </c>
      <c r="AX173" s="1680">
        <f>AX121</f>
        <v>0</v>
      </c>
    </row>
    <row r="174" spans="2:52" ht="15">
      <c r="AW174" s="1682" t="s">
        <v>211</v>
      </c>
      <c r="AX174" s="1680">
        <f>AX134</f>
        <v>0</v>
      </c>
    </row>
    <row r="175" spans="2:52" ht="15">
      <c r="AW175" s="1682" t="s">
        <v>214</v>
      </c>
      <c r="AX175" s="1680">
        <f>AX140</f>
        <v>0</v>
      </c>
    </row>
    <row r="176" spans="2:52" ht="15">
      <c r="AW176" s="1682" t="s">
        <v>1936</v>
      </c>
      <c r="AX176" s="1680">
        <f>AX155</f>
        <v>0</v>
      </c>
    </row>
  </sheetData>
  <sheetProtection algorithmName="SHA-512" hashValue="KVuQvdaMC/7QQYwawGk0x452q4uDrV3StiZSBLC6rWfIj+L2G/g0rgEOLS4X3I33y+VCLURCv3bPCDX7MBVG4A==" saltValue="ChrROqupvf1owDJh0nVSiw==" spinCount="100000" sheet="1" objects="1" formatRows="0"/>
  <mergeCells count="155">
    <mergeCell ref="T6:T7"/>
    <mergeCell ref="AF6:AF7"/>
    <mergeCell ref="AG6:AG7"/>
    <mergeCell ref="AH6:AH7"/>
    <mergeCell ref="P2:Q2"/>
    <mergeCell ref="AL2:AL5"/>
    <mergeCell ref="AM2:AM5"/>
    <mergeCell ref="B6:B7"/>
    <mergeCell ref="C6:F6"/>
    <mergeCell ref="G6:G7"/>
    <mergeCell ref="N6:N7"/>
    <mergeCell ref="O6:O7"/>
    <mergeCell ref="P6:P7"/>
    <mergeCell ref="Q6:Q7"/>
    <mergeCell ref="C16:C22"/>
    <mergeCell ref="D16:D22"/>
    <mergeCell ref="C12:C13"/>
    <mergeCell ref="D12:D13"/>
    <mergeCell ref="AZ12:AZ13"/>
    <mergeCell ref="C14:C15"/>
    <mergeCell ref="D14:D15"/>
    <mergeCell ref="AZ14:AZ15"/>
    <mergeCell ref="AW7:AX7"/>
    <mergeCell ref="AW9:AX9"/>
    <mergeCell ref="AZ9:BA9"/>
    <mergeCell ref="C10:C11"/>
    <mergeCell ref="D10:D11"/>
    <mergeCell ref="AW10:AW11"/>
    <mergeCell ref="AZ10:AZ11"/>
    <mergeCell ref="AI6:AI7"/>
    <mergeCell ref="AK6:AK7"/>
    <mergeCell ref="AQ6:AS6"/>
    <mergeCell ref="AT6:AT7"/>
    <mergeCell ref="AU6:AU7"/>
    <mergeCell ref="C7:D7"/>
    <mergeCell ref="E7:F7"/>
    <mergeCell ref="R6:R7"/>
    <mergeCell ref="S6:S7"/>
    <mergeCell ref="B32:B33"/>
    <mergeCell ref="C32:C34"/>
    <mergeCell ref="D32:D34"/>
    <mergeCell ref="AW32:AW33"/>
    <mergeCell ref="AZ32:AZ33"/>
    <mergeCell ref="C24:C25"/>
    <mergeCell ref="D24:D25"/>
    <mergeCell ref="AZ24:AZ25"/>
    <mergeCell ref="B26:B27"/>
    <mergeCell ref="C26:C27"/>
    <mergeCell ref="D26:D27"/>
    <mergeCell ref="AW26:AW27"/>
    <mergeCell ref="AZ26:AZ27"/>
    <mergeCell ref="AZ37:AZ38"/>
    <mergeCell ref="C40:C46"/>
    <mergeCell ref="D40:D46"/>
    <mergeCell ref="AZ54:AZ55"/>
    <mergeCell ref="C28:C29"/>
    <mergeCell ref="D28:D29"/>
    <mergeCell ref="AZ28:AZ29"/>
    <mergeCell ref="C30:C31"/>
    <mergeCell ref="D30:D31"/>
    <mergeCell ref="F61:F62"/>
    <mergeCell ref="G61:G62"/>
    <mergeCell ref="C49:C51"/>
    <mergeCell ref="D49:D51"/>
    <mergeCell ref="B53:B55"/>
    <mergeCell ref="AW53:AW55"/>
    <mergeCell ref="C54:C55"/>
    <mergeCell ref="D54:D55"/>
    <mergeCell ref="B37:B38"/>
    <mergeCell ref="C37:C39"/>
    <mergeCell ref="D37:D39"/>
    <mergeCell ref="AW37:AW38"/>
    <mergeCell ref="C63:C64"/>
    <mergeCell ref="D63:D64"/>
    <mergeCell ref="B68:B69"/>
    <mergeCell ref="C68:C70"/>
    <mergeCell ref="D68:D70"/>
    <mergeCell ref="E68:E70"/>
    <mergeCell ref="C56:C57"/>
    <mergeCell ref="D56:D57"/>
    <mergeCell ref="C61:C62"/>
    <mergeCell ref="D61:D62"/>
    <mergeCell ref="E61:E62"/>
    <mergeCell ref="C74:C75"/>
    <mergeCell ref="D74:D75"/>
    <mergeCell ref="A78:A79"/>
    <mergeCell ref="B78:B79"/>
    <mergeCell ref="C78:C79"/>
    <mergeCell ref="D78:D79"/>
    <mergeCell ref="F109:F112"/>
    <mergeCell ref="F68:F70"/>
    <mergeCell ref="G68:G70"/>
    <mergeCell ref="C71:C72"/>
    <mergeCell ref="D71:D72"/>
    <mergeCell ref="AZ78:AZ79"/>
    <mergeCell ref="C80:C81"/>
    <mergeCell ref="D80:D81"/>
    <mergeCell ref="AZ80:AZ81"/>
    <mergeCell ref="C82:C83"/>
    <mergeCell ref="D82:D83"/>
    <mergeCell ref="AZ82:AZ83"/>
    <mergeCell ref="AW78:AW79"/>
    <mergeCell ref="C107:C113"/>
    <mergeCell ref="D107:D113"/>
    <mergeCell ref="E91:E94"/>
    <mergeCell ref="F91:F94"/>
    <mergeCell ref="C95:C106"/>
    <mergeCell ref="D95:D106"/>
    <mergeCell ref="E99:E101"/>
    <mergeCell ref="F99:F101"/>
    <mergeCell ref="E102:E103"/>
    <mergeCell ref="F102:F103"/>
    <mergeCell ref="C87:C94"/>
    <mergeCell ref="D87:D94"/>
    <mergeCell ref="E89:E90"/>
    <mergeCell ref="F89:F90"/>
    <mergeCell ref="G89:G90"/>
    <mergeCell ref="E109:E112"/>
    <mergeCell ref="AW134:AW135"/>
    <mergeCell ref="C135:C136"/>
    <mergeCell ref="D135:D136"/>
    <mergeCell ref="C140:C143"/>
    <mergeCell ref="D140:D143"/>
    <mergeCell ref="AZ140:AZ143"/>
    <mergeCell ref="E141:E143"/>
    <mergeCell ref="F141:F143"/>
    <mergeCell ref="G141:G143"/>
    <mergeCell ref="C126:C127"/>
    <mergeCell ref="D126:D127"/>
    <mergeCell ref="AZ126:AZ127"/>
    <mergeCell ref="C128:C130"/>
    <mergeCell ref="D128:D130"/>
    <mergeCell ref="C132:C133"/>
    <mergeCell ref="D132:D133"/>
    <mergeCell ref="C115:C120"/>
    <mergeCell ref="D115:D120"/>
    <mergeCell ref="E115:E116"/>
    <mergeCell ref="F115:F116"/>
    <mergeCell ref="G115:G116"/>
    <mergeCell ref="C121:C123"/>
    <mergeCell ref="D121:D123"/>
    <mergeCell ref="E122:E123"/>
    <mergeCell ref="F122:F123"/>
    <mergeCell ref="G122:G123"/>
    <mergeCell ref="AI161:AK161"/>
    <mergeCell ref="AI162:AK162"/>
    <mergeCell ref="C156:C158"/>
    <mergeCell ref="D156:D158"/>
    <mergeCell ref="C144:C146"/>
    <mergeCell ref="D144:D146"/>
    <mergeCell ref="C149:C150"/>
    <mergeCell ref="D149:D150"/>
    <mergeCell ref="AZ149:AZ150"/>
    <mergeCell ref="C151:C152"/>
    <mergeCell ref="D151:D152"/>
  </mergeCells>
  <phoneticPr fontId="3"/>
  <conditionalFormatting sqref="AF10:AH10 AK10">
    <cfRule type="expression" dxfId="8" priority="7">
      <formula>$AT$10="E"</formula>
    </cfRule>
  </conditionalFormatting>
  <conditionalFormatting sqref="AF11:AH11 AK11">
    <cfRule type="expression" dxfId="7" priority="6">
      <formula>$AT$11="E"</formula>
    </cfRule>
  </conditionalFormatting>
  <conditionalFormatting sqref="AF13:AH13 AK13">
    <cfRule type="expression" dxfId="6" priority="5">
      <formula>$AT$13="E"</formula>
    </cfRule>
  </conditionalFormatting>
  <conditionalFormatting sqref="AF17:AH17 AK17">
    <cfRule type="expression" dxfId="5" priority="4">
      <formula>$AT$17="E"</formula>
    </cfRule>
  </conditionalFormatting>
  <conditionalFormatting sqref="AF24:AH24 AK24 AF26:AH28 AK26:AK28 AF31:AH31 AK31 AF35:AH36 AK35:AK36 AF47:AH52 AK47:AK52 AF56:AH56 AK56 AF58:AH59 AK58:AK59 AF65:AH67 AK65:AK67 AF121:AH123 AK121:AK123 AF130:AH130 AK130 AF137:AH138 AK137:AK138 AF143:AH144 AK143:AK144 AF146:AH147 AK146:AK147 AF152:AH155 AK152:AK155">
    <cfRule type="expression" dxfId="4" priority="2">
      <formula>$AT24="E"</formula>
    </cfRule>
  </conditionalFormatting>
  <conditionalFormatting sqref="AF28:AH28 AK28 AF30:AH30 AK30">
    <cfRule type="expression" dxfId="3" priority="9">
      <formula>$AT$30="E"</formula>
    </cfRule>
  </conditionalFormatting>
  <conditionalFormatting sqref="AF33:AH34 AK33:AK34">
    <cfRule type="expression" dxfId="2" priority="3">
      <formula>$AT$33="E"</formula>
    </cfRule>
  </conditionalFormatting>
  <conditionalFormatting sqref="AI74">
    <cfRule type="containsBlanks" dxfId="1" priority="8">
      <formula>LEN(TRIM(AI74))=0</formula>
    </cfRule>
  </conditionalFormatting>
  <conditionalFormatting sqref="AK4">
    <cfRule type="expression" dxfId="0" priority="1">
      <formula>$AT$5&gt;0</formula>
    </cfRule>
  </conditionalFormatting>
  <dataValidations count="3">
    <dataValidation type="list" allowBlank="1" showDropDown="1" showInputMessage="1" showErrorMessage="1" sqref="S14:S15 S10 S30:S31 S79:S81 S113 S150:S152 S131 S121 S17 S68 S61" xr:uid="{DD812629-E294-47B1-8E04-5DE015F52C42}">
      <formula1>"0,1"</formula1>
    </dataValidation>
    <dataValidation type="list" allowBlank="1" showDropDown="1" showInputMessage="1" showErrorMessage="1" sqref="N10:N11 N106 N83 N75:N76 N73 N47:N52 N58:N60 N56 N35:N36 N26:N28 N33 N17 N138 N24 N151 N13 N117:N119 N126 N129:N133 N145:N146 N148:N149 N153:N154 N156:N159 N121 N65:N67 N30:N31 N124 N96 S49 S96" xr:uid="{09484B15-C275-49A9-AF6D-7FBB4D1B7231}">
      <formula1>K10:M10</formula1>
    </dataValidation>
    <dataValidation type="list" allowBlank="1" showInputMessage="1" showErrorMessage="1" sqref="F4" xr:uid="{B78A8405-5B87-463D-BE56-58580DAB3CD9}">
      <formula1>$K$6:$L$6</formula1>
    </dataValidation>
  </dataValidations>
  <printOptions horizontalCentered="1"/>
  <pageMargins left="0.31496062992125984" right="0.31496062992125984" top="0.35433070866141736" bottom="0.35433070866141736" header="0.31496062992125984" footer="0.31496062992125984"/>
  <pageSetup paperSize="9" scale="57" fitToHeight="0" orientation="landscape" r:id="rId1"/>
  <rowBreaks count="6" manualBreakCount="6">
    <brk id="25" min="1" max="21" man="1"/>
    <brk id="36" min="1" max="21" man="1"/>
    <brk id="77" min="1" max="21" man="1"/>
    <brk id="114" min="1" max="21" man="1"/>
    <brk id="120" min="1" max="21" man="1"/>
    <brk id="139"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4126721" r:id="rId4" name="Option Button 1">
              <controlPr locked="0" defaultSize="0" autoFill="0" autoLine="0" autoPict="0">
                <anchor moveWithCells="1">
                  <from>
                    <xdr:col>31</xdr:col>
                    <xdr:colOff>281940</xdr:colOff>
                    <xdr:row>9</xdr:row>
                    <xdr:rowOff>358140</xdr:rowOff>
                  </from>
                  <to>
                    <xdr:col>103</xdr:col>
                    <xdr:colOff>91440</xdr:colOff>
                    <xdr:row>15</xdr:row>
                    <xdr:rowOff>251460</xdr:rowOff>
                  </to>
                </anchor>
              </controlPr>
            </control>
          </mc:Choice>
        </mc:AlternateContent>
        <mc:AlternateContent xmlns:mc="http://schemas.openxmlformats.org/markup-compatibility/2006">
          <mc:Choice Requires="x14">
            <control shapeId="4126722" r:id="rId5" name="Option Button 2">
              <controlPr locked="0" defaultSize="0" autoFill="0" autoLine="0" autoPict="0">
                <anchor moveWithCells="1">
                  <from>
                    <xdr:col>32</xdr:col>
                    <xdr:colOff>266700</xdr:colOff>
                    <xdr:row>9</xdr:row>
                    <xdr:rowOff>373380</xdr:rowOff>
                  </from>
                  <to>
                    <xdr:col>103</xdr:col>
                    <xdr:colOff>99060</xdr:colOff>
                    <xdr:row>15</xdr:row>
                    <xdr:rowOff>251460</xdr:rowOff>
                  </to>
                </anchor>
              </controlPr>
            </control>
          </mc:Choice>
        </mc:AlternateContent>
        <mc:AlternateContent xmlns:mc="http://schemas.openxmlformats.org/markup-compatibility/2006">
          <mc:Choice Requires="x14">
            <control shapeId="4126723" r:id="rId6" name="Option Button 3">
              <controlPr locked="0" defaultSize="0" autoFill="0" autoLine="0" autoPict="0">
                <anchor moveWithCells="1">
                  <from>
                    <xdr:col>33</xdr:col>
                    <xdr:colOff>236220</xdr:colOff>
                    <xdr:row>9</xdr:row>
                    <xdr:rowOff>358140</xdr:rowOff>
                  </from>
                  <to>
                    <xdr:col>103</xdr:col>
                    <xdr:colOff>7620</xdr:colOff>
                    <xdr:row>15</xdr:row>
                    <xdr:rowOff>251460</xdr:rowOff>
                  </to>
                </anchor>
              </controlPr>
            </control>
          </mc:Choice>
        </mc:AlternateContent>
        <mc:AlternateContent xmlns:mc="http://schemas.openxmlformats.org/markup-compatibility/2006">
          <mc:Choice Requires="x14">
            <control shapeId="4126724" r:id="rId7" name="GB323">
              <controlPr defaultSize="0" autoFill="0" autoPict="0">
                <anchor moveWithCells="1">
                  <from>
                    <xdr:col>31</xdr:col>
                    <xdr:colOff>22860</xdr:colOff>
                    <xdr:row>9</xdr:row>
                    <xdr:rowOff>60960</xdr:rowOff>
                  </from>
                  <to>
                    <xdr:col>108</xdr:col>
                    <xdr:colOff>91440</xdr:colOff>
                    <xdr:row>16</xdr:row>
                    <xdr:rowOff>541020</xdr:rowOff>
                  </to>
                </anchor>
              </controlPr>
            </control>
          </mc:Choice>
        </mc:AlternateContent>
        <mc:AlternateContent xmlns:mc="http://schemas.openxmlformats.org/markup-compatibility/2006">
          <mc:Choice Requires="x14">
            <control shapeId="4126725" r:id="rId8" name="Option Button 5">
              <controlPr defaultSize="0" autoFill="0" autoLine="0" autoPict="0">
                <anchor moveWithCells="1">
                  <from>
                    <xdr:col>31</xdr:col>
                    <xdr:colOff>236220</xdr:colOff>
                    <xdr:row>10</xdr:row>
                    <xdr:rowOff>358140</xdr:rowOff>
                  </from>
                  <to>
                    <xdr:col>103</xdr:col>
                    <xdr:colOff>99060</xdr:colOff>
                    <xdr:row>15</xdr:row>
                    <xdr:rowOff>251460</xdr:rowOff>
                  </to>
                </anchor>
              </controlPr>
            </control>
          </mc:Choice>
        </mc:AlternateContent>
        <mc:AlternateContent xmlns:mc="http://schemas.openxmlformats.org/markup-compatibility/2006">
          <mc:Choice Requires="x14">
            <control shapeId="4126726" r:id="rId9" name="Option Button 6">
              <controlPr defaultSize="0" autoFill="0" autoLine="0" autoPict="0">
                <anchor moveWithCells="1">
                  <from>
                    <xdr:col>32</xdr:col>
                    <xdr:colOff>236220</xdr:colOff>
                    <xdr:row>10</xdr:row>
                    <xdr:rowOff>365760</xdr:rowOff>
                  </from>
                  <to>
                    <xdr:col>103</xdr:col>
                    <xdr:colOff>99060</xdr:colOff>
                    <xdr:row>15</xdr:row>
                    <xdr:rowOff>251460</xdr:rowOff>
                  </to>
                </anchor>
              </controlPr>
            </control>
          </mc:Choice>
        </mc:AlternateContent>
        <mc:AlternateContent xmlns:mc="http://schemas.openxmlformats.org/markup-compatibility/2006">
          <mc:Choice Requires="x14">
            <control shapeId="4126727" r:id="rId10" name="Option Button 7">
              <controlPr defaultSize="0" autoFill="0" autoLine="0" autoPict="0">
                <anchor moveWithCells="1">
                  <from>
                    <xdr:col>33</xdr:col>
                    <xdr:colOff>236220</xdr:colOff>
                    <xdr:row>10</xdr:row>
                    <xdr:rowOff>381000</xdr:rowOff>
                  </from>
                  <to>
                    <xdr:col>103</xdr:col>
                    <xdr:colOff>7620</xdr:colOff>
                    <xdr:row>15</xdr:row>
                    <xdr:rowOff>251460</xdr:rowOff>
                  </to>
                </anchor>
              </controlPr>
            </control>
          </mc:Choice>
        </mc:AlternateContent>
        <mc:AlternateContent xmlns:mc="http://schemas.openxmlformats.org/markup-compatibility/2006">
          <mc:Choice Requires="x14">
            <control shapeId="4126728" r:id="rId11" name="GB332">
              <controlPr defaultSize="0" autoFill="0" autoPict="0">
                <anchor moveWithCells="1">
                  <from>
                    <xdr:col>34</xdr:col>
                    <xdr:colOff>472440</xdr:colOff>
                    <xdr:row>15</xdr:row>
                    <xdr:rowOff>213360</xdr:rowOff>
                  </from>
                  <to>
                    <xdr:col>108</xdr:col>
                    <xdr:colOff>106680</xdr:colOff>
                    <xdr:row>16</xdr:row>
                    <xdr:rowOff>731520</xdr:rowOff>
                  </to>
                </anchor>
              </controlPr>
            </control>
          </mc:Choice>
        </mc:AlternateContent>
        <mc:AlternateContent xmlns:mc="http://schemas.openxmlformats.org/markup-compatibility/2006">
          <mc:Choice Requires="x14">
            <control shapeId="4126729" r:id="rId12" name="Option Button 9">
              <controlPr defaultSize="0" autoFill="0" autoLine="0" autoPict="0">
                <anchor moveWithCells="1">
                  <from>
                    <xdr:col>31</xdr:col>
                    <xdr:colOff>236220</xdr:colOff>
                    <xdr:row>12</xdr:row>
                    <xdr:rowOff>350520</xdr:rowOff>
                  </from>
                  <to>
                    <xdr:col>103</xdr:col>
                    <xdr:colOff>99060</xdr:colOff>
                    <xdr:row>15</xdr:row>
                    <xdr:rowOff>220980</xdr:rowOff>
                  </to>
                </anchor>
              </controlPr>
            </control>
          </mc:Choice>
        </mc:AlternateContent>
        <mc:AlternateContent xmlns:mc="http://schemas.openxmlformats.org/markup-compatibility/2006">
          <mc:Choice Requires="x14">
            <control shapeId="4126730" r:id="rId13" name="Option Button 10">
              <controlPr defaultSize="0" autoFill="0" autoLine="0" autoPict="0">
                <anchor moveWithCells="1">
                  <from>
                    <xdr:col>32</xdr:col>
                    <xdr:colOff>236220</xdr:colOff>
                    <xdr:row>12</xdr:row>
                    <xdr:rowOff>350520</xdr:rowOff>
                  </from>
                  <to>
                    <xdr:col>103</xdr:col>
                    <xdr:colOff>99060</xdr:colOff>
                    <xdr:row>15</xdr:row>
                    <xdr:rowOff>220980</xdr:rowOff>
                  </to>
                </anchor>
              </controlPr>
            </control>
          </mc:Choice>
        </mc:AlternateContent>
        <mc:AlternateContent xmlns:mc="http://schemas.openxmlformats.org/markup-compatibility/2006">
          <mc:Choice Requires="x14">
            <control shapeId="4126731" r:id="rId14" name="Option Button 11">
              <controlPr defaultSize="0" autoFill="0" autoLine="0" autoPict="0">
                <anchor moveWithCells="1">
                  <from>
                    <xdr:col>33</xdr:col>
                    <xdr:colOff>236220</xdr:colOff>
                    <xdr:row>12</xdr:row>
                    <xdr:rowOff>350520</xdr:rowOff>
                  </from>
                  <to>
                    <xdr:col>103</xdr:col>
                    <xdr:colOff>7620</xdr:colOff>
                    <xdr:row>15</xdr:row>
                    <xdr:rowOff>220980</xdr:rowOff>
                  </to>
                </anchor>
              </controlPr>
            </control>
          </mc:Choice>
        </mc:AlternateContent>
        <mc:AlternateContent xmlns:mc="http://schemas.openxmlformats.org/markup-compatibility/2006">
          <mc:Choice Requires="x14">
            <control shapeId="4126732" r:id="rId15" name="GB362">
              <controlPr defaultSize="0" autoFill="0" autoPict="0">
                <anchor moveWithCells="1">
                  <from>
                    <xdr:col>33</xdr:col>
                    <xdr:colOff>434340</xdr:colOff>
                    <xdr:row>15</xdr:row>
                    <xdr:rowOff>53340</xdr:rowOff>
                  </from>
                  <to>
                    <xdr:col>108</xdr:col>
                    <xdr:colOff>106680</xdr:colOff>
                    <xdr:row>16</xdr:row>
                    <xdr:rowOff>457200</xdr:rowOff>
                  </to>
                </anchor>
              </controlPr>
            </control>
          </mc:Choice>
        </mc:AlternateContent>
        <mc:AlternateContent xmlns:mc="http://schemas.openxmlformats.org/markup-compatibility/2006">
          <mc:Choice Requires="x14">
            <control shapeId="4126733" r:id="rId16" name="Option Button 13">
              <controlPr defaultSize="0" autoFill="0" autoLine="0" autoPict="0">
                <anchor moveWithCells="1">
                  <from>
                    <xdr:col>31</xdr:col>
                    <xdr:colOff>236220</xdr:colOff>
                    <xdr:row>16</xdr:row>
                    <xdr:rowOff>381000</xdr:rowOff>
                  </from>
                  <to>
                    <xdr:col>103</xdr:col>
                    <xdr:colOff>99060</xdr:colOff>
                    <xdr:row>16</xdr:row>
                    <xdr:rowOff>617220</xdr:rowOff>
                  </to>
                </anchor>
              </controlPr>
            </control>
          </mc:Choice>
        </mc:AlternateContent>
        <mc:AlternateContent xmlns:mc="http://schemas.openxmlformats.org/markup-compatibility/2006">
          <mc:Choice Requires="x14">
            <control shapeId="4126734" r:id="rId17" name="Option Button 14">
              <controlPr defaultSize="0" autoFill="0" autoLine="0" autoPict="0">
                <anchor moveWithCells="1">
                  <from>
                    <xdr:col>32</xdr:col>
                    <xdr:colOff>236220</xdr:colOff>
                    <xdr:row>16</xdr:row>
                    <xdr:rowOff>381000</xdr:rowOff>
                  </from>
                  <to>
                    <xdr:col>103</xdr:col>
                    <xdr:colOff>99060</xdr:colOff>
                    <xdr:row>16</xdr:row>
                    <xdr:rowOff>617220</xdr:rowOff>
                  </to>
                </anchor>
              </controlPr>
            </control>
          </mc:Choice>
        </mc:AlternateContent>
        <mc:AlternateContent xmlns:mc="http://schemas.openxmlformats.org/markup-compatibility/2006">
          <mc:Choice Requires="x14">
            <control shapeId="4126735" r:id="rId18" name="Option Button 15">
              <controlPr defaultSize="0" autoFill="0" autoLine="0" autoPict="0">
                <anchor moveWithCells="1">
                  <from>
                    <xdr:col>33</xdr:col>
                    <xdr:colOff>236220</xdr:colOff>
                    <xdr:row>16</xdr:row>
                    <xdr:rowOff>381000</xdr:rowOff>
                  </from>
                  <to>
                    <xdr:col>103</xdr:col>
                    <xdr:colOff>7620</xdr:colOff>
                    <xdr:row>16</xdr:row>
                    <xdr:rowOff>617220</xdr:rowOff>
                  </to>
                </anchor>
              </controlPr>
            </control>
          </mc:Choice>
        </mc:AlternateContent>
        <mc:AlternateContent xmlns:mc="http://schemas.openxmlformats.org/markup-compatibility/2006">
          <mc:Choice Requires="x14">
            <control shapeId="4126736" r:id="rId19" name="GB421">
              <controlPr defaultSize="0" autoFill="0" autoPict="0">
                <anchor moveWithCells="1">
                  <from>
                    <xdr:col>31</xdr:col>
                    <xdr:colOff>53340</xdr:colOff>
                    <xdr:row>16</xdr:row>
                    <xdr:rowOff>167640</xdr:rowOff>
                  </from>
                  <to>
                    <xdr:col>108</xdr:col>
                    <xdr:colOff>45720</xdr:colOff>
                    <xdr:row>17</xdr:row>
                    <xdr:rowOff>91440</xdr:rowOff>
                  </to>
                </anchor>
              </controlPr>
            </control>
          </mc:Choice>
        </mc:AlternateContent>
        <mc:AlternateContent xmlns:mc="http://schemas.openxmlformats.org/markup-compatibility/2006">
          <mc:Choice Requires="x14">
            <control shapeId="4126737" r:id="rId20" name="Option Button 17">
              <controlPr defaultSize="0" autoFill="0" autoLine="0" autoPict="0">
                <anchor moveWithCells="1">
                  <from>
                    <xdr:col>31</xdr:col>
                    <xdr:colOff>236220</xdr:colOff>
                    <xdr:row>29</xdr:row>
                    <xdr:rowOff>579120</xdr:rowOff>
                  </from>
                  <to>
                    <xdr:col>103</xdr:col>
                    <xdr:colOff>99060</xdr:colOff>
                    <xdr:row>30</xdr:row>
                    <xdr:rowOff>411480</xdr:rowOff>
                  </to>
                </anchor>
              </controlPr>
            </control>
          </mc:Choice>
        </mc:AlternateContent>
        <mc:AlternateContent xmlns:mc="http://schemas.openxmlformats.org/markup-compatibility/2006">
          <mc:Choice Requires="x14">
            <control shapeId="4126738" r:id="rId21" name="Option Button 18">
              <controlPr defaultSize="0" autoFill="0" autoLine="0" autoPict="0">
                <anchor moveWithCells="1">
                  <from>
                    <xdr:col>32</xdr:col>
                    <xdr:colOff>236220</xdr:colOff>
                    <xdr:row>29</xdr:row>
                    <xdr:rowOff>579120</xdr:rowOff>
                  </from>
                  <to>
                    <xdr:col>103</xdr:col>
                    <xdr:colOff>99060</xdr:colOff>
                    <xdr:row>30</xdr:row>
                    <xdr:rowOff>411480</xdr:rowOff>
                  </to>
                </anchor>
              </controlPr>
            </control>
          </mc:Choice>
        </mc:AlternateContent>
        <mc:AlternateContent xmlns:mc="http://schemas.openxmlformats.org/markup-compatibility/2006">
          <mc:Choice Requires="x14">
            <control shapeId="4126739" r:id="rId22" name="Option Button 19">
              <controlPr defaultSize="0" autoFill="0" autoLine="0" autoPict="0">
                <anchor moveWithCells="1">
                  <from>
                    <xdr:col>33</xdr:col>
                    <xdr:colOff>236220</xdr:colOff>
                    <xdr:row>29</xdr:row>
                    <xdr:rowOff>579120</xdr:rowOff>
                  </from>
                  <to>
                    <xdr:col>103</xdr:col>
                    <xdr:colOff>7620</xdr:colOff>
                    <xdr:row>30</xdr:row>
                    <xdr:rowOff>411480</xdr:rowOff>
                  </to>
                </anchor>
              </controlPr>
            </control>
          </mc:Choice>
        </mc:AlternateContent>
        <mc:AlternateContent xmlns:mc="http://schemas.openxmlformats.org/markup-compatibility/2006">
          <mc:Choice Requires="x14">
            <control shapeId="4126740" r:id="rId23" name="GB422">
              <controlPr defaultSize="0" autoFill="0" autoPict="0">
                <anchor moveWithCells="1">
                  <from>
                    <xdr:col>31</xdr:col>
                    <xdr:colOff>99060</xdr:colOff>
                    <xdr:row>29</xdr:row>
                    <xdr:rowOff>220980</xdr:rowOff>
                  </from>
                  <to>
                    <xdr:col>108</xdr:col>
                    <xdr:colOff>38100</xdr:colOff>
                    <xdr:row>30</xdr:row>
                    <xdr:rowOff>411480</xdr:rowOff>
                  </to>
                </anchor>
              </controlPr>
            </control>
          </mc:Choice>
        </mc:AlternateContent>
        <mc:AlternateContent xmlns:mc="http://schemas.openxmlformats.org/markup-compatibility/2006">
          <mc:Choice Requires="x14">
            <control shapeId="4126741" r:id="rId24" name="Option Button 21">
              <controlPr defaultSize="0" autoFill="0" autoLine="0" autoPict="0">
                <anchor moveWithCells="1">
                  <from>
                    <xdr:col>31</xdr:col>
                    <xdr:colOff>236220</xdr:colOff>
                    <xdr:row>32</xdr:row>
                    <xdr:rowOff>731520</xdr:rowOff>
                  </from>
                  <to>
                    <xdr:col>103</xdr:col>
                    <xdr:colOff>99060</xdr:colOff>
                    <xdr:row>33</xdr:row>
                    <xdr:rowOff>236220</xdr:rowOff>
                  </to>
                </anchor>
              </controlPr>
            </control>
          </mc:Choice>
        </mc:AlternateContent>
        <mc:AlternateContent xmlns:mc="http://schemas.openxmlformats.org/markup-compatibility/2006">
          <mc:Choice Requires="x14">
            <control shapeId="4126742" r:id="rId25" name="Option Button 22">
              <controlPr defaultSize="0" autoFill="0" autoLine="0" autoPict="0">
                <anchor moveWithCells="1">
                  <from>
                    <xdr:col>32</xdr:col>
                    <xdr:colOff>236220</xdr:colOff>
                    <xdr:row>32</xdr:row>
                    <xdr:rowOff>731520</xdr:rowOff>
                  </from>
                  <to>
                    <xdr:col>103</xdr:col>
                    <xdr:colOff>99060</xdr:colOff>
                    <xdr:row>33</xdr:row>
                    <xdr:rowOff>236220</xdr:rowOff>
                  </to>
                </anchor>
              </controlPr>
            </control>
          </mc:Choice>
        </mc:AlternateContent>
        <mc:AlternateContent xmlns:mc="http://schemas.openxmlformats.org/markup-compatibility/2006">
          <mc:Choice Requires="x14">
            <control shapeId="4126743" r:id="rId26" name="Option Button 23">
              <controlPr defaultSize="0" autoFill="0" autoLine="0" autoPict="0">
                <anchor moveWithCells="1">
                  <from>
                    <xdr:col>33</xdr:col>
                    <xdr:colOff>236220</xdr:colOff>
                    <xdr:row>32</xdr:row>
                    <xdr:rowOff>731520</xdr:rowOff>
                  </from>
                  <to>
                    <xdr:col>103</xdr:col>
                    <xdr:colOff>7620</xdr:colOff>
                    <xdr:row>33</xdr:row>
                    <xdr:rowOff>236220</xdr:rowOff>
                  </to>
                </anchor>
              </controlPr>
            </control>
          </mc:Choice>
        </mc:AlternateContent>
        <mc:AlternateContent xmlns:mc="http://schemas.openxmlformats.org/markup-compatibility/2006">
          <mc:Choice Requires="x14">
            <control shapeId="4126744" r:id="rId27" name="GB512">
              <controlPr defaultSize="0" autoFill="0" autoPict="0">
                <anchor moveWithCells="1">
                  <from>
                    <xdr:col>31</xdr:col>
                    <xdr:colOff>30480</xdr:colOff>
                    <xdr:row>32</xdr:row>
                    <xdr:rowOff>457200</xdr:rowOff>
                  </from>
                  <to>
                    <xdr:col>108</xdr:col>
                    <xdr:colOff>106680</xdr:colOff>
                    <xdr:row>35</xdr:row>
                    <xdr:rowOff>83820</xdr:rowOff>
                  </to>
                </anchor>
              </controlPr>
            </control>
          </mc:Choice>
        </mc:AlternateContent>
        <mc:AlternateContent xmlns:mc="http://schemas.openxmlformats.org/markup-compatibility/2006">
          <mc:Choice Requires="x14">
            <control shapeId="4126745" r:id="rId28" name="Option Button 25">
              <controlPr defaultSize="0" autoFill="0" autoLine="0" autoPict="0">
                <anchor moveWithCells="1">
                  <from>
                    <xdr:col>31</xdr:col>
                    <xdr:colOff>236220</xdr:colOff>
                    <xdr:row>35</xdr:row>
                    <xdr:rowOff>449580</xdr:rowOff>
                  </from>
                  <to>
                    <xdr:col>103</xdr:col>
                    <xdr:colOff>99060</xdr:colOff>
                    <xdr:row>36</xdr:row>
                    <xdr:rowOff>182880</xdr:rowOff>
                  </to>
                </anchor>
              </controlPr>
            </control>
          </mc:Choice>
        </mc:AlternateContent>
        <mc:AlternateContent xmlns:mc="http://schemas.openxmlformats.org/markup-compatibility/2006">
          <mc:Choice Requires="x14">
            <control shapeId="4126746" r:id="rId29" name="Option Button 26">
              <controlPr defaultSize="0" autoFill="0" autoLine="0" autoPict="0">
                <anchor moveWithCells="1">
                  <from>
                    <xdr:col>32</xdr:col>
                    <xdr:colOff>236220</xdr:colOff>
                    <xdr:row>35</xdr:row>
                    <xdr:rowOff>1127760</xdr:rowOff>
                  </from>
                  <to>
                    <xdr:col>103</xdr:col>
                    <xdr:colOff>99060</xdr:colOff>
                    <xdr:row>38</xdr:row>
                    <xdr:rowOff>99060</xdr:rowOff>
                  </to>
                </anchor>
              </controlPr>
            </control>
          </mc:Choice>
        </mc:AlternateContent>
        <mc:AlternateContent xmlns:mc="http://schemas.openxmlformats.org/markup-compatibility/2006">
          <mc:Choice Requires="x14">
            <control shapeId="4126747" r:id="rId30" name="Option Button 27">
              <controlPr defaultSize="0" autoFill="0" autoLine="0" autoPict="0">
                <anchor moveWithCells="1">
                  <from>
                    <xdr:col>33</xdr:col>
                    <xdr:colOff>236220</xdr:colOff>
                    <xdr:row>35</xdr:row>
                    <xdr:rowOff>449580</xdr:rowOff>
                  </from>
                  <to>
                    <xdr:col>103</xdr:col>
                    <xdr:colOff>7620</xdr:colOff>
                    <xdr:row>36</xdr:row>
                    <xdr:rowOff>182880</xdr:rowOff>
                  </to>
                </anchor>
              </controlPr>
            </control>
          </mc:Choice>
        </mc:AlternateContent>
        <mc:AlternateContent xmlns:mc="http://schemas.openxmlformats.org/markup-compatibility/2006">
          <mc:Choice Requires="x14">
            <control shapeId="4126748" r:id="rId31" name="GB522">
              <controlPr defaultSize="0" autoFill="0" autoPict="0">
                <anchor moveWithCells="1">
                  <from>
                    <xdr:col>31</xdr:col>
                    <xdr:colOff>30480</xdr:colOff>
                    <xdr:row>35</xdr:row>
                    <xdr:rowOff>167640</xdr:rowOff>
                  </from>
                  <to>
                    <xdr:col>108</xdr:col>
                    <xdr:colOff>106680</xdr:colOff>
                    <xdr:row>38</xdr:row>
                    <xdr:rowOff>7620</xdr:rowOff>
                  </to>
                </anchor>
              </controlPr>
            </control>
          </mc:Choice>
        </mc:AlternateContent>
        <mc:AlternateContent xmlns:mc="http://schemas.openxmlformats.org/markup-compatibility/2006">
          <mc:Choice Requires="x14">
            <control shapeId="4126749" r:id="rId32" name="Option Button 29">
              <controlPr defaultSize="0" autoFill="0" autoLine="0" autoPict="0">
                <anchor moveWithCells="1">
                  <from>
                    <xdr:col>31</xdr:col>
                    <xdr:colOff>236220</xdr:colOff>
                    <xdr:row>27</xdr:row>
                    <xdr:rowOff>678180</xdr:rowOff>
                  </from>
                  <to>
                    <xdr:col>103</xdr:col>
                    <xdr:colOff>99060</xdr:colOff>
                    <xdr:row>27</xdr:row>
                    <xdr:rowOff>693420</xdr:rowOff>
                  </to>
                </anchor>
              </controlPr>
            </control>
          </mc:Choice>
        </mc:AlternateContent>
        <mc:AlternateContent xmlns:mc="http://schemas.openxmlformats.org/markup-compatibility/2006">
          <mc:Choice Requires="x14">
            <control shapeId="4126750" r:id="rId33" name="Option Button 30">
              <controlPr defaultSize="0" autoFill="0" autoLine="0" autoPict="0">
                <anchor moveWithCells="1">
                  <from>
                    <xdr:col>32</xdr:col>
                    <xdr:colOff>236220</xdr:colOff>
                    <xdr:row>27</xdr:row>
                    <xdr:rowOff>678180</xdr:rowOff>
                  </from>
                  <to>
                    <xdr:col>103</xdr:col>
                    <xdr:colOff>99060</xdr:colOff>
                    <xdr:row>27</xdr:row>
                    <xdr:rowOff>693420</xdr:rowOff>
                  </to>
                </anchor>
              </controlPr>
            </control>
          </mc:Choice>
        </mc:AlternateContent>
        <mc:AlternateContent xmlns:mc="http://schemas.openxmlformats.org/markup-compatibility/2006">
          <mc:Choice Requires="x14">
            <control shapeId="4126751" r:id="rId34" name="Option Button 31">
              <controlPr defaultSize="0" autoFill="0" autoLine="0" autoPict="0">
                <anchor moveWithCells="1">
                  <from>
                    <xdr:col>33</xdr:col>
                    <xdr:colOff>236220</xdr:colOff>
                    <xdr:row>27</xdr:row>
                    <xdr:rowOff>678180</xdr:rowOff>
                  </from>
                  <to>
                    <xdr:col>103</xdr:col>
                    <xdr:colOff>7620</xdr:colOff>
                    <xdr:row>27</xdr:row>
                    <xdr:rowOff>693420</xdr:rowOff>
                  </to>
                </anchor>
              </controlPr>
            </control>
          </mc:Choice>
        </mc:AlternateContent>
        <mc:AlternateContent xmlns:mc="http://schemas.openxmlformats.org/markup-compatibility/2006">
          <mc:Choice Requires="x14">
            <control shapeId="4126752" r:id="rId35" name="GB621">
              <controlPr defaultSize="0" autoFill="0" autoPict="0">
                <anchor moveWithCells="1">
                  <from>
                    <xdr:col>31</xdr:col>
                    <xdr:colOff>144780</xdr:colOff>
                    <xdr:row>27</xdr:row>
                    <xdr:rowOff>381000</xdr:rowOff>
                  </from>
                  <to>
                    <xdr:col>107</xdr:col>
                    <xdr:colOff>289560</xdr:colOff>
                    <xdr:row>27</xdr:row>
                    <xdr:rowOff>693420</xdr:rowOff>
                  </to>
                </anchor>
              </controlPr>
            </control>
          </mc:Choice>
        </mc:AlternateContent>
        <mc:AlternateContent xmlns:mc="http://schemas.openxmlformats.org/markup-compatibility/2006">
          <mc:Choice Requires="x14">
            <control shapeId="4126753" r:id="rId36" name="Option Button 33">
              <controlPr defaultSize="0" autoFill="0" autoLine="0" autoPict="0">
                <anchor moveWithCells="1">
                  <from>
                    <xdr:col>31</xdr:col>
                    <xdr:colOff>259080</xdr:colOff>
                    <xdr:row>23</xdr:row>
                    <xdr:rowOff>937260</xdr:rowOff>
                  </from>
                  <to>
                    <xdr:col>103</xdr:col>
                    <xdr:colOff>106680</xdr:colOff>
                    <xdr:row>24</xdr:row>
                    <xdr:rowOff>0</xdr:rowOff>
                  </to>
                </anchor>
              </controlPr>
            </control>
          </mc:Choice>
        </mc:AlternateContent>
        <mc:AlternateContent xmlns:mc="http://schemas.openxmlformats.org/markup-compatibility/2006">
          <mc:Choice Requires="x14">
            <control shapeId="4126754" r:id="rId37" name="Option Button 34">
              <controlPr defaultSize="0" autoFill="0" autoLine="0" autoPict="0">
                <anchor moveWithCells="1">
                  <from>
                    <xdr:col>32</xdr:col>
                    <xdr:colOff>259080</xdr:colOff>
                    <xdr:row>23</xdr:row>
                    <xdr:rowOff>937260</xdr:rowOff>
                  </from>
                  <to>
                    <xdr:col>103</xdr:col>
                    <xdr:colOff>106680</xdr:colOff>
                    <xdr:row>24</xdr:row>
                    <xdr:rowOff>0</xdr:rowOff>
                  </to>
                </anchor>
              </controlPr>
            </control>
          </mc:Choice>
        </mc:AlternateContent>
        <mc:AlternateContent xmlns:mc="http://schemas.openxmlformats.org/markup-compatibility/2006">
          <mc:Choice Requires="x14">
            <control shapeId="4126755" r:id="rId38" name="Option Button 35">
              <controlPr defaultSize="0" autoFill="0" autoLine="0" autoPict="0">
                <anchor moveWithCells="1">
                  <from>
                    <xdr:col>33</xdr:col>
                    <xdr:colOff>259080</xdr:colOff>
                    <xdr:row>23</xdr:row>
                    <xdr:rowOff>937260</xdr:rowOff>
                  </from>
                  <to>
                    <xdr:col>103</xdr:col>
                    <xdr:colOff>0</xdr:colOff>
                    <xdr:row>24</xdr:row>
                    <xdr:rowOff>0</xdr:rowOff>
                  </to>
                </anchor>
              </controlPr>
            </control>
          </mc:Choice>
        </mc:AlternateContent>
        <mc:AlternateContent xmlns:mc="http://schemas.openxmlformats.org/markup-compatibility/2006">
          <mc:Choice Requires="x14">
            <control shapeId="4126756" r:id="rId39" name="GB631">
              <controlPr defaultSize="0" autoFill="0" autoPict="0">
                <anchor moveWithCells="1">
                  <from>
                    <xdr:col>31</xdr:col>
                    <xdr:colOff>99060</xdr:colOff>
                    <xdr:row>39</xdr:row>
                    <xdr:rowOff>655320</xdr:rowOff>
                  </from>
                  <to>
                    <xdr:col>108</xdr:col>
                    <xdr:colOff>38100</xdr:colOff>
                    <xdr:row>45</xdr:row>
                    <xdr:rowOff>45720</xdr:rowOff>
                  </to>
                </anchor>
              </controlPr>
            </control>
          </mc:Choice>
        </mc:AlternateContent>
        <mc:AlternateContent xmlns:mc="http://schemas.openxmlformats.org/markup-compatibility/2006">
          <mc:Choice Requires="x14">
            <control shapeId="4126757" r:id="rId40" name="Option Button 37">
              <controlPr defaultSize="0" autoFill="0" autoLine="0" autoPict="0">
                <anchor moveWithCells="1">
                  <from>
                    <xdr:col>31</xdr:col>
                    <xdr:colOff>259080</xdr:colOff>
                    <xdr:row>25</xdr:row>
                    <xdr:rowOff>647700</xdr:rowOff>
                  </from>
                  <to>
                    <xdr:col>103</xdr:col>
                    <xdr:colOff>106680</xdr:colOff>
                    <xdr:row>26</xdr:row>
                    <xdr:rowOff>0</xdr:rowOff>
                  </to>
                </anchor>
              </controlPr>
            </control>
          </mc:Choice>
        </mc:AlternateContent>
        <mc:AlternateContent xmlns:mc="http://schemas.openxmlformats.org/markup-compatibility/2006">
          <mc:Choice Requires="x14">
            <control shapeId="4126758" r:id="rId41" name="Option Button 38">
              <controlPr defaultSize="0" autoFill="0" autoLine="0" autoPict="0">
                <anchor moveWithCells="1">
                  <from>
                    <xdr:col>32</xdr:col>
                    <xdr:colOff>259080</xdr:colOff>
                    <xdr:row>25</xdr:row>
                    <xdr:rowOff>647700</xdr:rowOff>
                  </from>
                  <to>
                    <xdr:col>103</xdr:col>
                    <xdr:colOff>106680</xdr:colOff>
                    <xdr:row>26</xdr:row>
                    <xdr:rowOff>0</xdr:rowOff>
                  </to>
                </anchor>
              </controlPr>
            </control>
          </mc:Choice>
        </mc:AlternateContent>
        <mc:AlternateContent xmlns:mc="http://schemas.openxmlformats.org/markup-compatibility/2006">
          <mc:Choice Requires="x14">
            <control shapeId="4126759" r:id="rId42" name="Option Button 39">
              <controlPr defaultSize="0" autoFill="0" autoLine="0" autoPict="0">
                <anchor moveWithCells="1">
                  <from>
                    <xdr:col>33</xdr:col>
                    <xdr:colOff>259080</xdr:colOff>
                    <xdr:row>25</xdr:row>
                    <xdr:rowOff>647700</xdr:rowOff>
                  </from>
                  <to>
                    <xdr:col>103</xdr:col>
                    <xdr:colOff>0</xdr:colOff>
                    <xdr:row>26</xdr:row>
                    <xdr:rowOff>0</xdr:rowOff>
                  </to>
                </anchor>
              </controlPr>
            </control>
          </mc:Choice>
        </mc:AlternateContent>
        <mc:AlternateContent xmlns:mc="http://schemas.openxmlformats.org/markup-compatibility/2006">
          <mc:Choice Requires="x14">
            <control shapeId="4126760" r:id="rId43" name="GB721">
              <controlPr defaultSize="0" autoFill="0" autoPict="0">
                <anchor moveWithCells="1">
                  <from>
                    <xdr:col>31</xdr:col>
                    <xdr:colOff>99060</xdr:colOff>
                    <xdr:row>25</xdr:row>
                    <xdr:rowOff>373380</xdr:rowOff>
                  </from>
                  <to>
                    <xdr:col>108</xdr:col>
                    <xdr:colOff>38100</xdr:colOff>
                    <xdr:row>26</xdr:row>
                    <xdr:rowOff>38100</xdr:rowOff>
                  </to>
                </anchor>
              </controlPr>
            </control>
          </mc:Choice>
        </mc:AlternateContent>
        <mc:AlternateContent xmlns:mc="http://schemas.openxmlformats.org/markup-compatibility/2006">
          <mc:Choice Requires="x14">
            <control shapeId="4126761" r:id="rId44" name="Option Button 41">
              <controlPr defaultSize="0" autoFill="0" autoLine="0" autoPict="0">
                <anchor moveWithCells="1">
                  <from>
                    <xdr:col>31</xdr:col>
                    <xdr:colOff>236220</xdr:colOff>
                    <xdr:row>26</xdr:row>
                    <xdr:rowOff>617220</xdr:rowOff>
                  </from>
                  <to>
                    <xdr:col>103</xdr:col>
                    <xdr:colOff>99060</xdr:colOff>
                    <xdr:row>26</xdr:row>
                    <xdr:rowOff>693420</xdr:rowOff>
                  </to>
                </anchor>
              </controlPr>
            </control>
          </mc:Choice>
        </mc:AlternateContent>
        <mc:AlternateContent xmlns:mc="http://schemas.openxmlformats.org/markup-compatibility/2006">
          <mc:Choice Requires="x14">
            <control shapeId="4126762" r:id="rId45" name="Option Button 42">
              <controlPr defaultSize="0" autoFill="0" autoLine="0" autoPict="0">
                <anchor moveWithCells="1">
                  <from>
                    <xdr:col>32</xdr:col>
                    <xdr:colOff>236220</xdr:colOff>
                    <xdr:row>26</xdr:row>
                    <xdr:rowOff>617220</xdr:rowOff>
                  </from>
                  <to>
                    <xdr:col>103</xdr:col>
                    <xdr:colOff>99060</xdr:colOff>
                    <xdr:row>26</xdr:row>
                    <xdr:rowOff>693420</xdr:rowOff>
                  </to>
                </anchor>
              </controlPr>
            </control>
          </mc:Choice>
        </mc:AlternateContent>
        <mc:AlternateContent xmlns:mc="http://schemas.openxmlformats.org/markup-compatibility/2006">
          <mc:Choice Requires="x14">
            <control shapeId="4126763" r:id="rId46" name="Option Button 43">
              <controlPr defaultSize="0" autoFill="0" autoLine="0" autoPict="0">
                <anchor moveWithCells="1">
                  <from>
                    <xdr:col>33</xdr:col>
                    <xdr:colOff>236220</xdr:colOff>
                    <xdr:row>26</xdr:row>
                    <xdr:rowOff>617220</xdr:rowOff>
                  </from>
                  <to>
                    <xdr:col>103</xdr:col>
                    <xdr:colOff>7620</xdr:colOff>
                    <xdr:row>26</xdr:row>
                    <xdr:rowOff>693420</xdr:rowOff>
                  </to>
                </anchor>
              </controlPr>
            </control>
          </mc:Choice>
        </mc:AlternateContent>
        <mc:AlternateContent xmlns:mc="http://schemas.openxmlformats.org/markup-compatibility/2006">
          <mc:Choice Requires="x14">
            <control shapeId="4126764" r:id="rId47" name="GB722">
              <controlPr defaultSize="0" autoFill="0" autoPict="0">
                <anchor moveWithCells="1">
                  <from>
                    <xdr:col>31</xdr:col>
                    <xdr:colOff>99060</xdr:colOff>
                    <xdr:row>26</xdr:row>
                    <xdr:rowOff>342900</xdr:rowOff>
                  </from>
                  <to>
                    <xdr:col>108</xdr:col>
                    <xdr:colOff>38100</xdr:colOff>
                    <xdr:row>26</xdr:row>
                    <xdr:rowOff>693420</xdr:rowOff>
                  </to>
                </anchor>
              </controlPr>
            </control>
          </mc:Choice>
        </mc:AlternateContent>
        <mc:AlternateContent xmlns:mc="http://schemas.openxmlformats.org/markup-compatibility/2006">
          <mc:Choice Requires="x14">
            <control shapeId="4126765" r:id="rId48" name="Option Button 45">
              <controlPr defaultSize="0" autoFill="0" autoLine="0" autoPict="0">
                <anchor moveWithCells="1">
                  <from>
                    <xdr:col>31</xdr:col>
                    <xdr:colOff>236220</xdr:colOff>
                    <xdr:row>30</xdr:row>
                    <xdr:rowOff>381000</xdr:rowOff>
                  </from>
                  <to>
                    <xdr:col>103</xdr:col>
                    <xdr:colOff>99060</xdr:colOff>
                    <xdr:row>30</xdr:row>
                    <xdr:rowOff>632460</xdr:rowOff>
                  </to>
                </anchor>
              </controlPr>
            </control>
          </mc:Choice>
        </mc:AlternateContent>
        <mc:AlternateContent xmlns:mc="http://schemas.openxmlformats.org/markup-compatibility/2006">
          <mc:Choice Requires="x14">
            <control shapeId="4126766" r:id="rId49" name="Option Button 46">
              <controlPr defaultSize="0" autoFill="0" autoLine="0" autoPict="0">
                <anchor moveWithCells="1">
                  <from>
                    <xdr:col>32</xdr:col>
                    <xdr:colOff>236220</xdr:colOff>
                    <xdr:row>30</xdr:row>
                    <xdr:rowOff>381000</xdr:rowOff>
                  </from>
                  <to>
                    <xdr:col>103</xdr:col>
                    <xdr:colOff>99060</xdr:colOff>
                    <xdr:row>30</xdr:row>
                    <xdr:rowOff>632460</xdr:rowOff>
                  </to>
                </anchor>
              </controlPr>
            </control>
          </mc:Choice>
        </mc:AlternateContent>
        <mc:AlternateContent xmlns:mc="http://schemas.openxmlformats.org/markup-compatibility/2006">
          <mc:Choice Requires="x14">
            <control shapeId="4126767" r:id="rId50" name="Option Button 47">
              <controlPr defaultSize="0" autoFill="0" autoLine="0" autoPict="0">
                <anchor moveWithCells="1">
                  <from>
                    <xdr:col>33</xdr:col>
                    <xdr:colOff>236220</xdr:colOff>
                    <xdr:row>30</xdr:row>
                    <xdr:rowOff>381000</xdr:rowOff>
                  </from>
                  <to>
                    <xdr:col>103</xdr:col>
                    <xdr:colOff>7620</xdr:colOff>
                    <xdr:row>30</xdr:row>
                    <xdr:rowOff>632460</xdr:rowOff>
                  </to>
                </anchor>
              </controlPr>
            </control>
          </mc:Choice>
        </mc:AlternateContent>
        <mc:AlternateContent xmlns:mc="http://schemas.openxmlformats.org/markup-compatibility/2006">
          <mc:Choice Requires="x14">
            <control shapeId="4126768" r:id="rId51" name="GB821">
              <controlPr defaultSize="0" autoFill="0" autoPict="0">
                <anchor moveWithCells="1">
                  <from>
                    <xdr:col>31</xdr:col>
                    <xdr:colOff>99060</xdr:colOff>
                    <xdr:row>30</xdr:row>
                    <xdr:rowOff>106680</xdr:rowOff>
                  </from>
                  <to>
                    <xdr:col>108</xdr:col>
                    <xdr:colOff>76200</xdr:colOff>
                    <xdr:row>31</xdr:row>
                    <xdr:rowOff>167640</xdr:rowOff>
                  </to>
                </anchor>
              </controlPr>
            </control>
          </mc:Choice>
        </mc:AlternateContent>
        <mc:AlternateContent xmlns:mc="http://schemas.openxmlformats.org/markup-compatibility/2006">
          <mc:Choice Requires="x14">
            <control shapeId="4126769" r:id="rId52" name="Option Button 49">
              <controlPr defaultSize="0" autoFill="0" autoLine="0" autoPict="0">
                <anchor moveWithCells="1">
                  <from>
                    <xdr:col>31</xdr:col>
                    <xdr:colOff>236220</xdr:colOff>
                    <xdr:row>34</xdr:row>
                    <xdr:rowOff>236220</xdr:rowOff>
                  </from>
                  <to>
                    <xdr:col>103</xdr:col>
                    <xdr:colOff>99060</xdr:colOff>
                    <xdr:row>35</xdr:row>
                    <xdr:rowOff>0</xdr:rowOff>
                  </to>
                </anchor>
              </controlPr>
            </control>
          </mc:Choice>
        </mc:AlternateContent>
        <mc:AlternateContent xmlns:mc="http://schemas.openxmlformats.org/markup-compatibility/2006">
          <mc:Choice Requires="x14">
            <control shapeId="4126770" r:id="rId53" name="Option Button 50">
              <controlPr defaultSize="0" autoFill="0" autoLine="0" autoPict="0">
                <anchor moveWithCells="1">
                  <from>
                    <xdr:col>32</xdr:col>
                    <xdr:colOff>236220</xdr:colOff>
                    <xdr:row>34</xdr:row>
                    <xdr:rowOff>236220</xdr:rowOff>
                  </from>
                  <to>
                    <xdr:col>103</xdr:col>
                    <xdr:colOff>99060</xdr:colOff>
                    <xdr:row>35</xdr:row>
                    <xdr:rowOff>0</xdr:rowOff>
                  </to>
                </anchor>
              </controlPr>
            </control>
          </mc:Choice>
        </mc:AlternateContent>
        <mc:AlternateContent xmlns:mc="http://schemas.openxmlformats.org/markup-compatibility/2006">
          <mc:Choice Requires="x14">
            <control shapeId="4126771" r:id="rId54" name="Option Button 51">
              <controlPr defaultSize="0" autoFill="0" autoLine="0" autoPict="0">
                <anchor moveWithCells="1">
                  <from>
                    <xdr:col>33</xdr:col>
                    <xdr:colOff>236220</xdr:colOff>
                    <xdr:row>34</xdr:row>
                    <xdr:rowOff>236220</xdr:rowOff>
                  </from>
                  <to>
                    <xdr:col>103</xdr:col>
                    <xdr:colOff>7620</xdr:colOff>
                    <xdr:row>35</xdr:row>
                    <xdr:rowOff>0</xdr:rowOff>
                  </to>
                </anchor>
              </controlPr>
            </control>
          </mc:Choice>
        </mc:AlternateContent>
        <mc:AlternateContent xmlns:mc="http://schemas.openxmlformats.org/markup-compatibility/2006">
          <mc:Choice Requires="x14">
            <control shapeId="4126772" r:id="rId55" name="GB822">
              <controlPr defaultSize="0" autoFill="0" autoPict="0">
                <anchor moveWithCells="1">
                  <from>
                    <xdr:col>31</xdr:col>
                    <xdr:colOff>99060</xdr:colOff>
                    <xdr:row>34</xdr:row>
                    <xdr:rowOff>175260</xdr:rowOff>
                  </from>
                  <to>
                    <xdr:col>108</xdr:col>
                    <xdr:colOff>38100</xdr:colOff>
                    <xdr:row>35</xdr:row>
                    <xdr:rowOff>7620</xdr:rowOff>
                  </to>
                </anchor>
              </controlPr>
            </control>
          </mc:Choice>
        </mc:AlternateContent>
        <mc:AlternateContent xmlns:mc="http://schemas.openxmlformats.org/markup-compatibility/2006">
          <mc:Choice Requires="x14">
            <control shapeId="4126773" r:id="rId56" name="Option Button 53">
              <controlPr defaultSize="0" autoFill="0" autoLine="0" autoPict="0">
                <anchor moveWithCells="1">
                  <from>
                    <xdr:col>31</xdr:col>
                    <xdr:colOff>236220</xdr:colOff>
                    <xdr:row>46</xdr:row>
                    <xdr:rowOff>365760</xdr:rowOff>
                  </from>
                  <to>
                    <xdr:col>103</xdr:col>
                    <xdr:colOff>99060</xdr:colOff>
                    <xdr:row>47</xdr:row>
                    <xdr:rowOff>327660</xdr:rowOff>
                  </to>
                </anchor>
              </controlPr>
            </control>
          </mc:Choice>
        </mc:AlternateContent>
        <mc:AlternateContent xmlns:mc="http://schemas.openxmlformats.org/markup-compatibility/2006">
          <mc:Choice Requires="x14">
            <control shapeId="4126774" r:id="rId57" name="Option Button 54">
              <controlPr defaultSize="0" autoFill="0" autoLine="0" autoPict="0">
                <anchor moveWithCells="1">
                  <from>
                    <xdr:col>32</xdr:col>
                    <xdr:colOff>236220</xdr:colOff>
                    <xdr:row>46</xdr:row>
                    <xdr:rowOff>365760</xdr:rowOff>
                  </from>
                  <to>
                    <xdr:col>103</xdr:col>
                    <xdr:colOff>99060</xdr:colOff>
                    <xdr:row>47</xdr:row>
                    <xdr:rowOff>327660</xdr:rowOff>
                  </to>
                </anchor>
              </controlPr>
            </control>
          </mc:Choice>
        </mc:AlternateContent>
        <mc:AlternateContent xmlns:mc="http://schemas.openxmlformats.org/markup-compatibility/2006">
          <mc:Choice Requires="x14">
            <control shapeId="4126775" r:id="rId58" name="Option Button 55">
              <controlPr defaultSize="0" autoFill="0" autoLine="0" autoPict="0">
                <anchor moveWithCells="1">
                  <from>
                    <xdr:col>33</xdr:col>
                    <xdr:colOff>236220</xdr:colOff>
                    <xdr:row>46</xdr:row>
                    <xdr:rowOff>365760</xdr:rowOff>
                  </from>
                  <to>
                    <xdr:col>103</xdr:col>
                    <xdr:colOff>7620</xdr:colOff>
                    <xdr:row>47</xdr:row>
                    <xdr:rowOff>327660</xdr:rowOff>
                  </to>
                </anchor>
              </controlPr>
            </control>
          </mc:Choice>
        </mc:AlternateContent>
        <mc:AlternateContent xmlns:mc="http://schemas.openxmlformats.org/markup-compatibility/2006">
          <mc:Choice Requires="x14">
            <control shapeId="4126776" r:id="rId59" name="GB911">
              <controlPr defaultSize="0" autoFill="0" autoPict="0">
                <anchor moveWithCells="1">
                  <from>
                    <xdr:col>31</xdr:col>
                    <xdr:colOff>99060</xdr:colOff>
                    <xdr:row>46</xdr:row>
                    <xdr:rowOff>274320</xdr:rowOff>
                  </from>
                  <to>
                    <xdr:col>108</xdr:col>
                    <xdr:colOff>38100</xdr:colOff>
                    <xdr:row>47</xdr:row>
                    <xdr:rowOff>327660</xdr:rowOff>
                  </to>
                </anchor>
              </controlPr>
            </control>
          </mc:Choice>
        </mc:AlternateContent>
        <mc:AlternateContent xmlns:mc="http://schemas.openxmlformats.org/markup-compatibility/2006">
          <mc:Choice Requires="x14">
            <control shapeId="4126777" r:id="rId60" name="Option Button 57">
              <controlPr defaultSize="0" autoFill="0" autoLine="0" autoPict="0">
                <anchor moveWithCells="1">
                  <from>
                    <xdr:col>31</xdr:col>
                    <xdr:colOff>236220</xdr:colOff>
                    <xdr:row>47</xdr:row>
                    <xdr:rowOff>304800</xdr:rowOff>
                  </from>
                  <to>
                    <xdr:col>103</xdr:col>
                    <xdr:colOff>99060</xdr:colOff>
                    <xdr:row>47</xdr:row>
                    <xdr:rowOff>822960</xdr:rowOff>
                  </to>
                </anchor>
              </controlPr>
            </control>
          </mc:Choice>
        </mc:AlternateContent>
        <mc:AlternateContent xmlns:mc="http://schemas.openxmlformats.org/markup-compatibility/2006">
          <mc:Choice Requires="x14">
            <control shapeId="4126778" r:id="rId61" name="Option Button 58">
              <controlPr defaultSize="0" autoFill="0" autoLine="0" autoPict="0">
                <anchor moveWithCells="1">
                  <from>
                    <xdr:col>32</xdr:col>
                    <xdr:colOff>236220</xdr:colOff>
                    <xdr:row>47</xdr:row>
                    <xdr:rowOff>304800</xdr:rowOff>
                  </from>
                  <to>
                    <xdr:col>103</xdr:col>
                    <xdr:colOff>99060</xdr:colOff>
                    <xdr:row>47</xdr:row>
                    <xdr:rowOff>822960</xdr:rowOff>
                  </to>
                </anchor>
              </controlPr>
            </control>
          </mc:Choice>
        </mc:AlternateContent>
        <mc:AlternateContent xmlns:mc="http://schemas.openxmlformats.org/markup-compatibility/2006">
          <mc:Choice Requires="x14">
            <control shapeId="4126779" r:id="rId62" name="Option Button 59">
              <controlPr defaultSize="0" autoFill="0" autoLine="0" autoPict="0">
                <anchor moveWithCells="1">
                  <from>
                    <xdr:col>33</xdr:col>
                    <xdr:colOff>236220</xdr:colOff>
                    <xdr:row>47</xdr:row>
                    <xdr:rowOff>304800</xdr:rowOff>
                  </from>
                  <to>
                    <xdr:col>103</xdr:col>
                    <xdr:colOff>7620</xdr:colOff>
                    <xdr:row>47</xdr:row>
                    <xdr:rowOff>822960</xdr:rowOff>
                  </to>
                </anchor>
              </controlPr>
            </control>
          </mc:Choice>
        </mc:AlternateContent>
        <mc:AlternateContent xmlns:mc="http://schemas.openxmlformats.org/markup-compatibility/2006">
          <mc:Choice Requires="x14">
            <control shapeId="4126780" r:id="rId63" name="GB912">
              <controlPr defaultSize="0" autoFill="0" autoPict="0">
                <anchor moveWithCells="1">
                  <from>
                    <xdr:col>31</xdr:col>
                    <xdr:colOff>99060</xdr:colOff>
                    <xdr:row>47</xdr:row>
                    <xdr:rowOff>160020</xdr:rowOff>
                  </from>
                  <to>
                    <xdr:col>108</xdr:col>
                    <xdr:colOff>38100</xdr:colOff>
                    <xdr:row>47</xdr:row>
                    <xdr:rowOff>815340</xdr:rowOff>
                  </to>
                </anchor>
              </controlPr>
            </control>
          </mc:Choice>
        </mc:AlternateContent>
        <mc:AlternateContent xmlns:mc="http://schemas.openxmlformats.org/markup-compatibility/2006">
          <mc:Choice Requires="x14">
            <control shapeId="4126781" r:id="rId64" name="Option Button 61">
              <controlPr defaultSize="0" autoFill="0" autoLine="0" autoPict="0">
                <anchor moveWithCells="1">
                  <from>
                    <xdr:col>31</xdr:col>
                    <xdr:colOff>259080</xdr:colOff>
                    <xdr:row>48</xdr:row>
                    <xdr:rowOff>342900</xdr:rowOff>
                  </from>
                  <to>
                    <xdr:col>103</xdr:col>
                    <xdr:colOff>106680</xdr:colOff>
                    <xdr:row>48</xdr:row>
                    <xdr:rowOff>952500</xdr:rowOff>
                  </to>
                </anchor>
              </controlPr>
            </control>
          </mc:Choice>
        </mc:AlternateContent>
        <mc:AlternateContent xmlns:mc="http://schemas.openxmlformats.org/markup-compatibility/2006">
          <mc:Choice Requires="x14">
            <control shapeId="4126782" r:id="rId65" name="Option Button 62">
              <controlPr defaultSize="0" autoFill="0" autoLine="0" autoPict="0">
                <anchor moveWithCells="1">
                  <from>
                    <xdr:col>32</xdr:col>
                    <xdr:colOff>236220</xdr:colOff>
                    <xdr:row>48</xdr:row>
                    <xdr:rowOff>342900</xdr:rowOff>
                  </from>
                  <to>
                    <xdr:col>103</xdr:col>
                    <xdr:colOff>99060</xdr:colOff>
                    <xdr:row>48</xdr:row>
                    <xdr:rowOff>952500</xdr:rowOff>
                  </to>
                </anchor>
              </controlPr>
            </control>
          </mc:Choice>
        </mc:AlternateContent>
        <mc:AlternateContent xmlns:mc="http://schemas.openxmlformats.org/markup-compatibility/2006">
          <mc:Choice Requires="x14">
            <control shapeId="4126783" r:id="rId66" name="Option Button 63">
              <controlPr defaultSize="0" autoFill="0" autoLine="0" autoPict="0">
                <anchor moveWithCells="1">
                  <from>
                    <xdr:col>33</xdr:col>
                    <xdr:colOff>236220</xdr:colOff>
                    <xdr:row>48</xdr:row>
                    <xdr:rowOff>342900</xdr:rowOff>
                  </from>
                  <to>
                    <xdr:col>103</xdr:col>
                    <xdr:colOff>7620</xdr:colOff>
                    <xdr:row>48</xdr:row>
                    <xdr:rowOff>952500</xdr:rowOff>
                  </to>
                </anchor>
              </controlPr>
            </control>
          </mc:Choice>
        </mc:AlternateContent>
        <mc:AlternateContent xmlns:mc="http://schemas.openxmlformats.org/markup-compatibility/2006">
          <mc:Choice Requires="x14">
            <control shapeId="4126784" r:id="rId67" name="GB913">
              <controlPr defaultSize="0" autoFill="0" autoPict="0">
                <anchor moveWithCells="1">
                  <from>
                    <xdr:col>31</xdr:col>
                    <xdr:colOff>99060</xdr:colOff>
                    <xdr:row>48</xdr:row>
                    <xdr:rowOff>236220</xdr:rowOff>
                  </from>
                  <to>
                    <xdr:col>108</xdr:col>
                    <xdr:colOff>38100</xdr:colOff>
                    <xdr:row>48</xdr:row>
                    <xdr:rowOff>952500</xdr:rowOff>
                  </to>
                </anchor>
              </controlPr>
            </control>
          </mc:Choice>
        </mc:AlternateContent>
        <mc:AlternateContent xmlns:mc="http://schemas.openxmlformats.org/markup-compatibility/2006">
          <mc:Choice Requires="x14">
            <control shapeId="4126785" r:id="rId68" name="Option Button 65">
              <controlPr defaultSize="0" autoFill="0" autoLine="0" autoPict="0">
                <anchor moveWithCells="1">
                  <from>
                    <xdr:col>31</xdr:col>
                    <xdr:colOff>236220</xdr:colOff>
                    <xdr:row>49</xdr:row>
                    <xdr:rowOff>754380</xdr:rowOff>
                  </from>
                  <to>
                    <xdr:col>103</xdr:col>
                    <xdr:colOff>99060</xdr:colOff>
                    <xdr:row>50</xdr:row>
                    <xdr:rowOff>632460</xdr:rowOff>
                  </to>
                </anchor>
              </controlPr>
            </control>
          </mc:Choice>
        </mc:AlternateContent>
        <mc:AlternateContent xmlns:mc="http://schemas.openxmlformats.org/markup-compatibility/2006">
          <mc:Choice Requires="x14">
            <control shapeId="4126786" r:id="rId69" name="Option Button 66">
              <controlPr defaultSize="0" autoFill="0" autoLine="0" autoPict="0">
                <anchor moveWithCells="1">
                  <from>
                    <xdr:col>32</xdr:col>
                    <xdr:colOff>236220</xdr:colOff>
                    <xdr:row>49</xdr:row>
                    <xdr:rowOff>754380</xdr:rowOff>
                  </from>
                  <to>
                    <xdr:col>103</xdr:col>
                    <xdr:colOff>99060</xdr:colOff>
                    <xdr:row>50</xdr:row>
                    <xdr:rowOff>632460</xdr:rowOff>
                  </to>
                </anchor>
              </controlPr>
            </control>
          </mc:Choice>
        </mc:AlternateContent>
        <mc:AlternateContent xmlns:mc="http://schemas.openxmlformats.org/markup-compatibility/2006">
          <mc:Choice Requires="x14">
            <control shapeId="4126787" r:id="rId70" name="Option Button 67">
              <controlPr defaultSize="0" autoFill="0" autoLine="0" autoPict="0">
                <anchor moveWithCells="1">
                  <from>
                    <xdr:col>33</xdr:col>
                    <xdr:colOff>236220</xdr:colOff>
                    <xdr:row>49</xdr:row>
                    <xdr:rowOff>754380</xdr:rowOff>
                  </from>
                  <to>
                    <xdr:col>103</xdr:col>
                    <xdr:colOff>7620</xdr:colOff>
                    <xdr:row>50</xdr:row>
                    <xdr:rowOff>632460</xdr:rowOff>
                  </to>
                </anchor>
              </controlPr>
            </control>
          </mc:Choice>
        </mc:AlternateContent>
        <mc:AlternateContent xmlns:mc="http://schemas.openxmlformats.org/markup-compatibility/2006">
          <mc:Choice Requires="x14">
            <control shapeId="4126788" r:id="rId71" name="GB914">
              <controlPr defaultSize="0" autoFill="0" autoPict="0">
                <anchor moveWithCells="1">
                  <from>
                    <xdr:col>31</xdr:col>
                    <xdr:colOff>99060</xdr:colOff>
                    <xdr:row>49</xdr:row>
                    <xdr:rowOff>632460</xdr:rowOff>
                  </from>
                  <to>
                    <xdr:col>108</xdr:col>
                    <xdr:colOff>38100</xdr:colOff>
                    <xdr:row>52</xdr:row>
                    <xdr:rowOff>76200</xdr:rowOff>
                  </to>
                </anchor>
              </controlPr>
            </control>
          </mc:Choice>
        </mc:AlternateContent>
        <mc:AlternateContent xmlns:mc="http://schemas.openxmlformats.org/markup-compatibility/2006">
          <mc:Choice Requires="x14">
            <control shapeId="4126789" r:id="rId72" name="Option Button 69">
              <controlPr defaultSize="0" autoFill="0" autoLine="0" autoPict="0">
                <anchor moveWithCells="1">
                  <from>
                    <xdr:col>31</xdr:col>
                    <xdr:colOff>236220</xdr:colOff>
                    <xdr:row>50</xdr:row>
                    <xdr:rowOff>876300</xdr:rowOff>
                  </from>
                  <to>
                    <xdr:col>103</xdr:col>
                    <xdr:colOff>99060</xdr:colOff>
                    <xdr:row>52</xdr:row>
                    <xdr:rowOff>121920</xdr:rowOff>
                  </to>
                </anchor>
              </controlPr>
            </control>
          </mc:Choice>
        </mc:AlternateContent>
        <mc:AlternateContent xmlns:mc="http://schemas.openxmlformats.org/markup-compatibility/2006">
          <mc:Choice Requires="x14">
            <control shapeId="4126790" r:id="rId73" name="Option Button 70">
              <controlPr defaultSize="0" autoFill="0" autoLine="0" autoPict="0">
                <anchor moveWithCells="1">
                  <from>
                    <xdr:col>32</xdr:col>
                    <xdr:colOff>236220</xdr:colOff>
                    <xdr:row>50</xdr:row>
                    <xdr:rowOff>876300</xdr:rowOff>
                  </from>
                  <to>
                    <xdr:col>103</xdr:col>
                    <xdr:colOff>99060</xdr:colOff>
                    <xdr:row>52</xdr:row>
                    <xdr:rowOff>121920</xdr:rowOff>
                  </to>
                </anchor>
              </controlPr>
            </control>
          </mc:Choice>
        </mc:AlternateContent>
        <mc:AlternateContent xmlns:mc="http://schemas.openxmlformats.org/markup-compatibility/2006">
          <mc:Choice Requires="x14">
            <control shapeId="4126791" r:id="rId74" name="Option Button 71">
              <controlPr defaultSize="0" autoFill="0" autoLine="0" autoPict="0">
                <anchor moveWithCells="1">
                  <from>
                    <xdr:col>33</xdr:col>
                    <xdr:colOff>236220</xdr:colOff>
                    <xdr:row>50</xdr:row>
                    <xdr:rowOff>876300</xdr:rowOff>
                  </from>
                  <to>
                    <xdr:col>103</xdr:col>
                    <xdr:colOff>7620</xdr:colOff>
                    <xdr:row>52</xdr:row>
                    <xdr:rowOff>121920</xdr:rowOff>
                  </to>
                </anchor>
              </controlPr>
            </control>
          </mc:Choice>
        </mc:AlternateContent>
        <mc:AlternateContent xmlns:mc="http://schemas.openxmlformats.org/markup-compatibility/2006">
          <mc:Choice Requires="x14">
            <control shapeId="4126792" r:id="rId75" name="GB921">
              <controlPr defaultSize="0" autoFill="0" autoPict="0">
                <anchor moveWithCells="1">
                  <from>
                    <xdr:col>31</xdr:col>
                    <xdr:colOff>99060</xdr:colOff>
                    <xdr:row>50</xdr:row>
                    <xdr:rowOff>754380</xdr:rowOff>
                  </from>
                  <to>
                    <xdr:col>108</xdr:col>
                    <xdr:colOff>38100</xdr:colOff>
                    <xdr:row>52</xdr:row>
                    <xdr:rowOff>175260</xdr:rowOff>
                  </to>
                </anchor>
              </controlPr>
            </control>
          </mc:Choice>
        </mc:AlternateContent>
        <mc:AlternateContent xmlns:mc="http://schemas.openxmlformats.org/markup-compatibility/2006">
          <mc:Choice Requires="x14">
            <control shapeId="4126793" r:id="rId76" name="Option Button 73">
              <controlPr defaultSize="0" autoFill="0" autoLine="0" autoPict="0">
                <anchor moveWithCells="1">
                  <from>
                    <xdr:col>31</xdr:col>
                    <xdr:colOff>236220</xdr:colOff>
                    <xdr:row>51</xdr:row>
                    <xdr:rowOff>670560</xdr:rowOff>
                  </from>
                  <to>
                    <xdr:col>103</xdr:col>
                    <xdr:colOff>99060</xdr:colOff>
                    <xdr:row>52</xdr:row>
                    <xdr:rowOff>251460</xdr:rowOff>
                  </to>
                </anchor>
              </controlPr>
            </control>
          </mc:Choice>
        </mc:AlternateContent>
        <mc:AlternateContent xmlns:mc="http://schemas.openxmlformats.org/markup-compatibility/2006">
          <mc:Choice Requires="x14">
            <control shapeId="4126794" r:id="rId77" name="Option Button 74">
              <controlPr defaultSize="0" autoFill="0" autoLine="0" autoPict="0">
                <anchor moveWithCells="1">
                  <from>
                    <xdr:col>32</xdr:col>
                    <xdr:colOff>236220</xdr:colOff>
                    <xdr:row>51</xdr:row>
                    <xdr:rowOff>670560</xdr:rowOff>
                  </from>
                  <to>
                    <xdr:col>103</xdr:col>
                    <xdr:colOff>99060</xdr:colOff>
                    <xdr:row>52</xdr:row>
                    <xdr:rowOff>251460</xdr:rowOff>
                  </to>
                </anchor>
              </controlPr>
            </control>
          </mc:Choice>
        </mc:AlternateContent>
        <mc:AlternateContent xmlns:mc="http://schemas.openxmlformats.org/markup-compatibility/2006">
          <mc:Choice Requires="x14">
            <control shapeId="4126795" r:id="rId78" name="Option Button 75">
              <controlPr defaultSize="0" autoFill="0" autoLine="0" autoPict="0">
                <anchor moveWithCells="1">
                  <from>
                    <xdr:col>33</xdr:col>
                    <xdr:colOff>236220</xdr:colOff>
                    <xdr:row>51</xdr:row>
                    <xdr:rowOff>670560</xdr:rowOff>
                  </from>
                  <to>
                    <xdr:col>103</xdr:col>
                    <xdr:colOff>7620</xdr:colOff>
                    <xdr:row>52</xdr:row>
                    <xdr:rowOff>251460</xdr:rowOff>
                  </to>
                </anchor>
              </controlPr>
            </control>
          </mc:Choice>
        </mc:AlternateContent>
        <mc:AlternateContent xmlns:mc="http://schemas.openxmlformats.org/markup-compatibility/2006">
          <mc:Choice Requires="x14">
            <control shapeId="4126796" r:id="rId79" name="GB1112">
              <controlPr defaultSize="0" autoFill="0" autoPict="0">
                <anchor moveWithCells="1">
                  <from>
                    <xdr:col>31</xdr:col>
                    <xdr:colOff>99060</xdr:colOff>
                    <xdr:row>51</xdr:row>
                    <xdr:rowOff>563880</xdr:rowOff>
                  </from>
                  <to>
                    <xdr:col>108</xdr:col>
                    <xdr:colOff>38100</xdr:colOff>
                    <xdr:row>54</xdr:row>
                    <xdr:rowOff>213360</xdr:rowOff>
                  </to>
                </anchor>
              </controlPr>
            </control>
          </mc:Choice>
        </mc:AlternateContent>
        <mc:AlternateContent xmlns:mc="http://schemas.openxmlformats.org/markup-compatibility/2006">
          <mc:Choice Requires="x14">
            <control shapeId="4126797" r:id="rId80" name="Option Button 77">
              <controlPr defaultSize="0" autoFill="0" autoLine="0" autoPict="0">
                <anchor moveWithCells="1">
                  <from>
                    <xdr:col>31</xdr:col>
                    <xdr:colOff>236220</xdr:colOff>
                    <xdr:row>55</xdr:row>
                    <xdr:rowOff>579120</xdr:rowOff>
                  </from>
                  <to>
                    <xdr:col>103</xdr:col>
                    <xdr:colOff>99060</xdr:colOff>
                    <xdr:row>56</xdr:row>
                    <xdr:rowOff>7620</xdr:rowOff>
                  </to>
                </anchor>
              </controlPr>
            </control>
          </mc:Choice>
        </mc:AlternateContent>
        <mc:AlternateContent xmlns:mc="http://schemas.openxmlformats.org/markup-compatibility/2006">
          <mc:Choice Requires="x14">
            <control shapeId="4126798" r:id="rId81" name="Option Button 78">
              <controlPr defaultSize="0" autoFill="0" autoLine="0" autoPict="0">
                <anchor moveWithCells="1">
                  <from>
                    <xdr:col>32</xdr:col>
                    <xdr:colOff>236220</xdr:colOff>
                    <xdr:row>55</xdr:row>
                    <xdr:rowOff>579120</xdr:rowOff>
                  </from>
                  <to>
                    <xdr:col>103</xdr:col>
                    <xdr:colOff>99060</xdr:colOff>
                    <xdr:row>56</xdr:row>
                    <xdr:rowOff>7620</xdr:rowOff>
                  </to>
                </anchor>
              </controlPr>
            </control>
          </mc:Choice>
        </mc:AlternateContent>
        <mc:AlternateContent xmlns:mc="http://schemas.openxmlformats.org/markup-compatibility/2006">
          <mc:Choice Requires="x14">
            <control shapeId="4126799" r:id="rId82" name="Option Button 79">
              <controlPr defaultSize="0" autoFill="0" autoLine="0" autoPict="0">
                <anchor moveWithCells="1">
                  <from>
                    <xdr:col>33</xdr:col>
                    <xdr:colOff>236220</xdr:colOff>
                    <xdr:row>55</xdr:row>
                    <xdr:rowOff>579120</xdr:rowOff>
                  </from>
                  <to>
                    <xdr:col>103</xdr:col>
                    <xdr:colOff>7620</xdr:colOff>
                    <xdr:row>56</xdr:row>
                    <xdr:rowOff>7620</xdr:rowOff>
                  </to>
                </anchor>
              </controlPr>
            </control>
          </mc:Choice>
        </mc:AlternateContent>
        <mc:AlternateContent xmlns:mc="http://schemas.openxmlformats.org/markup-compatibility/2006">
          <mc:Choice Requires="x14">
            <control shapeId="4126800" r:id="rId83" name="GB1141">
              <controlPr defaultSize="0" autoFill="0" autoPict="0">
                <anchor moveWithCells="1">
                  <from>
                    <xdr:col>31</xdr:col>
                    <xdr:colOff>99060</xdr:colOff>
                    <xdr:row>55</xdr:row>
                    <xdr:rowOff>510540</xdr:rowOff>
                  </from>
                  <to>
                    <xdr:col>108</xdr:col>
                    <xdr:colOff>38100</xdr:colOff>
                    <xdr:row>57</xdr:row>
                    <xdr:rowOff>274320</xdr:rowOff>
                  </to>
                </anchor>
              </controlPr>
            </control>
          </mc:Choice>
        </mc:AlternateContent>
        <mc:AlternateContent xmlns:mc="http://schemas.openxmlformats.org/markup-compatibility/2006">
          <mc:Choice Requires="x14">
            <control shapeId="4126801" r:id="rId84" name="Option Button 81">
              <controlPr defaultSize="0" autoFill="0" autoLine="0" autoPict="0">
                <anchor moveWithCells="1">
                  <from>
                    <xdr:col>31</xdr:col>
                    <xdr:colOff>236220</xdr:colOff>
                    <xdr:row>120</xdr:row>
                    <xdr:rowOff>762000</xdr:rowOff>
                  </from>
                  <to>
                    <xdr:col>103</xdr:col>
                    <xdr:colOff>99060</xdr:colOff>
                    <xdr:row>122</xdr:row>
                    <xdr:rowOff>236220</xdr:rowOff>
                  </to>
                </anchor>
              </controlPr>
            </control>
          </mc:Choice>
        </mc:AlternateContent>
        <mc:AlternateContent xmlns:mc="http://schemas.openxmlformats.org/markup-compatibility/2006">
          <mc:Choice Requires="x14">
            <control shapeId="4126802" r:id="rId85" name="Option Button 82">
              <controlPr defaultSize="0" autoFill="0" autoLine="0" autoPict="0">
                <anchor moveWithCells="1">
                  <from>
                    <xdr:col>32</xdr:col>
                    <xdr:colOff>236220</xdr:colOff>
                    <xdr:row>120</xdr:row>
                    <xdr:rowOff>762000</xdr:rowOff>
                  </from>
                  <to>
                    <xdr:col>103</xdr:col>
                    <xdr:colOff>99060</xdr:colOff>
                    <xdr:row>122</xdr:row>
                    <xdr:rowOff>236220</xdr:rowOff>
                  </to>
                </anchor>
              </controlPr>
            </control>
          </mc:Choice>
        </mc:AlternateContent>
        <mc:AlternateContent xmlns:mc="http://schemas.openxmlformats.org/markup-compatibility/2006">
          <mc:Choice Requires="x14">
            <control shapeId="4126803" r:id="rId86" name="Option Button 83">
              <controlPr defaultSize="0" autoFill="0" autoLine="0" autoPict="0">
                <anchor moveWithCells="1">
                  <from>
                    <xdr:col>33</xdr:col>
                    <xdr:colOff>236220</xdr:colOff>
                    <xdr:row>120</xdr:row>
                    <xdr:rowOff>762000</xdr:rowOff>
                  </from>
                  <to>
                    <xdr:col>103</xdr:col>
                    <xdr:colOff>7620</xdr:colOff>
                    <xdr:row>122</xdr:row>
                    <xdr:rowOff>236220</xdr:rowOff>
                  </to>
                </anchor>
              </controlPr>
            </control>
          </mc:Choice>
        </mc:AlternateContent>
        <mc:AlternateContent xmlns:mc="http://schemas.openxmlformats.org/markup-compatibility/2006">
          <mc:Choice Requires="x14">
            <control shapeId="4126804" r:id="rId87" name="GB1211">
              <controlPr defaultSize="0" autoFill="0" autoPict="0">
                <anchor moveWithCells="1">
                  <from>
                    <xdr:col>31</xdr:col>
                    <xdr:colOff>106680</xdr:colOff>
                    <xdr:row>120</xdr:row>
                    <xdr:rowOff>609600</xdr:rowOff>
                  </from>
                  <to>
                    <xdr:col>108</xdr:col>
                    <xdr:colOff>38100</xdr:colOff>
                    <xdr:row>122</xdr:row>
                    <xdr:rowOff>236220</xdr:rowOff>
                  </to>
                </anchor>
              </controlPr>
            </control>
          </mc:Choice>
        </mc:AlternateContent>
        <mc:AlternateContent xmlns:mc="http://schemas.openxmlformats.org/markup-compatibility/2006">
          <mc:Choice Requires="x14">
            <control shapeId="4126805" r:id="rId88" name="Option Button 85">
              <controlPr defaultSize="0" autoFill="0" autoLine="0" autoPict="0">
                <anchor moveWithCells="1">
                  <from>
                    <xdr:col>31</xdr:col>
                    <xdr:colOff>236220</xdr:colOff>
                    <xdr:row>129</xdr:row>
                    <xdr:rowOff>731520</xdr:rowOff>
                  </from>
                  <to>
                    <xdr:col>103</xdr:col>
                    <xdr:colOff>99060</xdr:colOff>
                    <xdr:row>130</xdr:row>
                    <xdr:rowOff>609600</xdr:rowOff>
                  </to>
                </anchor>
              </controlPr>
            </control>
          </mc:Choice>
        </mc:AlternateContent>
        <mc:AlternateContent xmlns:mc="http://schemas.openxmlformats.org/markup-compatibility/2006">
          <mc:Choice Requires="x14">
            <control shapeId="4126806" r:id="rId89" name="Option Button 86">
              <controlPr defaultSize="0" autoFill="0" autoLine="0" autoPict="0">
                <anchor moveWithCells="1">
                  <from>
                    <xdr:col>32</xdr:col>
                    <xdr:colOff>236220</xdr:colOff>
                    <xdr:row>129</xdr:row>
                    <xdr:rowOff>731520</xdr:rowOff>
                  </from>
                  <to>
                    <xdr:col>103</xdr:col>
                    <xdr:colOff>99060</xdr:colOff>
                    <xdr:row>130</xdr:row>
                    <xdr:rowOff>609600</xdr:rowOff>
                  </to>
                </anchor>
              </controlPr>
            </control>
          </mc:Choice>
        </mc:AlternateContent>
        <mc:AlternateContent xmlns:mc="http://schemas.openxmlformats.org/markup-compatibility/2006">
          <mc:Choice Requires="x14">
            <control shapeId="4126807" r:id="rId90" name="Option Button 87">
              <controlPr defaultSize="0" autoFill="0" autoLine="0" autoPict="0">
                <anchor moveWithCells="1">
                  <from>
                    <xdr:col>33</xdr:col>
                    <xdr:colOff>236220</xdr:colOff>
                    <xdr:row>129</xdr:row>
                    <xdr:rowOff>731520</xdr:rowOff>
                  </from>
                  <to>
                    <xdr:col>103</xdr:col>
                    <xdr:colOff>7620</xdr:colOff>
                    <xdr:row>130</xdr:row>
                    <xdr:rowOff>609600</xdr:rowOff>
                  </to>
                </anchor>
              </controlPr>
            </control>
          </mc:Choice>
        </mc:AlternateContent>
        <mc:AlternateContent xmlns:mc="http://schemas.openxmlformats.org/markup-compatibility/2006">
          <mc:Choice Requires="x14">
            <control shapeId="4126808" r:id="rId91" name="GB1322">
              <controlPr defaultSize="0" autoFill="0" autoPict="0">
                <anchor moveWithCells="1">
                  <from>
                    <xdr:col>31</xdr:col>
                    <xdr:colOff>114300</xdr:colOff>
                    <xdr:row>129</xdr:row>
                    <xdr:rowOff>495300</xdr:rowOff>
                  </from>
                  <to>
                    <xdr:col>108</xdr:col>
                    <xdr:colOff>45720</xdr:colOff>
                    <xdr:row>130</xdr:row>
                    <xdr:rowOff>609600</xdr:rowOff>
                  </to>
                </anchor>
              </controlPr>
            </control>
          </mc:Choice>
        </mc:AlternateContent>
        <mc:AlternateContent xmlns:mc="http://schemas.openxmlformats.org/markup-compatibility/2006">
          <mc:Choice Requires="x14">
            <control shapeId="4126809" r:id="rId92" name="Option Button 89">
              <controlPr defaultSize="0" autoFill="0" autoLine="0" autoPict="0">
                <anchor moveWithCells="1">
                  <from>
                    <xdr:col>31</xdr:col>
                    <xdr:colOff>236220</xdr:colOff>
                    <xdr:row>142</xdr:row>
                    <xdr:rowOff>800100</xdr:rowOff>
                  </from>
                  <to>
                    <xdr:col>103</xdr:col>
                    <xdr:colOff>99060</xdr:colOff>
                    <xdr:row>143</xdr:row>
                    <xdr:rowOff>251460</xdr:rowOff>
                  </to>
                </anchor>
              </controlPr>
            </control>
          </mc:Choice>
        </mc:AlternateContent>
        <mc:AlternateContent xmlns:mc="http://schemas.openxmlformats.org/markup-compatibility/2006">
          <mc:Choice Requires="x14">
            <control shapeId="4126810" r:id="rId93" name="Option Button 90">
              <controlPr defaultSize="0" autoFill="0" autoLine="0" autoPict="0">
                <anchor moveWithCells="1">
                  <from>
                    <xdr:col>32</xdr:col>
                    <xdr:colOff>236220</xdr:colOff>
                    <xdr:row>142</xdr:row>
                    <xdr:rowOff>800100</xdr:rowOff>
                  </from>
                  <to>
                    <xdr:col>103</xdr:col>
                    <xdr:colOff>99060</xdr:colOff>
                    <xdr:row>143</xdr:row>
                    <xdr:rowOff>251460</xdr:rowOff>
                  </to>
                </anchor>
              </controlPr>
            </control>
          </mc:Choice>
        </mc:AlternateContent>
        <mc:AlternateContent xmlns:mc="http://schemas.openxmlformats.org/markup-compatibility/2006">
          <mc:Choice Requires="x14">
            <control shapeId="4126811" r:id="rId94" name="Option Button 91">
              <controlPr defaultSize="0" autoFill="0" autoLine="0" autoPict="0">
                <anchor moveWithCells="1">
                  <from>
                    <xdr:col>33</xdr:col>
                    <xdr:colOff>236220</xdr:colOff>
                    <xdr:row>142</xdr:row>
                    <xdr:rowOff>800100</xdr:rowOff>
                  </from>
                  <to>
                    <xdr:col>103</xdr:col>
                    <xdr:colOff>7620</xdr:colOff>
                    <xdr:row>143</xdr:row>
                    <xdr:rowOff>251460</xdr:rowOff>
                  </to>
                </anchor>
              </controlPr>
            </control>
          </mc:Choice>
        </mc:AlternateContent>
        <mc:AlternateContent xmlns:mc="http://schemas.openxmlformats.org/markup-compatibility/2006">
          <mc:Choice Requires="x14">
            <control shapeId="4126812" r:id="rId95" name="GB1513">
              <controlPr defaultSize="0" autoFill="0" autoPict="0">
                <anchor moveWithCells="1">
                  <from>
                    <xdr:col>31</xdr:col>
                    <xdr:colOff>99060</xdr:colOff>
                    <xdr:row>142</xdr:row>
                    <xdr:rowOff>541020</xdr:rowOff>
                  </from>
                  <to>
                    <xdr:col>108</xdr:col>
                    <xdr:colOff>38100</xdr:colOff>
                    <xdr:row>145</xdr:row>
                    <xdr:rowOff>0</xdr:rowOff>
                  </to>
                </anchor>
              </controlPr>
            </control>
          </mc:Choice>
        </mc:AlternateContent>
        <mc:AlternateContent xmlns:mc="http://schemas.openxmlformats.org/markup-compatibility/2006">
          <mc:Choice Requires="x14">
            <control shapeId="4126813" r:id="rId96" name="Option Button 93">
              <controlPr defaultSize="0" autoFill="0" autoLine="0" autoPict="0">
                <anchor moveWithCells="1">
                  <from>
                    <xdr:col>31</xdr:col>
                    <xdr:colOff>236220</xdr:colOff>
                    <xdr:row>144</xdr:row>
                    <xdr:rowOff>746760</xdr:rowOff>
                  </from>
                  <to>
                    <xdr:col>103</xdr:col>
                    <xdr:colOff>99060</xdr:colOff>
                    <xdr:row>145</xdr:row>
                    <xdr:rowOff>0</xdr:rowOff>
                  </to>
                </anchor>
              </controlPr>
            </control>
          </mc:Choice>
        </mc:AlternateContent>
        <mc:AlternateContent xmlns:mc="http://schemas.openxmlformats.org/markup-compatibility/2006">
          <mc:Choice Requires="x14">
            <control shapeId="4126814" r:id="rId97" name="Option Button 94">
              <controlPr defaultSize="0" autoFill="0" autoLine="0" autoPict="0">
                <anchor moveWithCells="1">
                  <from>
                    <xdr:col>32</xdr:col>
                    <xdr:colOff>236220</xdr:colOff>
                    <xdr:row>144</xdr:row>
                    <xdr:rowOff>746760</xdr:rowOff>
                  </from>
                  <to>
                    <xdr:col>103</xdr:col>
                    <xdr:colOff>99060</xdr:colOff>
                    <xdr:row>145</xdr:row>
                    <xdr:rowOff>0</xdr:rowOff>
                  </to>
                </anchor>
              </controlPr>
            </control>
          </mc:Choice>
        </mc:AlternateContent>
        <mc:AlternateContent xmlns:mc="http://schemas.openxmlformats.org/markup-compatibility/2006">
          <mc:Choice Requires="x14">
            <control shapeId="4126815" r:id="rId98" name="Option Button 95">
              <controlPr defaultSize="0" autoFill="0" autoLine="0" autoPict="0">
                <anchor moveWithCells="1">
                  <from>
                    <xdr:col>33</xdr:col>
                    <xdr:colOff>236220</xdr:colOff>
                    <xdr:row>144</xdr:row>
                    <xdr:rowOff>746760</xdr:rowOff>
                  </from>
                  <to>
                    <xdr:col>103</xdr:col>
                    <xdr:colOff>7620</xdr:colOff>
                    <xdr:row>145</xdr:row>
                    <xdr:rowOff>0</xdr:rowOff>
                  </to>
                </anchor>
              </controlPr>
            </control>
          </mc:Choice>
        </mc:AlternateContent>
        <mc:AlternateContent xmlns:mc="http://schemas.openxmlformats.org/markup-compatibility/2006">
          <mc:Choice Requires="x14">
            <control shapeId="4126816" r:id="rId99" name="GB1521">
              <controlPr defaultSize="0" autoFill="0" autoPict="0">
                <anchor moveWithCells="1">
                  <from>
                    <xdr:col>31</xdr:col>
                    <xdr:colOff>99060</xdr:colOff>
                    <xdr:row>144</xdr:row>
                    <xdr:rowOff>693420</xdr:rowOff>
                  </from>
                  <to>
                    <xdr:col>108</xdr:col>
                    <xdr:colOff>38100</xdr:colOff>
                    <xdr:row>145</xdr:row>
                    <xdr:rowOff>236220</xdr:rowOff>
                  </to>
                </anchor>
              </controlPr>
            </control>
          </mc:Choice>
        </mc:AlternateContent>
        <mc:AlternateContent xmlns:mc="http://schemas.openxmlformats.org/markup-compatibility/2006">
          <mc:Choice Requires="x14">
            <control shapeId="4126817" r:id="rId100" name="Option Button 97">
              <controlPr defaultSize="0" autoFill="0" autoLine="0" autoPict="0">
                <anchor moveWithCells="1">
                  <from>
                    <xdr:col>31</xdr:col>
                    <xdr:colOff>236220</xdr:colOff>
                    <xdr:row>154</xdr:row>
                    <xdr:rowOff>830580</xdr:rowOff>
                  </from>
                  <to>
                    <xdr:col>103</xdr:col>
                    <xdr:colOff>99060</xdr:colOff>
                    <xdr:row>157</xdr:row>
                    <xdr:rowOff>68580</xdr:rowOff>
                  </to>
                </anchor>
              </controlPr>
            </control>
          </mc:Choice>
        </mc:AlternateContent>
        <mc:AlternateContent xmlns:mc="http://schemas.openxmlformats.org/markup-compatibility/2006">
          <mc:Choice Requires="x14">
            <control shapeId="4126818" r:id="rId101" name="Option Button 98">
              <controlPr defaultSize="0" autoFill="0" autoLine="0" autoPict="0">
                <anchor moveWithCells="1">
                  <from>
                    <xdr:col>32</xdr:col>
                    <xdr:colOff>236220</xdr:colOff>
                    <xdr:row>154</xdr:row>
                    <xdr:rowOff>830580</xdr:rowOff>
                  </from>
                  <to>
                    <xdr:col>103</xdr:col>
                    <xdr:colOff>99060</xdr:colOff>
                    <xdr:row>157</xdr:row>
                    <xdr:rowOff>68580</xdr:rowOff>
                  </to>
                </anchor>
              </controlPr>
            </control>
          </mc:Choice>
        </mc:AlternateContent>
        <mc:AlternateContent xmlns:mc="http://schemas.openxmlformats.org/markup-compatibility/2006">
          <mc:Choice Requires="x14">
            <control shapeId="4126819" r:id="rId102" name="Option Button 99">
              <controlPr defaultSize="0" autoFill="0" autoLine="0" autoPict="0">
                <anchor moveWithCells="1">
                  <from>
                    <xdr:col>33</xdr:col>
                    <xdr:colOff>236220</xdr:colOff>
                    <xdr:row>154</xdr:row>
                    <xdr:rowOff>830580</xdr:rowOff>
                  </from>
                  <to>
                    <xdr:col>103</xdr:col>
                    <xdr:colOff>7620</xdr:colOff>
                    <xdr:row>157</xdr:row>
                    <xdr:rowOff>68580</xdr:rowOff>
                  </to>
                </anchor>
              </controlPr>
            </control>
          </mc:Choice>
        </mc:AlternateContent>
        <mc:AlternateContent xmlns:mc="http://schemas.openxmlformats.org/markup-compatibility/2006">
          <mc:Choice Requires="x14">
            <control shapeId="4126820" r:id="rId103" name="GB1711">
              <controlPr defaultSize="0" autoFill="0" autoPict="0">
                <anchor moveWithCells="1">
                  <from>
                    <xdr:col>31</xdr:col>
                    <xdr:colOff>99060</xdr:colOff>
                    <xdr:row>154</xdr:row>
                    <xdr:rowOff>723900</xdr:rowOff>
                  </from>
                  <to>
                    <xdr:col>108</xdr:col>
                    <xdr:colOff>38100</xdr:colOff>
                    <xdr:row>157</xdr:row>
                    <xdr:rowOff>68580</xdr:rowOff>
                  </to>
                </anchor>
              </controlPr>
            </control>
          </mc:Choice>
        </mc:AlternateContent>
        <mc:AlternateContent xmlns:mc="http://schemas.openxmlformats.org/markup-compatibility/2006">
          <mc:Choice Requires="x14">
            <control shapeId="4126821" r:id="rId104" name="Check Box 101">
              <controlPr defaultSize="0" autoFill="0" autoLine="0" autoPict="0">
                <anchor moveWithCells="1">
                  <from>
                    <xdr:col>35</xdr:col>
                    <xdr:colOff>83820</xdr:colOff>
                    <xdr:row>18</xdr:row>
                    <xdr:rowOff>53340</xdr:rowOff>
                  </from>
                  <to>
                    <xdr:col>102</xdr:col>
                    <xdr:colOff>274320</xdr:colOff>
                    <xdr:row>19</xdr:row>
                    <xdr:rowOff>22860</xdr:rowOff>
                  </to>
                </anchor>
              </controlPr>
            </control>
          </mc:Choice>
        </mc:AlternateContent>
        <mc:AlternateContent xmlns:mc="http://schemas.openxmlformats.org/markup-compatibility/2006">
          <mc:Choice Requires="x14">
            <control shapeId="4126822" r:id="rId105" name="Check Box 102">
              <controlPr defaultSize="0" autoFill="0" autoLine="0" autoPict="0">
                <anchor moveWithCells="1">
                  <from>
                    <xdr:col>35</xdr:col>
                    <xdr:colOff>83820</xdr:colOff>
                    <xdr:row>38</xdr:row>
                    <xdr:rowOff>53340</xdr:rowOff>
                  </from>
                  <to>
                    <xdr:col>102</xdr:col>
                    <xdr:colOff>274320</xdr:colOff>
                    <xdr:row>39</xdr:row>
                    <xdr:rowOff>91440</xdr:rowOff>
                  </to>
                </anchor>
              </controlPr>
            </control>
          </mc:Choice>
        </mc:AlternateContent>
        <mc:AlternateContent xmlns:mc="http://schemas.openxmlformats.org/markup-compatibility/2006">
          <mc:Choice Requires="x14">
            <control shapeId="4126823" r:id="rId106" name="Check Box 103">
              <controlPr defaultSize="0" autoFill="0" autoLine="0" autoPict="0">
                <anchor moveWithCells="1">
                  <from>
                    <xdr:col>35</xdr:col>
                    <xdr:colOff>83820</xdr:colOff>
                    <xdr:row>11</xdr:row>
                    <xdr:rowOff>259080</xdr:rowOff>
                  </from>
                  <to>
                    <xdr:col>102</xdr:col>
                    <xdr:colOff>274320</xdr:colOff>
                    <xdr:row>15</xdr:row>
                    <xdr:rowOff>259080</xdr:rowOff>
                  </to>
                </anchor>
              </controlPr>
            </control>
          </mc:Choice>
        </mc:AlternateContent>
        <mc:AlternateContent xmlns:mc="http://schemas.openxmlformats.org/markup-compatibility/2006">
          <mc:Choice Requires="x14">
            <control shapeId="4126824" r:id="rId107" name="Check Box 104">
              <controlPr defaultSize="0" autoFill="0" autoLine="0" autoPict="0">
                <anchor moveWithCells="1">
                  <from>
                    <xdr:col>35</xdr:col>
                    <xdr:colOff>83820</xdr:colOff>
                    <xdr:row>14</xdr:row>
                    <xdr:rowOff>53340</xdr:rowOff>
                  </from>
                  <to>
                    <xdr:col>102</xdr:col>
                    <xdr:colOff>274320</xdr:colOff>
                    <xdr:row>15</xdr:row>
                    <xdr:rowOff>259080</xdr:rowOff>
                  </to>
                </anchor>
              </controlPr>
            </control>
          </mc:Choice>
        </mc:AlternateContent>
        <mc:AlternateContent xmlns:mc="http://schemas.openxmlformats.org/markup-compatibility/2006">
          <mc:Choice Requires="x14">
            <control shapeId="4126825" r:id="rId108" name="Check Box 105">
              <controlPr defaultSize="0" autoFill="0" autoLine="0" autoPict="0">
                <anchor moveWithCells="1">
                  <from>
                    <xdr:col>35</xdr:col>
                    <xdr:colOff>83820</xdr:colOff>
                    <xdr:row>13</xdr:row>
                    <xdr:rowOff>53340</xdr:rowOff>
                  </from>
                  <to>
                    <xdr:col>102</xdr:col>
                    <xdr:colOff>274320</xdr:colOff>
                    <xdr:row>15</xdr:row>
                    <xdr:rowOff>259080</xdr:rowOff>
                  </to>
                </anchor>
              </controlPr>
            </control>
          </mc:Choice>
        </mc:AlternateContent>
        <mc:AlternateContent xmlns:mc="http://schemas.openxmlformats.org/markup-compatibility/2006">
          <mc:Choice Requires="x14">
            <control shapeId="4126826" r:id="rId109" name="Check Box 106">
              <controlPr defaultSize="0" autoFill="0" autoLine="0" autoPict="0">
                <anchor moveWithCells="1">
                  <from>
                    <xdr:col>35</xdr:col>
                    <xdr:colOff>91440</xdr:colOff>
                    <xdr:row>9</xdr:row>
                    <xdr:rowOff>327660</xdr:rowOff>
                  </from>
                  <to>
                    <xdr:col>103</xdr:col>
                    <xdr:colOff>30480</xdr:colOff>
                    <xdr:row>16</xdr:row>
                    <xdr:rowOff>30480</xdr:rowOff>
                  </to>
                </anchor>
              </controlPr>
            </control>
          </mc:Choice>
        </mc:AlternateContent>
        <mc:AlternateContent xmlns:mc="http://schemas.openxmlformats.org/markup-compatibility/2006">
          <mc:Choice Requires="x14">
            <control shapeId="4126827" r:id="rId110" name="Check Box 107">
              <controlPr defaultSize="0" autoFill="0" autoLine="0" autoPict="0">
                <anchor moveWithCells="1">
                  <from>
                    <xdr:col>35</xdr:col>
                    <xdr:colOff>83820</xdr:colOff>
                    <xdr:row>10</xdr:row>
                    <xdr:rowOff>373380</xdr:rowOff>
                  </from>
                  <to>
                    <xdr:col>102</xdr:col>
                    <xdr:colOff>289560</xdr:colOff>
                    <xdr:row>15</xdr:row>
                    <xdr:rowOff>259080</xdr:rowOff>
                  </to>
                </anchor>
              </controlPr>
            </control>
          </mc:Choice>
        </mc:AlternateContent>
        <mc:AlternateContent xmlns:mc="http://schemas.openxmlformats.org/markup-compatibility/2006">
          <mc:Choice Requires="x14">
            <control shapeId="4126828" r:id="rId111" name="Check Box 108">
              <controlPr defaultSize="0" autoFill="0" autoLine="0" autoPict="0">
                <anchor moveWithCells="1">
                  <from>
                    <xdr:col>35</xdr:col>
                    <xdr:colOff>83820</xdr:colOff>
                    <xdr:row>15</xdr:row>
                    <xdr:rowOff>53340</xdr:rowOff>
                  </from>
                  <to>
                    <xdr:col>102</xdr:col>
                    <xdr:colOff>281940</xdr:colOff>
                    <xdr:row>16</xdr:row>
                    <xdr:rowOff>30480</xdr:rowOff>
                  </to>
                </anchor>
              </controlPr>
            </control>
          </mc:Choice>
        </mc:AlternateContent>
        <mc:AlternateContent xmlns:mc="http://schemas.openxmlformats.org/markup-compatibility/2006">
          <mc:Choice Requires="x14">
            <control shapeId="4126829" r:id="rId112" name="Check Box 109">
              <controlPr defaultSize="0" autoFill="0" autoLine="0" autoPict="0">
                <anchor moveWithCells="1">
                  <from>
                    <xdr:col>35</xdr:col>
                    <xdr:colOff>83820</xdr:colOff>
                    <xdr:row>22</xdr:row>
                    <xdr:rowOff>53340</xdr:rowOff>
                  </from>
                  <to>
                    <xdr:col>102</xdr:col>
                    <xdr:colOff>281940</xdr:colOff>
                    <xdr:row>26</xdr:row>
                    <xdr:rowOff>708660</xdr:rowOff>
                  </to>
                </anchor>
              </controlPr>
            </control>
          </mc:Choice>
        </mc:AlternateContent>
        <mc:AlternateContent xmlns:mc="http://schemas.openxmlformats.org/markup-compatibility/2006">
          <mc:Choice Requires="x14">
            <control shapeId="4126830" r:id="rId113" name="Check Box 110">
              <controlPr defaultSize="0" autoFill="0" autoLine="0" autoPict="0">
                <anchor moveWithCells="1">
                  <from>
                    <xdr:col>35</xdr:col>
                    <xdr:colOff>83820</xdr:colOff>
                    <xdr:row>19</xdr:row>
                    <xdr:rowOff>129540</xdr:rowOff>
                  </from>
                  <to>
                    <xdr:col>102</xdr:col>
                    <xdr:colOff>274320</xdr:colOff>
                    <xdr:row>20</xdr:row>
                    <xdr:rowOff>114300</xdr:rowOff>
                  </to>
                </anchor>
              </controlPr>
            </control>
          </mc:Choice>
        </mc:AlternateContent>
        <mc:AlternateContent xmlns:mc="http://schemas.openxmlformats.org/markup-compatibility/2006">
          <mc:Choice Requires="x14">
            <control shapeId="4126831" r:id="rId114" name="Check Box 111">
              <controlPr defaultSize="0" autoFill="0" autoLine="0" autoPict="0">
                <anchor moveWithCells="1">
                  <from>
                    <xdr:col>35</xdr:col>
                    <xdr:colOff>83820</xdr:colOff>
                    <xdr:row>24</xdr:row>
                    <xdr:rowOff>53340</xdr:rowOff>
                  </from>
                  <to>
                    <xdr:col>102</xdr:col>
                    <xdr:colOff>274320</xdr:colOff>
                    <xdr:row>26</xdr:row>
                    <xdr:rowOff>548640</xdr:rowOff>
                  </to>
                </anchor>
              </controlPr>
            </control>
          </mc:Choice>
        </mc:AlternateContent>
        <mc:AlternateContent xmlns:mc="http://schemas.openxmlformats.org/markup-compatibility/2006">
          <mc:Choice Requires="x14">
            <control shapeId="4126832" r:id="rId115" name="Check Box 112">
              <controlPr defaultSize="0" autoFill="0" autoLine="0" autoPict="0">
                <anchor moveWithCells="1">
                  <from>
                    <xdr:col>35</xdr:col>
                    <xdr:colOff>83820</xdr:colOff>
                    <xdr:row>12</xdr:row>
                    <xdr:rowOff>350520</xdr:rowOff>
                  </from>
                  <to>
                    <xdr:col>102</xdr:col>
                    <xdr:colOff>274320</xdr:colOff>
                    <xdr:row>15</xdr:row>
                    <xdr:rowOff>251460</xdr:rowOff>
                  </to>
                </anchor>
              </controlPr>
            </control>
          </mc:Choice>
        </mc:AlternateContent>
        <mc:AlternateContent xmlns:mc="http://schemas.openxmlformats.org/markup-compatibility/2006">
          <mc:Choice Requires="x14">
            <control shapeId="4126833" r:id="rId116" name="Check Box 113">
              <controlPr defaultSize="0" autoFill="0" autoLine="0" autoPict="0">
                <anchor moveWithCells="1">
                  <from>
                    <xdr:col>35</xdr:col>
                    <xdr:colOff>83820</xdr:colOff>
                    <xdr:row>17</xdr:row>
                    <xdr:rowOff>53340</xdr:rowOff>
                  </from>
                  <to>
                    <xdr:col>102</xdr:col>
                    <xdr:colOff>274320</xdr:colOff>
                    <xdr:row>18</xdr:row>
                    <xdr:rowOff>22860</xdr:rowOff>
                  </to>
                </anchor>
              </controlPr>
            </control>
          </mc:Choice>
        </mc:AlternateContent>
        <mc:AlternateContent xmlns:mc="http://schemas.openxmlformats.org/markup-compatibility/2006">
          <mc:Choice Requires="x14">
            <control shapeId="4126834" r:id="rId117" name="Check Box 114">
              <controlPr defaultSize="0" autoFill="0" autoLine="0" autoPict="0">
                <anchor moveWithCells="1">
                  <from>
                    <xdr:col>35</xdr:col>
                    <xdr:colOff>83820</xdr:colOff>
                    <xdr:row>20</xdr:row>
                    <xdr:rowOff>53340</xdr:rowOff>
                  </from>
                  <to>
                    <xdr:col>102</xdr:col>
                    <xdr:colOff>274320</xdr:colOff>
                    <xdr:row>21</xdr:row>
                    <xdr:rowOff>22860</xdr:rowOff>
                  </to>
                </anchor>
              </controlPr>
            </control>
          </mc:Choice>
        </mc:AlternateContent>
        <mc:AlternateContent xmlns:mc="http://schemas.openxmlformats.org/markup-compatibility/2006">
          <mc:Choice Requires="x14">
            <control shapeId="4126835" r:id="rId118" name="Check Box 115">
              <controlPr defaultSize="0" autoFill="0" autoLine="0" autoPict="0">
                <anchor moveWithCells="1">
                  <from>
                    <xdr:col>35</xdr:col>
                    <xdr:colOff>83820</xdr:colOff>
                    <xdr:row>22</xdr:row>
                    <xdr:rowOff>0</xdr:rowOff>
                  </from>
                  <to>
                    <xdr:col>102</xdr:col>
                    <xdr:colOff>274320</xdr:colOff>
                    <xdr:row>23</xdr:row>
                    <xdr:rowOff>434340</xdr:rowOff>
                  </to>
                </anchor>
              </controlPr>
            </control>
          </mc:Choice>
        </mc:AlternateContent>
        <mc:AlternateContent xmlns:mc="http://schemas.openxmlformats.org/markup-compatibility/2006">
          <mc:Choice Requires="x14">
            <control shapeId="4126836" r:id="rId119" name="Check Box 116">
              <controlPr defaultSize="0" autoFill="0" autoLine="0" autoPict="0">
                <anchor moveWithCells="1">
                  <from>
                    <xdr:col>35</xdr:col>
                    <xdr:colOff>83820</xdr:colOff>
                    <xdr:row>39</xdr:row>
                    <xdr:rowOff>53340</xdr:rowOff>
                  </from>
                  <to>
                    <xdr:col>102</xdr:col>
                    <xdr:colOff>274320</xdr:colOff>
                    <xdr:row>40</xdr:row>
                    <xdr:rowOff>22860</xdr:rowOff>
                  </to>
                </anchor>
              </controlPr>
            </control>
          </mc:Choice>
        </mc:AlternateContent>
        <mc:AlternateContent xmlns:mc="http://schemas.openxmlformats.org/markup-compatibility/2006">
          <mc:Choice Requires="x14">
            <control shapeId="4126837" r:id="rId120" name="Check Box 117">
              <controlPr defaultSize="0" autoFill="0" autoLine="0" autoPict="0">
                <anchor moveWithCells="1">
                  <from>
                    <xdr:col>35</xdr:col>
                    <xdr:colOff>83820</xdr:colOff>
                    <xdr:row>40</xdr:row>
                    <xdr:rowOff>53340</xdr:rowOff>
                  </from>
                  <to>
                    <xdr:col>102</xdr:col>
                    <xdr:colOff>274320</xdr:colOff>
                    <xdr:row>41</xdr:row>
                    <xdr:rowOff>152400</xdr:rowOff>
                  </to>
                </anchor>
              </controlPr>
            </control>
          </mc:Choice>
        </mc:AlternateContent>
        <mc:AlternateContent xmlns:mc="http://schemas.openxmlformats.org/markup-compatibility/2006">
          <mc:Choice Requires="x14">
            <control shapeId="4126838" r:id="rId121" name="Check Box 118">
              <controlPr defaultSize="0" autoFill="0" autoLine="0" autoPict="0">
                <anchor moveWithCells="1">
                  <from>
                    <xdr:col>35</xdr:col>
                    <xdr:colOff>83820</xdr:colOff>
                    <xdr:row>41</xdr:row>
                    <xdr:rowOff>53340</xdr:rowOff>
                  </from>
                  <to>
                    <xdr:col>102</xdr:col>
                    <xdr:colOff>274320</xdr:colOff>
                    <xdr:row>42</xdr:row>
                    <xdr:rowOff>68580</xdr:rowOff>
                  </to>
                </anchor>
              </controlPr>
            </control>
          </mc:Choice>
        </mc:AlternateContent>
        <mc:AlternateContent xmlns:mc="http://schemas.openxmlformats.org/markup-compatibility/2006">
          <mc:Choice Requires="x14">
            <control shapeId="4126839" r:id="rId122" name="Check Box 119">
              <controlPr defaultSize="0" autoFill="0" autoLine="0" autoPict="0">
                <anchor moveWithCells="1">
                  <from>
                    <xdr:col>35</xdr:col>
                    <xdr:colOff>83820</xdr:colOff>
                    <xdr:row>16</xdr:row>
                    <xdr:rowOff>381000</xdr:rowOff>
                  </from>
                  <to>
                    <xdr:col>102</xdr:col>
                    <xdr:colOff>274320</xdr:colOff>
                    <xdr:row>16</xdr:row>
                    <xdr:rowOff>632460</xdr:rowOff>
                  </to>
                </anchor>
              </controlPr>
            </control>
          </mc:Choice>
        </mc:AlternateContent>
        <mc:AlternateContent xmlns:mc="http://schemas.openxmlformats.org/markup-compatibility/2006">
          <mc:Choice Requires="x14">
            <control shapeId="4126840" r:id="rId123" name="Check Box 120">
              <controlPr defaultSize="0" autoFill="0" autoLine="0" autoPict="0">
                <anchor moveWithCells="1">
                  <from>
                    <xdr:col>35</xdr:col>
                    <xdr:colOff>83820</xdr:colOff>
                    <xdr:row>29</xdr:row>
                    <xdr:rowOff>579120</xdr:rowOff>
                  </from>
                  <to>
                    <xdr:col>102</xdr:col>
                    <xdr:colOff>274320</xdr:colOff>
                    <xdr:row>30</xdr:row>
                    <xdr:rowOff>411480</xdr:rowOff>
                  </to>
                </anchor>
              </controlPr>
            </control>
          </mc:Choice>
        </mc:AlternateContent>
        <mc:AlternateContent xmlns:mc="http://schemas.openxmlformats.org/markup-compatibility/2006">
          <mc:Choice Requires="x14">
            <control shapeId="4126841" r:id="rId124" name="Check Box 121">
              <controlPr defaultSize="0" autoFill="0" autoLine="0" autoPict="0">
                <anchor moveWithCells="1">
                  <from>
                    <xdr:col>35</xdr:col>
                    <xdr:colOff>83820</xdr:colOff>
                    <xdr:row>31</xdr:row>
                    <xdr:rowOff>53340</xdr:rowOff>
                  </from>
                  <to>
                    <xdr:col>102</xdr:col>
                    <xdr:colOff>274320</xdr:colOff>
                    <xdr:row>33</xdr:row>
                    <xdr:rowOff>259080</xdr:rowOff>
                  </to>
                </anchor>
              </controlPr>
            </control>
          </mc:Choice>
        </mc:AlternateContent>
        <mc:AlternateContent xmlns:mc="http://schemas.openxmlformats.org/markup-compatibility/2006">
          <mc:Choice Requires="x14">
            <control shapeId="4126842" r:id="rId125" name="Check Box 122">
              <controlPr defaultSize="0" autoFill="0" autoLine="0" autoPict="0">
                <anchor moveWithCells="1">
                  <from>
                    <xdr:col>35</xdr:col>
                    <xdr:colOff>83820</xdr:colOff>
                    <xdr:row>32</xdr:row>
                    <xdr:rowOff>731520</xdr:rowOff>
                  </from>
                  <to>
                    <xdr:col>102</xdr:col>
                    <xdr:colOff>274320</xdr:colOff>
                    <xdr:row>33</xdr:row>
                    <xdr:rowOff>251460</xdr:rowOff>
                  </to>
                </anchor>
              </controlPr>
            </control>
          </mc:Choice>
        </mc:AlternateContent>
        <mc:AlternateContent xmlns:mc="http://schemas.openxmlformats.org/markup-compatibility/2006">
          <mc:Choice Requires="x14">
            <control shapeId="4126843" r:id="rId126" name="Check Box 123">
              <controlPr defaultSize="0" autoFill="0" autoLine="0" autoPict="0">
                <anchor moveWithCells="1">
                  <from>
                    <xdr:col>35</xdr:col>
                    <xdr:colOff>83820</xdr:colOff>
                    <xdr:row>29</xdr:row>
                    <xdr:rowOff>53340</xdr:rowOff>
                  </from>
                  <to>
                    <xdr:col>102</xdr:col>
                    <xdr:colOff>274320</xdr:colOff>
                    <xdr:row>30</xdr:row>
                    <xdr:rowOff>411480</xdr:rowOff>
                  </to>
                </anchor>
              </controlPr>
            </control>
          </mc:Choice>
        </mc:AlternateContent>
        <mc:AlternateContent xmlns:mc="http://schemas.openxmlformats.org/markup-compatibility/2006">
          <mc:Choice Requires="x14">
            <control shapeId="4126844" r:id="rId127" name="Check Box 124">
              <controlPr defaultSize="0" autoFill="0" autoLine="0" autoPict="0">
                <anchor moveWithCells="1">
                  <from>
                    <xdr:col>35</xdr:col>
                    <xdr:colOff>83820</xdr:colOff>
                    <xdr:row>35</xdr:row>
                    <xdr:rowOff>449580</xdr:rowOff>
                  </from>
                  <to>
                    <xdr:col>102</xdr:col>
                    <xdr:colOff>274320</xdr:colOff>
                    <xdr:row>37</xdr:row>
                    <xdr:rowOff>144780</xdr:rowOff>
                  </to>
                </anchor>
              </controlPr>
            </control>
          </mc:Choice>
        </mc:AlternateContent>
        <mc:AlternateContent xmlns:mc="http://schemas.openxmlformats.org/markup-compatibility/2006">
          <mc:Choice Requires="x14">
            <control shapeId="4126845" r:id="rId128" name="Check Box 125">
              <controlPr defaultSize="0" autoFill="0" autoLine="0" autoPict="0">
                <anchor moveWithCells="1">
                  <from>
                    <xdr:col>35</xdr:col>
                    <xdr:colOff>83820</xdr:colOff>
                    <xdr:row>36</xdr:row>
                    <xdr:rowOff>53340</xdr:rowOff>
                  </from>
                  <to>
                    <xdr:col>102</xdr:col>
                    <xdr:colOff>274320</xdr:colOff>
                    <xdr:row>38</xdr:row>
                    <xdr:rowOff>114300</xdr:rowOff>
                  </to>
                </anchor>
              </controlPr>
            </control>
          </mc:Choice>
        </mc:AlternateContent>
        <mc:AlternateContent xmlns:mc="http://schemas.openxmlformats.org/markup-compatibility/2006">
          <mc:Choice Requires="x14">
            <control shapeId="4126846" r:id="rId129" name="Check Box 126">
              <controlPr defaultSize="0" autoFill="0" autoLine="0" autoPict="0">
                <anchor moveWithCells="1">
                  <from>
                    <xdr:col>35</xdr:col>
                    <xdr:colOff>83820</xdr:colOff>
                    <xdr:row>37</xdr:row>
                    <xdr:rowOff>53340</xdr:rowOff>
                  </from>
                  <to>
                    <xdr:col>102</xdr:col>
                    <xdr:colOff>274320</xdr:colOff>
                    <xdr:row>38</xdr:row>
                    <xdr:rowOff>182880</xdr:rowOff>
                  </to>
                </anchor>
              </controlPr>
            </control>
          </mc:Choice>
        </mc:AlternateContent>
        <mc:AlternateContent xmlns:mc="http://schemas.openxmlformats.org/markup-compatibility/2006">
          <mc:Choice Requires="x14">
            <control shapeId="4126847" r:id="rId130" name="Check Box 127">
              <controlPr defaultSize="0" autoFill="0" autoLine="0" autoPict="0">
                <anchor moveWithCells="1">
                  <from>
                    <xdr:col>35</xdr:col>
                    <xdr:colOff>83820</xdr:colOff>
                    <xdr:row>27</xdr:row>
                    <xdr:rowOff>678180</xdr:rowOff>
                  </from>
                  <to>
                    <xdr:col>102</xdr:col>
                    <xdr:colOff>274320</xdr:colOff>
                    <xdr:row>27</xdr:row>
                    <xdr:rowOff>693420</xdr:rowOff>
                  </to>
                </anchor>
              </controlPr>
            </control>
          </mc:Choice>
        </mc:AlternateContent>
        <mc:AlternateContent xmlns:mc="http://schemas.openxmlformats.org/markup-compatibility/2006">
          <mc:Choice Requires="x14">
            <control shapeId="4126848" r:id="rId131" name="Check Box 128">
              <controlPr defaultSize="0" autoFill="0" autoLine="0" autoPict="0">
                <anchor moveWithCells="1">
                  <from>
                    <xdr:col>35</xdr:col>
                    <xdr:colOff>106680</xdr:colOff>
                    <xdr:row>23</xdr:row>
                    <xdr:rowOff>937260</xdr:rowOff>
                  </from>
                  <to>
                    <xdr:col>102</xdr:col>
                    <xdr:colOff>281940</xdr:colOff>
                    <xdr:row>24</xdr:row>
                    <xdr:rowOff>0</xdr:rowOff>
                  </to>
                </anchor>
              </controlPr>
            </control>
          </mc:Choice>
        </mc:AlternateContent>
        <mc:AlternateContent xmlns:mc="http://schemas.openxmlformats.org/markup-compatibility/2006">
          <mc:Choice Requires="x14">
            <control shapeId="4126849" r:id="rId132" name="Check Box 129">
              <controlPr defaultSize="0" autoFill="0" autoLine="0" autoPict="0">
                <anchor moveWithCells="1">
                  <from>
                    <xdr:col>35</xdr:col>
                    <xdr:colOff>83820</xdr:colOff>
                    <xdr:row>52</xdr:row>
                    <xdr:rowOff>99060</xdr:rowOff>
                  </from>
                  <to>
                    <xdr:col>102</xdr:col>
                    <xdr:colOff>274320</xdr:colOff>
                    <xdr:row>54</xdr:row>
                    <xdr:rowOff>358140</xdr:rowOff>
                  </to>
                </anchor>
              </controlPr>
            </control>
          </mc:Choice>
        </mc:AlternateContent>
        <mc:AlternateContent xmlns:mc="http://schemas.openxmlformats.org/markup-compatibility/2006">
          <mc:Choice Requires="x14">
            <control shapeId="4126850" r:id="rId133" name="Check Box 130">
              <controlPr defaultSize="0" autoFill="0" autoLine="0" autoPict="0">
                <anchor moveWithCells="1">
                  <from>
                    <xdr:col>35</xdr:col>
                    <xdr:colOff>83820</xdr:colOff>
                    <xdr:row>25</xdr:row>
                    <xdr:rowOff>647700</xdr:rowOff>
                  </from>
                  <to>
                    <xdr:col>102</xdr:col>
                    <xdr:colOff>274320</xdr:colOff>
                    <xdr:row>26</xdr:row>
                    <xdr:rowOff>0</xdr:rowOff>
                  </to>
                </anchor>
              </controlPr>
            </control>
          </mc:Choice>
        </mc:AlternateContent>
        <mc:AlternateContent xmlns:mc="http://schemas.openxmlformats.org/markup-compatibility/2006">
          <mc:Choice Requires="x14">
            <control shapeId="4126851" r:id="rId134" name="Check Box 131">
              <controlPr defaultSize="0" autoFill="0" autoLine="0" autoPict="0">
                <anchor moveWithCells="1">
                  <from>
                    <xdr:col>35</xdr:col>
                    <xdr:colOff>83820</xdr:colOff>
                    <xdr:row>26</xdr:row>
                    <xdr:rowOff>617220</xdr:rowOff>
                  </from>
                  <to>
                    <xdr:col>102</xdr:col>
                    <xdr:colOff>274320</xdr:colOff>
                    <xdr:row>26</xdr:row>
                    <xdr:rowOff>693420</xdr:rowOff>
                  </to>
                </anchor>
              </controlPr>
            </control>
          </mc:Choice>
        </mc:AlternateContent>
        <mc:AlternateContent xmlns:mc="http://schemas.openxmlformats.org/markup-compatibility/2006">
          <mc:Choice Requires="x14">
            <control shapeId="4126852" r:id="rId135" name="Check Box 132">
              <controlPr defaultSize="0" autoFill="0" autoLine="0" autoPict="0">
                <anchor moveWithCells="1">
                  <from>
                    <xdr:col>35</xdr:col>
                    <xdr:colOff>83820</xdr:colOff>
                    <xdr:row>28</xdr:row>
                    <xdr:rowOff>60960</xdr:rowOff>
                  </from>
                  <to>
                    <xdr:col>102</xdr:col>
                    <xdr:colOff>274320</xdr:colOff>
                    <xdr:row>29</xdr:row>
                    <xdr:rowOff>7620</xdr:rowOff>
                  </to>
                </anchor>
              </controlPr>
            </control>
          </mc:Choice>
        </mc:AlternateContent>
        <mc:AlternateContent xmlns:mc="http://schemas.openxmlformats.org/markup-compatibility/2006">
          <mc:Choice Requires="x14">
            <control shapeId="4126853" r:id="rId136" name="Check Box 133">
              <controlPr defaultSize="0" autoFill="0" autoLine="0" autoPict="0">
                <anchor moveWithCells="1">
                  <from>
                    <xdr:col>35</xdr:col>
                    <xdr:colOff>83820</xdr:colOff>
                    <xdr:row>42</xdr:row>
                    <xdr:rowOff>53340</xdr:rowOff>
                  </from>
                  <to>
                    <xdr:col>102</xdr:col>
                    <xdr:colOff>274320</xdr:colOff>
                    <xdr:row>43</xdr:row>
                    <xdr:rowOff>22860</xdr:rowOff>
                  </to>
                </anchor>
              </controlPr>
            </control>
          </mc:Choice>
        </mc:AlternateContent>
        <mc:AlternateContent xmlns:mc="http://schemas.openxmlformats.org/markup-compatibility/2006">
          <mc:Choice Requires="x14">
            <control shapeId="4126854" r:id="rId137" name="Check Box 134">
              <controlPr defaultSize="0" autoFill="0" autoLine="0" autoPict="0">
                <anchor moveWithCells="1">
                  <from>
                    <xdr:col>35</xdr:col>
                    <xdr:colOff>83820</xdr:colOff>
                    <xdr:row>43</xdr:row>
                    <xdr:rowOff>53340</xdr:rowOff>
                  </from>
                  <to>
                    <xdr:col>102</xdr:col>
                    <xdr:colOff>274320</xdr:colOff>
                    <xdr:row>44</xdr:row>
                    <xdr:rowOff>22860</xdr:rowOff>
                  </to>
                </anchor>
              </controlPr>
            </control>
          </mc:Choice>
        </mc:AlternateContent>
        <mc:AlternateContent xmlns:mc="http://schemas.openxmlformats.org/markup-compatibility/2006">
          <mc:Choice Requires="x14">
            <control shapeId="4126855" r:id="rId138" name="Check Box 135">
              <controlPr defaultSize="0" autoFill="0" autoLine="0" autoPict="0">
                <anchor moveWithCells="1">
                  <from>
                    <xdr:col>35</xdr:col>
                    <xdr:colOff>83820</xdr:colOff>
                    <xdr:row>44</xdr:row>
                    <xdr:rowOff>53340</xdr:rowOff>
                  </from>
                  <to>
                    <xdr:col>102</xdr:col>
                    <xdr:colOff>274320</xdr:colOff>
                    <xdr:row>45</xdr:row>
                    <xdr:rowOff>22860</xdr:rowOff>
                  </to>
                </anchor>
              </controlPr>
            </control>
          </mc:Choice>
        </mc:AlternateContent>
        <mc:AlternateContent xmlns:mc="http://schemas.openxmlformats.org/markup-compatibility/2006">
          <mc:Choice Requires="x14">
            <control shapeId="4126856" r:id="rId139" name="Check Box 136">
              <controlPr defaultSize="0" autoFill="0" autoLine="0" autoPict="0">
                <anchor moveWithCells="1">
                  <from>
                    <xdr:col>35</xdr:col>
                    <xdr:colOff>83820</xdr:colOff>
                    <xdr:row>45</xdr:row>
                    <xdr:rowOff>53340</xdr:rowOff>
                  </from>
                  <to>
                    <xdr:col>102</xdr:col>
                    <xdr:colOff>274320</xdr:colOff>
                    <xdr:row>46</xdr:row>
                    <xdr:rowOff>99060</xdr:rowOff>
                  </to>
                </anchor>
              </controlPr>
            </control>
          </mc:Choice>
        </mc:AlternateContent>
        <mc:AlternateContent xmlns:mc="http://schemas.openxmlformats.org/markup-compatibility/2006">
          <mc:Choice Requires="x14">
            <control shapeId="4126857" r:id="rId140" name="Check Box 137">
              <controlPr defaultSize="0" autoFill="0" autoLine="0" autoPict="0">
                <anchor moveWithCells="1">
                  <from>
                    <xdr:col>35</xdr:col>
                    <xdr:colOff>99060</xdr:colOff>
                    <xdr:row>30</xdr:row>
                    <xdr:rowOff>381000</xdr:rowOff>
                  </from>
                  <to>
                    <xdr:col>102</xdr:col>
                    <xdr:colOff>266700</xdr:colOff>
                    <xdr:row>30</xdr:row>
                    <xdr:rowOff>632460</xdr:rowOff>
                  </to>
                </anchor>
              </controlPr>
            </control>
          </mc:Choice>
        </mc:AlternateContent>
        <mc:AlternateContent xmlns:mc="http://schemas.openxmlformats.org/markup-compatibility/2006">
          <mc:Choice Requires="x14">
            <control shapeId="4126858" r:id="rId141" name="Check Box 138">
              <controlPr defaultSize="0" autoFill="0" autoLine="0" autoPict="0">
                <anchor moveWithCells="1">
                  <from>
                    <xdr:col>35</xdr:col>
                    <xdr:colOff>99060</xdr:colOff>
                    <xdr:row>34</xdr:row>
                    <xdr:rowOff>236220</xdr:rowOff>
                  </from>
                  <to>
                    <xdr:col>102</xdr:col>
                    <xdr:colOff>266700</xdr:colOff>
                    <xdr:row>35</xdr:row>
                    <xdr:rowOff>0</xdr:rowOff>
                  </to>
                </anchor>
              </controlPr>
            </control>
          </mc:Choice>
        </mc:AlternateContent>
        <mc:AlternateContent xmlns:mc="http://schemas.openxmlformats.org/markup-compatibility/2006">
          <mc:Choice Requires="x14">
            <control shapeId="4126859" r:id="rId142" name="Check Box 139">
              <controlPr defaultSize="0" autoFill="0" autoLine="0" autoPict="0">
                <anchor moveWithCells="1">
                  <from>
                    <xdr:col>35</xdr:col>
                    <xdr:colOff>99060</xdr:colOff>
                    <xdr:row>46</xdr:row>
                    <xdr:rowOff>365760</xdr:rowOff>
                  </from>
                  <to>
                    <xdr:col>102</xdr:col>
                    <xdr:colOff>266700</xdr:colOff>
                    <xdr:row>47</xdr:row>
                    <xdr:rowOff>327660</xdr:rowOff>
                  </to>
                </anchor>
              </controlPr>
            </control>
          </mc:Choice>
        </mc:AlternateContent>
        <mc:AlternateContent xmlns:mc="http://schemas.openxmlformats.org/markup-compatibility/2006">
          <mc:Choice Requires="x14">
            <control shapeId="4126860" r:id="rId143" name="Check Box 140">
              <controlPr defaultSize="0" autoFill="0" autoLine="0" autoPict="0">
                <anchor moveWithCells="1">
                  <from>
                    <xdr:col>35</xdr:col>
                    <xdr:colOff>99060</xdr:colOff>
                    <xdr:row>47</xdr:row>
                    <xdr:rowOff>304800</xdr:rowOff>
                  </from>
                  <to>
                    <xdr:col>102</xdr:col>
                    <xdr:colOff>266700</xdr:colOff>
                    <xdr:row>47</xdr:row>
                    <xdr:rowOff>822960</xdr:rowOff>
                  </to>
                </anchor>
              </controlPr>
            </control>
          </mc:Choice>
        </mc:AlternateContent>
        <mc:AlternateContent xmlns:mc="http://schemas.openxmlformats.org/markup-compatibility/2006">
          <mc:Choice Requires="x14">
            <control shapeId="4126861" r:id="rId144" name="Check Box 141">
              <controlPr defaultSize="0" autoFill="0" autoLine="0" autoPict="0">
                <anchor moveWithCells="1">
                  <from>
                    <xdr:col>35</xdr:col>
                    <xdr:colOff>99060</xdr:colOff>
                    <xdr:row>48</xdr:row>
                    <xdr:rowOff>342900</xdr:rowOff>
                  </from>
                  <to>
                    <xdr:col>102</xdr:col>
                    <xdr:colOff>266700</xdr:colOff>
                    <xdr:row>48</xdr:row>
                    <xdr:rowOff>952500</xdr:rowOff>
                  </to>
                </anchor>
              </controlPr>
            </control>
          </mc:Choice>
        </mc:AlternateContent>
        <mc:AlternateContent xmlns:mc="http://schemas.openxmlformats.org/markup-compatibility/2006">
          <mc:Choice Requires="x14">
            <control shapeId="4126862" r:id="rId145" name="Check Box 142">
              <controlPr defaultSize="0" autoFill="0" autoLine="0" autoPict="0">
                <anchor moveWithCells="1">
                  <from>
                    <xdr:col>35</xdr:col>
                    <xdr:colOff>99060</xdr:colOff>
                    <xdr:row>49</xdr:row>
                    <xdr:rowOff>754380</xdr:rowOff>
                  </from>
                  <to>
                    <xdr:col>102</xdr:col>
                    <xdr:colOff>266700</xdr:colOff>
                    <xdr:row>50</xdr:row>
                    <xdr:rowOff>632460</xdr:rowOff>
                  </to>
                </anchor>
              </controlPr>
            </control>
          </mc:Choice>
        </mc:AlternateContent>
        <mc:AlternateContent xmlns:mc="http://schemas.openxmlformats.org/markup-compatibility/2006">
          <mc:Choice Requires="x14">
            <control shapeId="4126863" r:id="rId146" name="Check Box 143">
              <controlPr defaultSize="0" autoFill="0" autoLine="0" autoPict="0">
                <anchor moveWithCells="1">
                  <from>
                    <xdr:col>35</xdr:col>
                    <xdr:colOff>99060</xdr:colOff>
                    <xdr:row>50</xdr:row>
                    <xdr:rowOff>876300</xdr:rowOff>
                  </from>
                  <to>
                    <xdr:col>102</xdr:col>
                    <xdr:colOff>266700</xdr:colOff>
                    <xdr:row>52</xdr:row>
                    <xdr:rowOff>121920</xdr:rowOff>
                  </to>
                </anchor>
              </controlPr>
            </control>
          </mc:Choice>
        </mc:AlternateContent>
        <mc:AlternateContent xmlns:mc="http://schemas.openxmlformats.org/markup-compatibility/2006">
          <mc:Choice Requires="x14">
            <control shapeId="4126864" r:id="rId147" name="Check Box 144">
              <controlPr defaultSize="0" autoFill="0" autoLine="0" autoPict="0">
                <anchor moveWithCells="1">
                  <from>
                    <xdr:col>35</xdr:col>
                    <xdr:colOff>99060</xdr:colOff>
                    <xdr:row>53</xdr:row>
                    <xdr:rowOff>53340</xdr:rowOff>
                  </from>
                  <to>
                    <xdr:col>102</xdr:col>
                    <xdr:colOff>266700</xdr:colOff>
                    <xdr:row>56</xdr:row>
                    <xdr:rowOff>0</xdr:rowOff>
                  </to>
                </anchor>
              </controlPr>
            </control>
          </mc:Choice>
        </mc:AlternateContent>
        <mc:AlternateContent xmlns:mc="http://schemas.openxmlformats.org/markup-compatibility/2006">
          <mc:Choice Requires="x14">
            <control shapeId="4126865" r:id="rId148" name="Check Box 145">
              <controlPr defaultSize="0" autoFill="0" autoLine="0" autoPict="0">
                <anchor moveWithCells="1">
                  <from>
                    <xdr:col>35</xdr:col>
                    <xdr:colOff>99060</xdr:colOff>
                    <xdr:row>51</xdr:row>
                    <xdr:rowOff>670560</xdr:rowOff>
                  </from>
                  <to>
                    <xdr:col>102</xdr:col>
                    <xdr:colOff>266700</xdr:colOff>
                    <xdr:row>52</xdr:row>
                    <xdr:rowOff>251460</xdr:rowOff>
                  </to>
                </anchor>
              </controlPr>
            </control>
          </mc:Choice>
        </mc:AlternateContent>
        <mc:AlternateContent xmlns:mc="http://schemas.openxmlformats.org/markup-compatibility/2006">
          <mc:Choice Requires="x14">
            <control shapeId="4126866" r:id="rId149" name="Check Box 146">
              <controlPr defaultSize="0" autoFill="0" autoLine="0" autoPict="0">
                <anchor moveWithCells="1">
                  <from>
                    <xdr:col>35</xdr:col>
                    <xdr:colOff>99060</xdr:colOff>
                    <xdr:row>54</xdr:row>
                    <xdr:rowOff>53340</xdr:rowOff>
                  </from>
                  <to>
                    <xdr:col>102</xdr:col>
                    <xdr:colOff>266700</xdr:colOff>
                    <xdr:row>55</xdr:row>
                    <xdr:rowOff>114300</xdr:rowOff>
                  </to>
                </anchor>
              </controlPr>
            </control>
          </mc:Choice>
        </mc:AlternateContent>
        <mc:AlternateContent xmlns:mc="http://schemas.openxmlformats.org/markup-compatibility/2006">
          <mc:Choice Requires="x14">
            <control shapeId="4126867" r:id="rId150" name="Check Box 147">
              <controlPr defaultSize="0" autoFill="0" autoLine="0" autoPict="0">
                <anchor moveWithCells="1">
                  <from>
                    <xdr:col>35</xdr:col>
                    <xdr:colOff>99060</xdr:colOff>
                    <xdr:row>56</xdr:row>
                    <xdr:rowOff>53340</xdr:rowOff>
                  </from>
                  <to>
                    <xdr:col>102</xdr:col>
                    <xdr:colOff>266700</xdr:colOff>
                    <xdr:row>57</xdr:row>
                    <xdr:rowOff>22860</xdr:rowOff>
                  </to>
                </anchor>
              </controlPr>
            </control>
          </mc:Choice>
        </mc:AlternateContent>
        <mc:AlternateContent xmlns:mc="http://schemas.openxmlformats.org/markup-compatibility/2006">
          <mc:Choice Requires="x14">
            <control shapeId="4126868" r:id="rId151" name="Check Box 148">
              <controlPr defaultSize="0" autoFill="0" autoLine="0" autoPict="0">
                <anchor moveWithCells="1">
                  <from>
                    <xdr:col>35</xdr:col>
                    <xdr:colOff>99060</xdr:colOff>
                    <xdr:row>60</xdr:row>
                    <xdr:rowOff>53340</xdr:rowOff>
                  </from>
                  <to>
                    <xdr:col>102</xdr:col>
                    <xdr:colOff>266700</xdr:colOff>
                    <xdr:row>61</xdr:row>
                    <xdr:rowOff>91440</xdr:rowOff>
                  </to>
                </anchor>
              </controlPr>
            </control>
          </mc:Choice>
        </mc:AlternateContent>
        <mc:AlternateContent xmlns:mc="http://schemas.openxmlformats.org/markup-compatibility/2006">
          <mc:Choice Requires="x14">
            <control shapeId="4126869" r:id="rId152" name="Check Box 149">
              <controlPr defaultSize="0" autoFill="0" autoLine="0" autoPict="0">
                <anchor moveWithCells="1">
                  <from>
                    <xdr:col>35</xdr:col>
                    <xdr:colOff>99060</xdr:colOff>
                    <xdr:row>62</xdr:row>
                    <xdr:rowOff>53340</xdr:rowOff>
                  </from>
                  <to>
                    <xdr:col>102</xdr:col>
                    <xdr:colOff>266700</xdr:colOff>
                    <xdr:row>63</xdr:row>
                    <xdr:rowOff>22860</xdr:rowOff>
                  </to>
                </anchor>
              </controlPr>
            </control>
          </mc:Choice>
        </mc:AlternateContent>
        <mc:AlternateContent xmlns:mc="http://schemas.openxmlformats.org/markup-compatibility/2006">
          <mc:Choice Requires="x14">
            <control shapeId="4126870" r:id="rId153" name="Check Box 150">
              <controlPr defaultSize="0" autoFill="0" autoLine="0" autoPict="0">
                <anchor moveWithCells="1">
                  <from>
                    <xdr:col>35</xdr:col>
                    <xdr:colOff>99060</xdr:colOff>
                    <xdr:row>63</xdr:row>
                    <xdr:rowOff>53340</xdr:rowOff>
                  </from>
                  <to>
                    <xdr:col>102</xdr:col>
                    <xdr:colOff>266700</xdr:colOff>
                    <xdr:row>64</xdr:row>
                    <xdr:rowOff>22860</xdr:rowOff>
                  </to>
                </anchor>
              </controlPr>
            </control>
          </mc:Choice>
        </mc:AlternateContent>
        <mc:AlternateContent xmlns:mc="http://schemas.openxmlformats.org/markup-compatibility/2006">
          <mc:Choice Requires="x14">
            <control shapeId="4126871" r:id="rId154" name="Check Box 151">
              <controlPr defaultSize="0" autoFill="0" autoLine="0" autoPict="0">
                <anchor moveWithCells="1">
                  <from>
                    <xdr:col>35</xdr:col>
                    <xdr:colOff>99060</xdr:colOff>
                    <xdr:row>55</xdr:row>
                    <xdr:rowOff>579120</xdr:rowOff>
                  </from>
                  <to>
                    <xdr:col>102</xdr:col>
                    <xdr:colOff>266700</xdr:colOff>
                    <xdr:row>56</xdr:row>
                    <xdr:rowOff>7620</xdr:rowOff>
                  </to>
                </anchor>
              </controlPr>
            </control>
          </mc:Choice>
        </mc:AlternateContent>
        <mc:AlternateContent xmlns:mc="http://schemas.openxmlformats.org/markup-compatibility/2006">
          <mc:Choice Requires="x14">
            <control shapeId="4126872" r:id="rId155" name="Check Box 152">
              <controlPr defaultSize="0" autoFill="0" autoLine="0" autoPict="0">
                <anchor moveWithCells="1">
                  <from>
                    <xdr:col>35</xdr:col>
                    <xdr:colOff>99060</xdr:colOff>
                    <xdr:row>67</xdr:row>
                    <xdr:rowOff>53340</xdr:rowOff>
                  </from>
                  <to>
                    <xdr:col>102</xdr:col>
                    <xdr:colOff>266700</xdr:colOff>
                    <xdr:row>68</xdr:row>
                    <xdr:rowOff>91440</xdr:rowOff>
                  </to>
                </anchor>
              </controlPr>
            </control>
          </mc:Choice>
        </mc:AlternateContent>
        <mc:AlternateContent xmlns:mc="http://schemas.openxmlformats.org/markup-compatibility/2006">
          <mc:Choice Requires="x14">
            <control shapeId="4126873" r:id="rId156" name="Check Box 153">
              <controlPr defaultSize="0" autoFill="0" autoLine="0" autoPict="0">
                <anchor moveWithCells="1">
                  <from>
                    <xdr:col>35</xdr:col>
                    <xdr:colOff>99060</xdr:colOff>
                    <xdr:row>70</xdr:row>
                    <xdr:rowOff>53340</xdr:rowOff>
                  </from>
                  <to>
                    <xdr:col>102</xdr:col>
                    <xdr:colOff>266700</xdr:colOff>
                    <xdr:row>71</xdr:row>
                    <xdr:rowOff>91440</xdr:rowOff>
                  </to>
                </anchor>
              </controlPr>
            </control>
          </mc:Choice>
        </mc:AlternateContent>
        <mc:AlternateContent xmlns:mc="http://schemas.openxmlformats.org/markup-compatibility/2006">
          <mc:Choice Requires="x14">
            <control shapeId="4126874" r:id="rId157" name="Check Box 154">
              <controlPr defaultSize="0" autoFill="0" autoLine="0" autoPict="0">
                <anchor moveWithCells="1">
                  <from>
                    <xdr:col>35</xdr:col>
                    <xdr:colOff>99060</xdr:colOff>
                    <xdr:row>71</xdr:row>
                    <xdr:rowOff>53340</xdr:rowOff>
                  </from>
                  <to>
                    <xdr:col>102</xdr:col>
                    <xdr:colOff>266700</xdr:colOff>
                    <xdr:row>74</xdr:row>
                    <xdr:rowOff>396240</xdr:rowOff>
                  </to>
                </anchor>
              </controlPr>
            </control>
          </mc:Choice>
        </mc:AlternateContent>
        <mc:AlternateContent xmlns:mc="http://schemas.openxmlformats.org/markup-compatibility/2006">
          <mc:Choice Requires="x14">
            <control shapeId="4126875" r:id="rId158" name="Check Box 155">
              <controlPr defaultSize="0" autoFill="0" autoLine="0" autoPict="0">
                <anchor moveWithCells="1">
                  <from>
                    <xdr:col>35</xdr:col>
                    <xdr:colOff>99060</xdr:colOff>
                    <xdr:row>73</xdr:row>
                    <xdr:rowOff>53340</xdr:rowOff>
                  </from>
                  <to>
                    <xdr:col>102</xdr:col>
                    <xdr:colOff>266700</xdr:colOff>
                    <xdr:row>74</xdr:row>
                    <xdr:rowOff>182880</xdr:rowOff>
                  </to>
                </anchor>
              </controlPr>
            </control>
          </mc:Choice>
        </mc:AlternateContent>
        <mc:AlternateContent xmlns:mc="http://schemas.openxmlformats.org/markup-compatibility/2006">
          <mc:Choice Requires="x14">
            <control shapeId="4126876" r:id="rId159" name="Check Box 156">
              <controlPr defaultSize="0" autoFill="0" autoLine="0" autoPict="0">
                <anchor moveWithCells="1">
                  <from>
                    <xdr:col>35</xdr:col>
                    <xdr:colOff>99060</xdr:colOff>
                    <xdr:row>85</xdr:row>
                    <xdr:rowOff>53340</xdr:rowOff>
                  </from>
                  <to>
                    <xdr:col>102</xdr:col>
                    <xdr:colOff>266700</xdr:colOff>
                    <xdr:row>86</xdr:row>
                    <xdr:rowOff>83820</xdr:rowOff>
                  </to>
                </anchor>
              </controlPr>
            </control>
          </mc:Choice>
        </mc:AlternateContent>
        <mc:AlternateContent xmlns:mc="http://schemas.openxmlformats.org/markup-compatibility/2006">
          <mc:Choice Requires="x14">
            <control shapeId="4126877" r:id="rId160" name="Check Box 157">
              <controlPr defaultSize="0" autoFill="0" autoLine="0" autoPict="0">
                <anchor moveWithCells="1">
                  <from>
                    <xdr:col>35</xdr:col>
                    <xdr:colOff>99060</xdr:colOff>
                    <xdr:row>86</xdr:row>
                    <xdr:rowOff>53340</xdr:rowOff>
                  </from>
                  <to>
                    <xdr:col>102</xdr:col>
                    <xdr:colOff>266700</xdr:colOff>
                    <xdr:row>87</xdr:row>
                    <xdr:rowOff>114300</xdr:rowOff>
                  </to>
                </anchor>
              </controlPr>
            </control>
          </mc:Choice>
        </mc:AlternateContent>
        <mc:AlternateContent xmlns:mc="http://schemas.openxmlformats.org/markup-compatibility/2006">
          <mc:Choice Requires="x14">
            <control shapeId="4126878" r:id="rId161" name="Check Box 158">
              <controlPr defaultSize="0" autoFill="0" autoLine="0" autoPict="0">
                <anchor moveWithCells="1">
                  <from>
                    <xdr:col>35</xdr:col>
                    <xdr:colOff>99060</xdr:colOff>
                    <xdr:row>87</xdr:row>
                    <xdr:rowOff>53340</xdr:rowOff>
                  </from>
                  <to>
                    <xdr:col>102</xdr:col>
                    <xdr:colOff>266700</xdr:colOff>
                    <xdr:row>88</xdr:row>
                    <xdr:rowOff>0</xdr:rowOff>
                  </to>
                </anchor>
              </controlPr>
            </control>
          </mc:Choice>
        </mc:AlternateContent>
        <mc:AlternateContent xmlns:mc="http://schemas.openxmlformats.org/markup-compatibility/2006">
          <mc:Choice Requires="x14">
            <control shapeId="4126879" r:id="rId162" name="Check Box 159">
              <controlPr defaultSize="0" autoFill="0" autoLine="0" autoPict="0">
                <anchor moveWithCells="1">
                  <from>
                    <xdr:col>35</xdr:col>
                    <xdr:colOff>99060</xdr:colOff>
                    <xdr:row>88</xdr:row>
                    <xdr:rowOff>53340</xdr:rowOff>
                  </from>
                  <to>
                    <xdr:col>102</xdr:col>
                    <xdr:colOff>266700</xdr:colOff>
                    <xdr:row>89</xdr:row>
                    <xdr:rowOff>68580</xdr:rowOff>
                  </to>
                </anchor>
              </controlPr>
            </control>
          </mc:Choice>
        </mc:AlternateContent>
        <mc:AlternateContent xmlns:mc="http://schemas.openxmlformats.org/markup-compatibility/2006">
          <mc:Choice Requires="x14">
            <control shapeId="4126880" r:id="rId163" name="Check Box 160">
              <controlPr defaultSize="0" autoFill="0" autoLine="0" autoPict="0">
                <anchor moveWithCells="1">
                  <from>
                    <xdr:col>35</xdr:col>
                    <xdr:colOff>99060</xdr:colOff>
                    <xdr:row>90</xdr:row>
                    <xdr:rowOff>53340</xdr:rowOff>
                  </from>
                  <to>
                    <xdr:col>102</xdr:col>
                    <xdr:colOff>266700</xdr:colOff>
                    <xdr:row>91</xdr:row>
                    <xdr:rowOff>0</xdr:rowOff>
                  </to>
                </anchor>
              </controlPr>
            </control>
          </mc:Choice>
        </mc:AlternateContent>
        <mc:AlternateContent xmlns:mc="http://schemas.openxmlformats.org/markup-compatibility/2006">
          <mc:Choice Requires="x14">
            <control shapeId="4126881" r:id="rId164" name="Check Box 161">
              <controlPr defaultSize="0" autoFill="0" autoLine="0" autoPict="0">
                <anchor moveWithCells="1">
                  <from>
                    <xdr:col>35</xdr:col>
                    <xdr:colOff>99060</xdr:colOff>
                    <xdr:row>120</xdr:row>
                    <xdr:rowOff>762000</xdr:rowOff>
                  </from>
                  <to>
                    <xdr:col>102</xdr:col>
                    <xdr:colOff>266700</xdr:colOff>
                    <xdr:row>122</xdr:row>
                    <xdr:rowOff>236220</xdr:rowOff>
                  </to>
                </anchor>
              </controlPr>
            </control>
          </mc:Choice>
        </mc:AlternateContent>
        <mc:AlternateContent xmlns:mc="http://schemas.openxmlformats.org/markup-compatibility/2006">
          <mc:Choice Requires="x14">
            <control shapeId="4126882" r:id="rId165" name="Check Box 162">
              <controlPr defaultSize="0" autoFill="0" autoLine="0" autoPict="0">
                <anchor moveWithCells="1">
                  <from>
                    <xdr:col>35</xdr:col>
                    <xdr:colOff>99060</xdr:colOff>
                    <xdr:row>76</xdr:row>
                    <xdr:rowOff>53340</xdr:rowOff>
                  </from>
                  <to>
                    <xdr:col>102</xdr:col>
                    <xdr:colOff>266700</xdr:colOff>
                    <xdr:row>82</xdr:row>
                    <xdr:rowOff>213360</xdr:rowOff>
                  </to>
                </anchor>
              </controlPr>
            </control>
          </mc:Choice>
        </mc:AlternateContent>
        <mc:AlternateContent xmlns:mc="http://schemas.openxmlformats.org/markup-compatibility/2006">
          <mc:Choice Requires="x14">
            <control shapeId="4126883" r:id="rId166" name="Check Box 163">
              <controlPr defaultSize="0" autoFill="0" autoLine="0" autoPict="0">
                <anchor moveWithCells="1">
                  <from>
                    <xdr:col>35</xdr:col>
                    <xdr:colOff>99060</xdr:colOff>
                    <xdr:row>77</xdr:row>
                    <xdr:rowOff>53340</xdr:rowOff>
                  </from>
                  <to>
                    <xdr:col>102</xdr:col>
                    <xdr:colOff>266700</xdr:colOff>
                    <xdr:row>83</xdr:row>
                    <xdr:rowOff>228600</xdr:rowOff>
                  </to>
                </anchor>
              </controlPr>
            </control>
          </mc:Choice>
        </mc:AlternateContent>
        <mc:AlternateContent xmlns:mc="http://schemas.openxmlformats.org/markup-compatibility/2006">
          <mc:Choice Requires="x14">
            <control shapeId="4126884" r:id="rId167" name="Check Box 164">
              <controlPr defaultSize="0" autoFill="0" autoLine="0" autoPict="0">
                <anchor moveWithCells="1">
                  <from>
                    <xdr:col>35</xdr:col>
                    <xdr:colOff>99060</xdr:colOff>
                    <xdr:row>78</xdr:row>
                    <xdr:rowOff>53340</xdr:rowOff>
                  </from>
                  <to>
                    <xdr:col>102</xdr:col>
                    <xdr:colOff>266700</xdr:colOff>
                    <xdr:row>84</xdr:row>
                    <xdr:rowOff>30480</xdr:rowOff>
                  </to>
                </anchor>
              </controlPr>
            </control>
          </mc:Choice>
        </mc:AlternateContent>
        <mc:AlternateContent xmlns:mc="http://schemas.openxmlformats.org/markup-compatibility/2006">
          <mc:Choice Requires="x14">
            <control shapeId="4126885" r:id="rId168" name="Check Box 165">
              <controlPr defaultSize="0" autoFill="0" autoLine="0" autoPict="0">
                <anchor moveWithCells="1">
                  <from>
                    <xdr:col>35</xdr:col>
                    <xdr:colOff>99060</xdr:colOff>
                    <xdr:row>79</xdr:row>
                    <xdr:rowOff>53340</xdr:rowOff>
                  </from>
                  <to>
                    <xdr:col>102</xdr:col>
                    <xdr:colOff>266700</xdr:colOff>
                    <xdr:row>84</xdr:row>
                    <xdr:rowOff>114300</xdr:rowOff>
                  </to>
                </anchor>
              </controlPr>
            </control>
          </mc:Choice>
        </mc:AlternateContent>
        <mc:AlternateContent xmlns:mc="http://schemas.openxmlformats.org/markup-compatibility/2006">
          <mc:Choice Requires="x14">
            <control shapeId="4126886" r:id="rId169" name="Check Box 166">
              <controlPr defaultSize="0" autoFill="0" autoLine="0" autoPict="0">
                <anchor moveWithCells="1">
                  <from>
                    <xdr:col>35</xdr:col>
                    <xdr:colOff>99060</xdr:colOff>
                    <xdr:row>80</xdr:row>
                    <xdr:rowOff>53340</xdr:rowOff>
                  </from>
                  <to>
                    <xdr:col>102</xdr:col>
                    <xdr:colOff>266700</xdr:colOff>
                    <xdr:row>84</xdr:row>
                    <xdr:rowOff>99060</xdr:rowOff>
                  </to>
                </anchor>
              </controlPr>
            </control>
          </mc:Choice>
        </mc:AlternateContent>
        <mc:AlternateContent xmlns:mc="http://schemas.openxmlformats.org/markup-compatibility/2006">
          <mc:Choice Requires="x14">
            <control shapeId="4126887" r:id="rId170" name="Check Box 167">
              <controlPr defaultSize="0" autoFill="0" autoLine="0" autoPict="0">
                <anchor moveWithCells="1">
                  <from>
                    <xdr:col>35</xdr:col>
                    <xdr:colOff>99060</xdr:colOff>
                    <xdr:row>81</xdr:row>
                    <xdr:rowOff>53340</xdr:rowOff>
                  </from>
                  <to>
                    <xdr:col>102</xdr:col>
                    <xdr:colOff>266700</xdr:colOff>
                    <xdr:row>84</xdr:row>
                    <xdr:rowOff>175260</xdr:rowOff>
                  </to>
                </anchor>
              </controlPr>
            </control>
          </mc:Choice>
        </mc:AlternateContent>
        <mc:AlternateContent xmlns:mc="http://schemas.openxmlformats.org/markup-compatibility/2006">
          <mc:Choice Requires="x14">
            <control shapeId="4126888" r:id="rId171" name="Check Box 168">
              <controlPr defaultSize="0" autoFill="0" autoLine="0" autoPict="0">
                <anchor moveWithCells="1">
                  <from>
                    <xdr:col>35</xdr:col>
                    <xdr:colOff>99060</xdr:colOff>
                    <xdr:row>82</xdr:row>
                    <xdr:rowOff>53340</xdr:rowOff>
                  </from>
                  <to>
                    <xdr:col>102</xdr:col>
                    <xdr:colOff>266700</xdr:colOff>
                    <xdr:row>84</xdr:row>
                    <xdr:rowOff>236220</xdr:rowOff>
                  </to>
                </anchor>
              </controlPr>
            </control>
          </mc:Choice>
        </mc:AlternateContent>
        <mc:AlternateContent xmlns:mc="http://schemas.openxmlformats.org/markup-compatibility/2006">
          <mc:Choice Requires="x14">
            <control shapeId="4126889" r:id="rId172" name="Check Box 169">
              <controlPr defaultSize="0" autoFill="0" autoLine="0" autoPict="0">
                <anchor moveWithCells="1">
                  <from>
                    <xdr:col>35</xdr:col>
                    <xdr:colOff>99060</xdr:colOff>
                    <xdr:row>83</xdr:row>
                    <xdr:rowOff>53340</xdr:rowOff>
                  </from>
                  <to>
                    <xdr:col>102</xdr:col>
                    <xdr:colOff>266700</xdr:colOff>
                    <xdr:row>87</xdr:row>
                    <xdr:rowOff>160020</xdr:rowOff>
                  </to>
                </anchor>
              </controlPr>
            </control>
          </mc:Choice>
        </mc:AlternateContent>
        <mc:AlternateContent xmlns:mc="http://schemas.openxmlformats.org/markup-compatibility/2006">
          <mc:Choice Requires="x14">
            <control shapeId="4126890" r:id="rId173" name="Check Box 170">
              <controlPr defaultSize="0" autoFill="0" autoLine="0" autoPict="0">
                <anchor moveWithCells="1">
                  <from>
                    <xdr:col>35</xdr:col>
                    <xdr:colOff>99060</xdr:colOff>
                    <xdr:row>84</xdr:row>
                    <xdr:rowOff>53340</xdr:rowOff>
                  </from>
                  <to>
                    <xdr:col>102</xdr:col>
                    <xdr:colOff>266700</xdr:colOff>
                    <xdr:row>87</xdr:row>
                    <xdr:rowOff>220980</xdr:rowOff>
                  </to>
                </anchor>
              </controlPr>
            </control>
          </mc:Choice>
        </mc:AlternateContent>
        <mc:AlternateContent xmlns:mc="http://schemas.openxmlformats.org/markup-compatibility/2006">
          <mc:Choice Requires="x14">
            <control shapeId="4126891" r:id="rId174" name="Check Box 171">
              <controlPr defaultSize="0" autoFill="0" autoLine="0" autoPict="0">
                <anchor moveWithCells="1">
                  <from>
                    <xdr:col>35</xdr:col>
                    <xdr:colOff>99060</xdr:colOff>
                    <xdr:row>125</xdr:row>
                    <xdr:rowOff>53340</xdr:rowOff>
                  </from>
                  <to>
                    <xdr:col>102</xdr:col>
                    <xdr:colOff>266700</xdr:colOff>
                    <xdr:row>126</xdr:row>
                    <xdr:rowOff>0</xdr:rowOff>
                  </to>
                </anchor>
              </controlPr>
            </control>
          </mc:Choice>
        </mc:AlternateContent>
        <mc:AlternateContent xmlns:mc="http://schemas.openxmlformats.org/markup-compatibility/2006">
          <mc:Choice Requires="x14">
            <control shapeId="4126892" r:id="rId175" name="Check Box 172">
              <controlPr defaultSize="0" autoFill="0" autoLine="0" autoPict="0">
                <anchor moveWithCells="1">
                  <from>
                    <xdr:col>35</xdr:col>
                    <xdr:colOff>99060</xdr:colOff>
                    <xdr:row>127</xdr:row>
                    <xdr:rowOff>53340</xdr:rowOff>
                  </from>
                  <to>
                    <xdr:col>102</xdr:col>
                    <xdr:colOff>266700</xdr:colOff>
                    <xdr:row>129</xdr:row>
                    <xdr:rowOff>281940</xdr:rowOff>
                  </to>
                </anchor>
              </controlPr>
            </control>
          </mc:Choice>
        </mc:AlternateContent>
        <mc:AlternateContent xmlns:mc="http://schemas.openxmlformats.org/markup-compatibility/2006">
          <mc:Choice Requires="x14">
            <control shapeId="4126893" r:id="rId176" name="Check Box 173">
              <controlPr defaultSize="0" autoFill="0" autoLine="0" autoPict="0">
                <anchor moveWithCells="1">
                  <from>
                    <xdr:col>35</xdr:col>
                    <xdr:colOff>99060</xdr:colOff>
                    <xdr:row>128</xdr:row>
                    <xdr:rowOff>53340</xdr:rowOff>
                  </from>
                  <to>
                    <xdr:col>102</xdr:col>
                    <xdr:colOff>266700</xdr:colOff>
                    <xdr:row>129</xdr:row>
                    <xdr:rowOff>281940</xdr:rowOff>
                  </to>
                </anchor>
              </controlPr>
            </control>
          </mc:Choice>
        </mc:AlternateContent>
        <mc:AlternateContent xmlns:mc="http://schemas.openxmlformats.org/markup-compatibility/2006">
          <mc:Choice Requires="x14">
            <control shapeId="4126894" r:id="rId177" name="Check Box 174">
              <controlPr defaultSize="0" autoFill="0" autoLine="0" autoPict="0">
                <anchor moveWithCells="1">
                  <from>
                    <xdr:col>35</xdr:col>
                    <xdr:colOff>99060</xdr:colOff>
                    <xdr:row>133</xdr:row>
                    <xdr:rowOff>53340</xdr:rowOff>
                  </from>
                  <to>
                    <xdr:col>102</xdr:col>
                    <xdr:colOff>266700</xdr:colOff>
                    <xdr:row>136</xdr:row>
                    <xdr:rowOff>205740</xdr:rowOff>
                  </to>
                </anchor>
              </controlPr>
            </control>
          </mc:Choice>
        </mc:AlternateContent>
        <mc:AlternateContent xmlns:mc="http://schemas.openxmlformats.org/markup-compatibility/2006">
          <mc:Choice Requires="x14">
            <control shapeId="4126895" r:id="rId178" name="Check Box 175">
              <controlPr defaultSize="0" autoFill="0" autoLine="0" autoPict="0">
                <anchor moveWithCells="1">
                  <from>
                    <xdr:col>35</xdr:col>
                    <xdr:colOff>99060</xdr:colOff>
                    <xdr:row>134</xdr:row>
                    <xdr:rowOff>53340</xdr:rowOff>
                  </from>
                  <to>
                    <xdr:col>102</xdr:col>
                    <xdr:colOff>266700</xdr:colOff>
                    <xdr:row>134</xdr:row>
                    <xdr:rowOff>53340</xdr:rowOff>
                  </to>
                </anchor>
              </controlPr>
            </control>
          </mc:Choice>
        </mc:AlternateContent>
        <mc:AlternateContent xmlns:mc="http://schemas.openxmlformats.org/markup-compatibility/2006">
          <mc:Choice Requires="x14">
            <control shapeId="4126896" r:id="rId179" name="Check Box 176">
              <controlPr defaultSize="0" autoFill="0" autoLine="0" autoPict="0">
                <anchor moveWithCells="1">
                  <from>
                    <xdr:col>35</xdr:col>
                    <xdr:colOff>99060</xdr:colOff>
                    <xdr:row>129</xdr:row>
                    <xdr:rowOff>731520</xdr:rowOff>
                  </from>
                  <to>
                    <xdr:col>102</xdr:col>
                    <xdr:colOff>266700</xdr:colOff>
                    <xdr:row>130</xdr:row>
                    <xdr:rowOff>609600</xdr:rowOff>
                  </to>
                </anchor>
              </controlPr>
            </control>
          </mc:Choice>
        </mc:AlternateContent>
        <mc:AlternateContent xmlns:mc="http://schemas.openxmlformats.org/markup-compatibility/2006">
          <mc:Choice Requires="x14">
            <control shapeId="4126897" r:id="rId180" name="Check Box 177">
              <controlPr defaultSize="0" autoFill="0" autoLine="0" autoPict="0">
                <anchor moveWithCells="1">
                  <from>
                    <xdr:col>35</xdr:col>
                    <xdr:colOff>99060</xdr:colOff>
                    <xdr:row>139</xdr:row>
                    <xdr:rowOff>53340</xdr:rowOff>
                  </from>
                  <to>
                    <xdr:col>102</xdr:col>
                    <xdr:colOff>266700</xdr:colOff>
                    <xdr:row>142</xdr:row>
                    <xdr:rowOff>22860</xdr:rowOff>
                  </to>
                </anchor>
              </controlPr>
            </control>
          </mc:Choice>
        </mc:AlternateContent>
        <mc:AlternateContent xmlns:mc="http://schemas.openxmlformats.org/markup-compatibility/2006">
          <mc:Choice Requires="x14">
            <control shapeId="4126898" r:id="rId181" name="Check Box 178">
              <controlPr defaultSize="0" autoFill="0" autoLine="0" autoPict="0">
                <anchor moveWithCells="1">
                  <from>
                    <xdr:col>35</xdr:col>
                    <xdr:colOff>99060</xdr:colOff>
                    <xdr:row>140</xdr:row>
                    <xdr:rowOff>53340</xdr:rowOff>
                  </from>
                  <to>
                    <xdr:col>102</xdr:col>
                    <xdr:colOff>266700</xdr:colOff>
                    <xdr:row>143</xdr:row>
                    <xdr:rowOff>0</xdr:rowOff>
                  </to>
                </anchor>
              </controlPr>
            </control>
          </mc:Choice>
        </mc:AlternateContent>
        <mc:AlternateContent xmlns:mc="http://schemas.openxmlformats.org/markup-compatibility/2006">
          <mc:Choice Requires="x14">
            <control shapeId="4126899" r:id="rId182" name="Check Box 179">
              <controlPr defaultSize="0" autoFill="0" autoLine="0" autoPict="0">
                <anchor moveWithCells="1">
                  <from>
                    <xdr:col>35</xdr:col>
                    <xdr:colOff>99060</xdr:colOff>
                    <xdr:row>142</xdr:row>
                    <xdr:rowOff>800100</xdr:rowOff>
                  </from>
                  <to>
                    <xdr:col>102</xdr:col>
                    <xdr:colOff>266700</xdr:colOff>
                    <xdr:row>143</xdr:row>
                    <xdr:rowOff>251460</xdr:rowOff>
                  </to>
                </anchor>
              </controlPr>
            </control>
          </mc:Choice>
        </mc:AlternateContent>
        <mc:AlternateContent xmlns:mc="http://schemas.openxmlformats.org/markup-compatibility/2006">
          <mc:Choice Requires="x14">
            <control shapeId="4126900" r:id="rId183" name="Check Box 180">
              <controlPr defaultSize="0" autoFill="0" autoLine="0" autoPict="0">
                <anchor moveWithCells="1">
                  <from>
                    <xdr:col>35</xdr:col>
                    <xdr:colOff>99060</xdr:colOff>
                    <xdr:row>144</xdr:row>
                    <xdr:rowOff>746760</xdr:rowOff>
                  </from>
                  <to>
                    <xdr:col>102</xdr:col>
                    <xdr:colOff>266700</xdr:colOff>
                    <xdr:row>145</xdr:row>
                    <xdr:rowOff>0</xdr:rowOff>
                  </to>
                </anchor>
              </controlPr>
            </control>
          </mc:Choice>
        </mc:AlternateContent>
        <mc:AlternateContent xmlns:mc="http://schemas.openxmlformats.org/markup-compatibility/2006">
          <mc:Choice Requires="x14">
            <control shapeId="4126901" r:id="rId184" name="Check Box 181">
              <controlPr defaultSize="0" autoFill="0" autoLine="0" autoPict="0">
                <anchor moveWithCells="1">
                  <from>
                    <xdr:col>35</xdr:col>
                    <xdr:colOff>99060</xdr:colOff>
                    <xdr:row>154</xdr:row>
                    <xdr:rowOff>830580</xdr:rowOff>
                  </from>
                  <to>
                    <xdr:col>102</xdr:col>
                    <xdr:colOff>266700</xdr:colOff>
                    <xdr:row>157</xdr:row>
                    <xdr:rowOff>68580</xdr:rowOff>
                  </to>
                </anchor>
              </controlPr>
            </control>
          </mc:Choice>
        </mc:AlternateContent>
        <mc:AlternateContent xmlns:mc="http://schemas.openxmlformats.org/markup-compatibility/2006">
          <mc:Choice Requires="x14">
            <control shapeId="4126902" r:id="rId185" name="Check Box 182">
              <controlPr defaultSize="0" autoFill="0" autoLine="0" autoPict="0">
                <anchor moveWithCells="1">
                  <from>
                    <xdr:col>35</xdr:col>
                    <xdr:colOff>99060</xdr:colOff>
                    <xdr:row>155</xdr:row>
                    <xdr:rowOff>53340</xdr:rowOff>
                  </from>
                  <to>
                    <xdr:col>102</xdr:col>
                    <xdr:colOff>266700</xdr:colOff>
                    <xdr:row>156</xdr:row>
                    <xdr:rowOff>68580</xdr:rowOff>
                  </to>
                </anchor>
              </controlPr>
            </control>
          </mc:Choice>
        </mc:AlternateContent>
        <mc:AlternateContent xmlns:mc="http://schemas.openxmlformats.org/markup-compatibility/2006">
          <mc:Choice Requires="x14">
            <control shapeId="4126903" r:id="rId186" name="Check Box 183">
              <controlPr defaultSize="0" autoFill="0" autoLine="0" autoPict="0">
                <anchor moveWithCells="1">
                  <from>
                    <xdr:col>35</xdr:col>
                    <xdr:colOff>99060</xdr:colOff>
                    <xdr:row>156</xdr:row>
                    <xdr:rowOff>53340</xdr:rowOff>
                  </from>
                  <to>
                    <xdr:col>102</xdr:col>
                    <xdr:colOff>266700</xdr:colOff>
                    <xdr:row>156</xdr:row>
                    <xdr:rowOff>358140</xdr:rowOff>
                  </to>
                </anchor>
              </controlPr>
            </control>
          </mc:Choice>
        </mc:AlternateContent>
        <mc:AlternateContent xmlns:mc="http://schemas.openxmlformats.org/markup-compatibility/2006">
          <mc:Choice Requires="x14">
            <control shapeId="4126904" r:id="rId187" name="Check Box 184">
              <controlPr defaultSize="0" autoFill="0" autoLine="0" autoPict="0">
                <anchor moveWithCells="1">
                  <from>
                    <xdr:col>35</xdr:col>
                    <xdr:colOff>99060</xdr:colOff>
                    <xdr:row>157</xdr:row>
                    <xdr:rowOff>53340</xdr:rowOff>
                  </from>
                  <to>
                    <xdr:col>102</xdr:col>
                    <xdr:colOff>266700</xdr:colOff>
                    <xdr:row>157</xdr:row>
                    <xdr:rowOff>274320</xdr:rowOff>
                  </to>
                </anchor>
              </controlPr>
            </control>
          </mc:Choice>
        </mc:AlternateContent>
        <mc:AlternateContent xmlns:mc="http://schemas.openxmlformats.org/markup-compatibility/2006">
          <mc:Choice Requires="x14">
            <control shapeId="4126905" r:id="rId188" name="Check Box 185">
              <controlPr defaultSize="0" autoFill="0" autoLine="0" autoPict="0">
                <anchor moveWithCells="1">
                  <from>
                    <xdr:col>35</xdr:col>
                    <xdr:colOff>99060</xdr:colOff>
                    <xdr:row>158</xdr:row>
                    <xdr:rowOff>53340</xdr:rowOff>
                  </from>
                  <to>
                    <xdr:col>102</xdr:col>
                    <xdr:colOff>266700</xdr:colOff>
                    <xdr:row>158</xdr:row>
                    <xdr:rowOff>274320</xdr:rowOff>
                  </to>
                </anchor>
              </controlPr>
            </control>
          </mc:Choice>
        </mc:AlternateContent>
        <mc:AlternateContent xmlns:mc="http://schemas.openxmlformats.org/markup-compatibility/2006">
          <mc:Choice Requires="x14">
            <control shapeId="4126906" r:id="rId189" name="Check Box 186">
              <controlPr defaultSize="0" autoFill="0" autoLine="0" autoPict="0">
                <anchor moveWithCells="1">
                  <from>
                    <xdr:col>35</xdr:col>
                    <xdr:colOff>99060</xdr:colOff>
                    <xdr:row>147</xdr:row>
                    <xdr:rowOff>53340</xdr:rowOff>
                  </from>
                  <to>
                    <xdr:col>102</xdr:col>
                    <xdr:colOff>266700</xdr:colOff>
                    <xdr:row>148</xdr:row>
                    <xdr:rowOff>0</xdr:rowOff>
                  </to>
                </anchor>
              </controlPr>
            </control>
          </mc:Choice>
        </mc:AlternateContent>
        <mc:AlternateContent xmlns:mc="http://schemas.openxmlformats.org/markup-compatibility/2006">
          <mc:Choice Requires="x14">
            <control shapeId="4126907" r:id="rId190" name="Check Box 187">
              <controlPr defaultSize="0" autoFill="0" autoLine="0" autoPict="0">
                <anchor moveWithCells="1">
                  <from>
                    <xdr:col>35</xdr:col>
                    <xdr:colOff>99060</xdr:colOff>
                    <xdr:row>148</xdr:row>
                    <xdr:rowOff>53340</xdr:rowOff>
                  </from>
                  <to>
                    <xdr:col>102</xdr:col>
                    <xdr:colOff>266700</xdr:colOff>
                    <xdr:row>148</xdr:row>
                    <xdr:rowOff>274320</xdr:rowOff>
                  </to>
                </anchor>
              </controlPr>
            </control>
          </mc:Choice>
        </mc:AlternateContent>
        <mc:AlternateContent xmlns:mc="http://schemas.openxmlformats.org/markup-compatibility/2006">
          <mc:Choice Requires="x14">
            <control shapeId="4126908" r:id="rId191" name="Check Box 188">
              <controlPr defaultSize="0" autoFill="0" autoLine="0" autoPict="0">
                <anchor moveWithCells="1">
                  <from>
                    <xdr:col>35</xdr:col>
                    <xdr:colOff>99060</xdr:colOff>
                    <xdr:row>149</xdr:row>
                    <xdr:rowOff>53340</xdr:rowOff>
                  </from>
                  <to>
                    <xdr:col>102</xdr:col>
                    <xdr:colOff>266700</xdr:colOff>
                    <xdr:row>149</xdr:row>
                    <xdr:rowOff>274320</xdr:rowOff>
                  </to>
                </anchor>
              </controlPr>
            </control>
          </mc:Choice>
        </mc:AlternateContent>
        <mc:AlternateContent xmlns:mc="http://schemas.openxmlformats.org/markup-compatibility/2006">
          <mc:Choice Requires="x14">
            <control shapeId="4126909" r:id="rId192" name="Check Box 189">
              <controlPr defaultSize="0" autoFill="0" autoLine="0" autoPict="0">
                <anchor moveWithCells="1">
                  <from>
                    <xdr:col>35</xdr:col>
                    <xdr:colOff>99060</xdr:colOff>
                    <xdr:row>150</xdr:row>
                    <xdr:rowOff>53340</xdr:rowOff>
                  </from>
                  <to>
                    <xdr:col>102</xdr:col>
                    <xdr:colOff>266700</xdr:colOff>
                    <xdr:row>150</xdr:row>
                    <xdr:rowOff>274320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88E9-4D5F-4BCE-9E4F-66D820694C31}">
  <sheetPr codeName="Sheet14">
    <pageSetUpPr fitToPage="1"/>
  </sheetPr>
  <dimension ref="B2:U63"/>
  <sheetViews>
    <sheetView showGridLines="0" workbookViewId="0">
      <selection activeCell="E9" sqref="E9"/>
    </sheetView>
  </sheetViews>
  <sheetFormatPr defaultColWidth="9" defaultRowHeight="13.2"/>
  <cols>
    <col min="1" max="1" width="3.44140625" style="869" customWidth="1"/>
    <col min="2" max="2" width="2.6640625" style="869" customWidth="1"/>
    <col min="3" max="3" width="10.44140625" style="869" customWidth="1"/>
    <col min="4" max="4" width="6.88671875" style="869" customWidth="1"/>
    <col min="5" max="5" width="8.6640625" style="869" customWidth="1"/>
    <col min="6" max="6" width="7.44140625" style="869" customWidth="1"/>
    <col min="7" max="7" width="8" style="869" customWidth="1"/>
    <col min="8" max="8" width="10.77734375" style="869" customWidth="1"/>
    <col min="9" max="9" width="10.44140625" style="869" customWidth="1"/>
    <col min="10" max="10" width="9" style="869"/>
    <col min="11" max="11" width="10.77734375" style="869" customWidth="1"/>
    <col min="12" max="14" width="9" style="869"/>
    <col min="15" max="15" width="13.109375" style="870" customWidth="1"/>
    <col min="16" max="17" width="9" style="869"/>
    <col min="18" max="18" width="12.109375" style="869" customWidth="1"/>
    <col min="19" max="19" width="9" style="869"/>
    <col min="20" max="20" width="10.88671875" style="869" customWidth="1"/>
    <col min="21" max="16384" width="9" style="869"/>
  </cols>
  <sheetData>
    <row r="2" spans="2:19" ht="19.2">
      <c r="B2" s="929" t="s">
        <v>1174</v>
      </c>
      <c r="C2" s="871"/>
      <c r="D2" s="871"/>
      <c r="E2" s="871"/>
      <c r="F2" s="871"/>
      <c r="G2" s="871"/>
      <c r="H2" s="871"/>
      <c r="I2" s="871"/>
      <c r="J2" s="871"/>
      <c r="K2" s="871"/>
      <c r="L2" s="871"/>
      <c r="M2" s="871"/>
      <c r="N2" s="871"/>
      <c r="O2" s="872"/>
      <c r="P2" s="871"/>
      <c r="Q2" s="871"/>
      <c r="R2" s="871"/>
      <c r="S2" s="927"/>
    </row>
    <row r="3" spans="2:19" ht="13.8" thickBot="1">
      <c r="B3" s="871"/>
      <c r="C3" s="928" t="s">
        <v>1173</v>
      </c>
      <c r="D3" s="871"/>
      <c r="E3" s="871"/>
      <c r="F3" s="871"/>
      <c r="G3" s="871"/>
      <c r="H3" s="871"/>
      <c r="I3" s="871" t="s">
        <v>1172</v>
      </c>
      <c r="J3" s="871"/>
      <c r="K3" s="871"/>
      <c r="L3" s="871"/>
      <c r="M3" s="871"/>
      <c r="N3" s="871"/>
      <c r="O3" s="872"/>
      <c r="P3" s="871"/>
      <c r="Q3" s="871"/>
      <c r="R3" s="871"/>
      <c r="S3" s="927"/>
    </row>
    <row r="4" spans="2:19" ht="14.4" thickTop="1" thickBot="1">
      <c r="B4" s="871"/>
      <c r="C4" s="871"/>
      <c r="D4" s="871"/>
      <c r="E4" s="926"/>
      <c r="F4" s="871" t="s">
        <v>1171</v>
      </c>
      <c r="G4" s="871"/>
      <c r="H4" s="871"/>
      <c r="I4" s="871" t="s">
        <v>1170</v>
      </c>
      <c r="J4" s="871"/>
      <c r="K4" s="871"/>
      <c r="L4" s="871"/>
      <c r="M4" s="871"/>
      <c r="N4" s="871"/>
      <c r="O4" s="872"/>
      <c r="P4" s="871"/>
      <c r="Q4" s="871"/>
      <c r="R4" s="871"/>
      <c r="S4" s="871"/>
    </row>
    <row r="5" spans="2:19" ht="13.8" thickTop="1">
      <c r="B5" s="871"/>
      <c r="C5" s="871"/>
      <c r="D5" s="871"/>
      <c r="E5" s="911"/>
      <c r="F5" s="871" t="s">
        <v>1169</v>
      </c>
      <c r="G5" s="871"/>
      <c r="H5" s="871"/>
      <c r="I5" s="871" t="s">
        <v>1168</v>
      </c>
      <c r="J5" s="871"/>
      <c r="K5" s="871"/>
      <c r="L5" s="871"/>
      <c r="M5" s="871"/>
      <c r="N5" s="871"/>
      <c r="O5" s="872"/>
      <c r="P5" s="871"/>
      <c r="Q5" s="871"/>
      <c r="R5" s="871"/>
      <c r="S5" s="871"/>
    </row>
    <row r="6" spans="2:19">
      <c r="B6" s="871"/>
      <c r="C6" s="871"/>
      <c r="D6" s="871"/>
      <c r="E6" s="925"/>
      <c r="F6" s="871" t="s">
        <v>1167</v>
      </c>
      <c r="G6" s="871"/>
      <c r="H6" s="871"/>
      <c r="I6" s="871"/>
      <c r="J6" s="871"/>
      <c r="K6" s="871"/>
      <c r="L6" s="871"/>
      <c r="M6" s="871"/>
      <c r="N6" s="871"/>
      <c r="O6" s="872"/>
      <c r="P6" s="871"/>
      <c r="Q6" s="871"/>
      <c r="R6" s="871"/>
      <c r="S6" s="871"/>
    </row>
    <row r="7" spans="2:19">
      <c r="B7" s="871"/>
      <c r="C7" s="871"/>
      <c r="D7" s="871"/>
      <c r="E7" s="871"/>
      <c r="F7" s="871"/>
      <c r="G7" s="871"/>
      <c r="H7" s="871"/>
      <c r="I7" s="871"/>
      <c r="J7" s="871"/>
      <c r="K7" s="871"/>
      <c r="L7" s="871"/>
      <c r="M7" s="871"/>
      <c r="N7" s="871"/>
      <c r="O7" s="872"/>
      <c r="P7" s="871"/>
      <c r="Q7" s="871"/>
      <c r="R7" s="871"/>
      <c r="S7" s="871"/>
    </row>
    <row r="8" spans="2:19" ht="13.8" thickBot="1">
      <c r="B8" s="871"/>
      <c r="C8" s="871"/>
      <c r="D8" s="871"/>
      <c r="E8" s="871"/>
      <c r="F8" s="871"/>
      <c r="G8" s="871"/>
      <c r="H8" s="871"/>
      <c r="I8" s="871"/>
      <c r="J8" s="871"/>
      <c r="K8" s="871"/>
      <c r="L8" s="871"/>
      <c r="M8" s="871"/>
      <c r="N8" s="871"/>
      <c r="O8" s="872"/>
      <c r="P8" s="871"/>
      <c r="Q8" s="871"/>
      <c r="R8" s="871"/>
      <c r="S8" s="871"/>
    </row>
    <row r="9" spans="2:19" ht="14.4" thickTop="1" thickBot="1">
      <c r="B9" s="871" t="s">
        <v>1166</v>
      </c>
      <c r="C9" s="871" t="s">
        <v>1165</v>
      </c>
      <c r="D9" s="871"/>
      <c r="E9" s="924"/>
      <c r="F9" s="871" t="s">
        <v>118</v>
      </c>
      <c r="G9" s="871"/>
      <c r="H9" s="871"/>
      <c r="I9" s="871"/>
      <c r="J9" s="871"/>
      <c r="K9" s="871"/>
      <c r="L9" s="871"/>
      <c r="M9" s="871"/>
      <c r="N9" s="871"/>
      <c r="O9" s="872"/>
      <c r="P9" s="871"/>
      <c r="Q9" s="871"/>
      <c r="R9" s="871"/>
      <c r="S9" s="871"/>
    </row>
    <row r="10" spans="2:19" ht="14.4" thickTop="1" thickBot="1">
      <c r="B10" s="871" t="s">
        <v>1164</v>
      </c>
      <c r="C10" s="871" t="s">
        <v>1142</v>
      </c>
      <c r="D10" s="871"/>
      <c r="E10" s="924"/>
      <c r="F10" s="871" t="s">
        <v>34</v>
      </c>
      <c r="G10" s="871"/>
      <c r="H10" s="871"/>
      <c r="I10" s="871"/>
      <c r="J10" s="871"/>
      <c r="K10" s="871"/>
      <c r="L10" s="871"/>
      <c r="M10" s="871"/>
      <c r="N10" s="871"/>
      <c r="O10" s="872"/>
      <c r="P10" s="871"/>
      <c r="Q10" s="871"/>
      <c r="R10" s="871"/>
      <c r="S10" s="871"/>
    </row>
    <row r="11" spans="2:19" ht="14.4" thickTop="1" thickBot="1">
      <c r="B11" s="871" t="s">
        <v>1163</v>
      </c>
      <c r="C11" s="871" t="s">
        <v>1162</v>
      </c>
      <c r="D11" s="871" t="s">
        <v>1161</v>
      </c>
      <c r="E11" s="913"/>
      <c r="F11" s="871" t="s">
        <v>209</v>
      </c>
      <c r="G11" s="871" t="s">
        <v>1160</v>
      </c>
      <c r="H11" s="1240">
        <f>100-E11</f>
        <v>100</v>
      </c>
      <c r="I11" s="871" t="s">
        <v>209</v>
      </c>
      <c r="J11" s="871"/>
      <c r="K11" s="871"/>
      <c r="L11" s="871"/>
      <c r="M11" s="871"/>
      <c r="N11" s="871"/>
      <c r="O11" s="872"/>
      <c r="P11" s="871"/>
      <c r="Q11" s="871"/>
      <c r="R11" s="871"/>
      <c r="S11" s="871"/>
    </row>
    <row r="12" spans="2:19" ht="13.8" thickTop="1">
      <c r="B12" s="871"/>
      <c r="C12" s="871"/>
      <c r="D12" s="871" t="s">
        <v>1161</v>
      </c>
      <c r="E12" s="912">
        <f>$E$9*E11/100</f>
        <v>0</v>
      </c>
      <c r="F12" s="871" t="s">
        <v>118</v>
      </c>
      <c r="G12" s="871" t="s">
        <v>1160</v>
      </c>
      <c r="H12" s="1241">
        <f>$E$9*H11/100</f>
        <v>0</v>
      </c>
      <c r="I12" s="871" t="s">
        <v>118</v>
      </c>
      <c r="J12" s="871"/>
      <c r="K12" s="871"/>
      <c r="L12" s="871"/>
      <c r="M12" s="871"/>
      <c r="N12" s="871"/>
      <c r="O12" s="872"/>
      <c r="P12" s="871"/>
      <c r="Q12" s="871"/>
      <c r="R12" s="871"/>
      <c r="S12" s="871"/>
    </row>
    <row r="13" spans="2:19">
      <c r="B13" s="871"/>
      <c r="C13" s="871"/>
      <c r="D13" s="871"/>
      <c r="E13" s="871"/>
      <c r="F13" s="871"/>
      <c r="G13" s="871"/>
      <c r="H13" s="871"/>
      <c r="I13" s="871"/>
      <c r="J13" s="871"/>
      <c r="K13" s="871"/>
      <c r="L13" s="871"/>
      <c r="M13" s="871"/>
      <c r="N13" s="871"/>
      <c r="O13" s="872"/>
      <c r="P13" s="871"/>
      <c r="Q13" s="871"/>
      <c r="R13" s="871"/>
      <c r="S13" s="871"/>
    </row>
    <row r="14" spans="2:19">
      <c r="B14" s="871" t="s">
        <v>1159</v>
      </c>
      <c r="C14" s="871" t="s">
        <v>1158</v>
      </c>
      <c r="D14" s="871"/>
      <c r="E14" s="871"/>
      <c r="F14" s="871"/>
      <c r="G14" s="871"/>
      <c r="H14" s="871"/>
      <c r="I14" s="871"/>
      <c r="J14" s="871"/>
      <c r="K14" s="871"/>
      <c r="L14" s="871"/>
      <c r="M14" s="871"/>
      <c r="N14" s="871"/>
      <c r="O14" s="872"/>
      <c r="P14" s="871"/>
      <c r="Q14" s="871"/>
      <c r="R14" s="871"/>
      <c r="S14" s="871"/>
    </row>
    <row r="15" spans="2:19">
      <c r="B15" s="871"/>
      <c r="C15" s="871" t="s">
        <v>1157</v>
      </c>
      <c r="D15" s="871"/>
      <c r="E15" s="871"/>
      <c r="F15" s="871"/>
      <c r="G15" s="871"/>
      <c r="H15" s="871"/>
      <c r="I15" s="871"/>
      <c r="J15" s="871"/>
      <c r="K15" s="871"/>
      <c r="L15" s="871"/>
      <c r="M15" s="871"/>
      <c r="N15" s="871"/>
      <c r="O15" s="872"/>
      <c r="P15" s="871"/>
      <c r="Q15" s="871"/>
      <c r="R15" s="871"/>
      <c r="S15" s="871"/>
    </row>
    <row r="16" spans="2:19" ht="13.8" thickBot="1">
      <c r="B16" s="871"/>
      <c r="C16" s="871"/>
      <c r="D16" s="871"/>
      <c r="E16" s="871" t="s">
        <v>1136</v>
      </c>
      <c r="F16" s="871"/>
      <c r="G16" s="871" t="s">
        <v>1156</v>
      </c>
      <c r="H16" s="871"/>
      <c r="I16" s="871" t="s">
        <v>1155</v>
      </c>
      <c r="J16" s="871"/>
      <c r="K16" s="871"/>
      <c r="L16" s="871"/>
      <c r="M16" s="871"/>
      <c r="N16" s="871"/>
      <c r="O16" s="872"/>
      <c r="P16" s="871"/>
      <c r="Q16" s="871"/>
      <c r="R16" s="871"/>
      <c r="S16" s="871"/>
    </row>
    <row r="17" spans="2:19" ht="14.4" thickTop="1" thickBot="1">
      <c r="B17" s="871"/>
      <c r="C17" s="871" t="s">
        <v>1154</v>
      </c>
      <c r="D17" s="886"/>
      <c r="E17" s="923"/>
      <c r="F17" s="871" t="s">
        <v>1129</v>
      </c>
      <c r="G17" s="911">
        <v>0.42</v>
      </c>
      <c r="H17" s="871" t="s">
        <v>1148</v>
      </c>
      <c r="I17" s="1241">
        <f>E$12</f>
        <v>0</v>
      </c>
      <c r="J17" s="871" t="s">
        <v>1147</v>
      </c>
      <c r="K17" s="1242">
        <f t="shared" ref="K17:K22" si="0">E17*G17*I17</f>
        <v>0</v>
      </c>
      <c r="L17" s="871" t="s">
        <v>1118</v>
      </c>
      <c r="M17" s="871"/>
      <c r="N17" s="871"/>
      <c r="O17" s="872"/>
      <c r="P17" s="871"/>
      <c r="Q17" s="886" t="s">
        <v>1132</v>
      </c>
      <c r="R17" s="919">
        <f t="shared" ref="R17:R22" si="1">K17*M$24</f>
        <v>0</v>
      </c>
      <c r="S17" s="871"/>
    </row>
    <row r="18" spans="2:19" ht="14.4" thickTop="1" thickBot="1">
      <c r="B18" s="871"/>
      <c r="C18" s="871" t="s">
        <v>1153</v>
      </c>
      <c r="D18" s="886"/>
      <c r="E18" s="922"/>
      <c r="F18" s="871" t="s">
        <v>1129</v>
      </c>
      <c r="G18" s="911">
        <v>2.88</v>
      </c>
      <c r="H18" s="871" t="s">
        <v>1148</v>
      </c>
      <c r="I18" s="1241">
        <f>E$12</f>
        <v>0</v>
      </c>
      <c r="J18" s="871" t="s">
        <v>1147</v>
      </c>
      <c r="K18" s="1242">
        <f t="shared" si="0"/>
        <v>0</v>
      </c>
      <c r="L18" s="871" t="s">
        <v>1118</v>
      </c>
      <c r="M18" s="871"/>
      <c r="N18" s="871"/>
      <c r="O18" s="872"/>
      <c r="P18" s="871"/>
      <c r="Q18" s="886" t="s">
        <v>1132</v>
      </c>
      <c r="R18" s="919">
        <f t="shared" si="1"/>
        <v>0</v>
      </c>
      <c r="S18" s="871"/>
    </row>
    <row r="19" spans="2:19" ht="14.4" thickTop="1" thickBot="1">
      <c r="B19" s="871"/>
      <c r="C19" s="871" t="s">
        <v>1152</v>
      </c>
      <c r="D19" s="889"/>
      <c r="E19" s="922"/>
      <c r="F19" s="871" t="s">
        <v>1129</v>
      </c>
      <c r="G19" s="911">
        <f>G17+G18</f>
        <v>3.3</v>
      </c>
      <c r="H19" s="871" t="s">
        <v>1148</v>
      </c>
      <c r="I19" s="1241">
        <f>E$12</f>
        <v>0</v>
      </c>
      <c r="J19" s="871" t="s">
        <v>1147</v>
      </c>
      <c r="K19" s="1242">
        <f t="shared" si="0"/>
        <v>0</v>
      </c>
      <c r="L19" s="871" t="s">
        <v>1118</v>
      </c>
      <c r="M19" s="871"/>
      <c r="N19" s="871"/>
      <c r="O19" s="872"/>
      <c r="P19" s="871"/>
      <c r="Q19" s="889" t="s">
        <v>1105</v>
      </c>
      <c r="R19" s="915">
        <f t="shared" si="1"/>
        <v>0</v>
      </c>
      <c r="S19" s="871"/>
    </row>
    <row r="20" spans="2:19" ht="14.4" thickTop="1" thickBot="1">
      <c r="B20" s="871"/>
      <c r="C20" s="871" t="s">
        <v>1151</v>
      </c>
      <c r="D20" s="886"/>
      <c r="E20" s="923"/>
      <c r="F20" s="871" t="s">
        <v>1129</v>
      </c>
      <c r="G20" s="911">
        <v>2.93</v>
      </c>
      <c r="H20" s="871" t="s">
        <v>1148</v>
      </c>
      <c r="I20" s="1241">
        <f>H$12</f>
        <v>0</v>
      </c>
      <c r="J20" s="871" t="s">
        <v>1147</v>
      </c>
      <c r="K20" s="1242">
        <f t="shared" si="0"/>
        <v>0</v>
      </c>
      <c r="L20" s="871" t="s">
        <v>1118</v>
      </c>
      <c r="M20" s="871"/>
      <c r="N20" s="871"/>
      <c r="O20" s="872"/>
      <c r="P20" s="871"/>
      <c r="Q20" s="886" t="s">
        <v>1132</v>
      </c>
      <c r="R20" s="919">
        <f t="shared" si="1"/>
        <v>0</v>
      </c>
      <c r="S20" s="871"/>
    </row>
    <row r="21" spans="2:19" ht="14.4" thickTop="1" thickBot="1">
      <c r="B21" s="871"/>
      <c r="C21" s="871" t="s">
        <v>1150</v>
      </c>
      <c r="D21" s="889"/>
      <c r="E21" s="922"/>
      <c r="F21" s="871" t="s">
        <v>1129</v>
      </c>
      <c r="G21" s="911">
        <v>3.3</v>
      </c>
      <c r="H21" s="871" t="s">
        <v>1148</v>
      </c>
      <c r="I21" s="1241">
        <f>H$12</f>
        <v>0</v>
      </c>
      <c r="J21" s="871" t="s">
        <v>1147</v>
      </c>
      <c r="K21" s="1242">
        <f t="shared" si="0"/>
        <v>0</v>
      </c>
      <c r="L21" s="871" t="s">
        <v>1118</v>
      </c>
      <c r="N21" s="871"/>
      <c r="O21" s="872"/>
      <c r="P21" s="871"/>
      <c r="Q21" s="889" t="s">
        <v>1105</v>
      </c>
      <c r="R21" s="915">
        <f t="shared" si="1"/>
        <v>0</v>
      </c>
      <c r="S21" s="871"/>
    </row>
    <row r="22" spans="2:19" ht="14.4" thickTop="1" thickBot="1">
      <c r="B22" s="871"/>
      <c r="C22" s="871" t="s">
        <v>1149</v>
      </c>
      <c r="D22" s="889"/>
      <c r="E22" s="922"/>
      <c r="F22" s="871" t="s">
        <v>1129</v>
      </c>
      <c r="G22" s="911">
        <v>3</v>
      </c>
      <c r="H22" s="871" t="s">
        <v>1148</v>
      </c>
      <c r="I22" s="1241">
        <f>$E9</f>
        <v>0</v>
      </c>
      <c r="J22" s="871" t="s">
        <v>1147</v>
      </c>
      <c r="K22" s="1242">
        <f t="shared" si="0"/>
        <v>0</v>
      </c>
      <c r="L22" s="871" t="s">
        <v>1146</v>
      </c>
      <c r="M22" s="871"/>
      <c r="N22" s="871"/>
      <c r="O22" s="872"/>
      <c r="P22" s="871"/>
      <c r="Q22" s="889" t="s">
        <v>1105</v>
      </c>
      <c r="R22" s="915">
        <f t="shared" si="1"/>
        <v>0</v>
      </c>
      <c r="S22" s="871"/>
    </row>
    <row r="23" spans="2:19" ht="13.8" thickTop="1">
      <c r="B23" s="871"/>
      <c r="C23" s="871"/>
      <c r="D23" s="889"/>
      <c r="E23" s="871"/>
      <c r="F23" s="871"/>
      <c r="G23" s="871"/>
      <c r="H23" s="871"/>
      <c r="I23" s="871"/>
      <c r="J23" s="871"/>
      <c r="K23" s="871"/>
      <c r="L23" s="871"/>
      <c r="M23" s="871" t="s">
        <v>1121</v>
      </c>
      <c r="N23" s="871"/>
      <c r="O23" s="872"/>
      <c r="P23" s="871"/>
      <c r="Q23" s="871"/>
      <c r="R23" s="871"/>
      <c r="S23" s="871"/>
    </row>
    <row r="24" spans="2:19" ht="15" customHeight="1">
      <c r="B24" s="871"/>
      <c r="C24" s="871"/>
      <c r="D24" s="871"/>
      <c r="E24" s="871" t="s">
        <v>1145</v>
      </c>
      <c r="F24" s="871"/>
      <c r="G24" s="871"/>
      <c r="H24" s="871"/>
      <c r="I24" s="871"/>
      <c r="J24" s="887" t="s">
        <v>1127</v>
      </c>
      <c r="K24" s="1242">
        <f>SUM(K17:K22)</f>
        <v>0</v>
      </c>
      <c r="L24" s="871" t="s">
        <v>1126</v>
      </c>
      <c r="M24" s="911">
        <v>300</v>
      </c>
      <c r="N24" s="871" t="s">
        <v>1117</v>
      </c>
      <c r="O24" s="1243">
        <f>K24*M24</f>
        <v>0</v>
      </c>
      <c r="P24" s="871" t="s">
        <v>1102</v>
      </c>
      <c r="Q24" s="871" t="s">
        <v>1125</v>
      </c>
      <c r="R24" s="914">
        <f>SUM(R17:R23)</f>
        <v>0</v>
      </c>
      <c r="S24" s="871"/>
    </row>
    <row r="25" spans="2:19">
      <c r="B25" s="871"/>
      <c r="C25" s="871"/>
      <c r="D25" s="871"/>
      <c r="E25" s="871"/>
      <c r="F25" s="871"/>
      <c r="G25" s="871"/>
      <c r="H25" s="871"/>
      <c r="I25" s="871"/>
      <c r="J25" s="887" t="s">
        <v>1101</v>
      </c>
      <c r="K25" s="914" t="e">
        <f>K24/$E$9</f>
        <v>#DIV/0!</v>
      </c>
      <c r="L25" s="871" t="s">
        <v>1144</v>
      </c>
      <c r="M25" s="871"/>
      <c r="N25" s="887" t="s">
        <v>1101</v>
      </c>
      <c r="O25" s="921" t="e">
        <f>O24/$E$10</f>
        <v>#DIV/0!</v>
      </c>
      <c r="P25" s="871" t="s">
        <v>1100</v>
      </c>
      <c r="Q25" s="871"/>
      <c r="R25" s="871"/>
      <c r="S25" s="871"/>
    </row>
    <row r="26" spans="2:19">
      <c r="B26" s="871"/>
      <c r="C26" s="871"/>
      <c r="D26" s="871"/>
      <c r="E26" s="871"/>
      <c r="F26" s="871"/>
      <c r="G26" s="871"/>
      <c r="H26" s="871"/>
      <c r="I26" s="871"/>
      <c r="J26" s="887"/>
      <c r="K26" s="871"/>
      <c r="L26" s="871"/>
      <c r="M26" s="871"/>
      <c r="N26" s="887"/>
      <c r="O26" s="872"/>
      <c r="P26" s="871"/>
      <c r="Q26" s="871"/>
      <c r="R26" s="871"/>
      <c r="S26" s="871"/>
    </row>
    <row r="27" spans="2:19">
      <c r="B27" s="871"/>
      <c r="C27" s="871" t="s">
        <v>1143</v>
      </c>
      <c r="D27" s="871"/>
      <c r="E27" s="871" t="s">
        <v>1142</v>
      </c>
      <c r="F27" s="871"/>
      <c r="G27" s="871" t="s">
        <v>1141</v>
      </c>
      <c r="H27" s="871"/>
      <c r="I27" s="871" t="s">
        <v>1137</v>
      </c>
      <c r="J27" s="887"/>
      <c r="K27" s="871"/>
      <c r="L27" s="871"/>
      <c r="M27" s="871"/>
      <c r="N27" s="887"/>
      <c r="O27" s="872"/>
      <c r="P27" s="871"/>
      <c r="Q27" s="871"/>
      <c r="R27" s="871"/>
      <c r="S27" s="871"/>
    </row>
    <row r="28" spans="2:19">
      <c r="B28" s="871"/>
      <c r="C28" s="871" t="s">
        <v>1134</v>
      </c>
      <c r="D28" s="871"/>
      <c r="E28" s="871">
        <f>E10</f>
        <v>0</v>
      </c>
      <c r="F28" s="871" t="s">
        <v>1140</v>
      </c>
      <c r="G28" s="911">
        <v>4.7000000000000002E-3</v>
      </c>
      <c r="H28" s="871" t="s">
        <v>1139</v>
      </c>
      <c r="I28" s="1241">
        <f>E28*G28</f>
        <v>0</v>
      </c>
      <c r="J28" s="920" t="s">
        <v>1138</v>
      </c>
      <c r="K28" s="871"/>
      <c r="L28" s="871"/>
      <c r="M28" s="871"/>
      <c r="N28" s="887"/>
      <c r="O28" s="872"/>
      <c r="P28" s="871"/>
      <c r="Q28" s="871"/>
      <c r="R28" s="871"/>
      <c r="S28" s="871"/>
    </row>
    <row r="29" spans="2:19">
      <c r="B29" s="871"/>
      <c r="C29" s="871" t="s">
        <v>1133</v>
      </c>
      <c r="D29" s="871"/>
      <c r="E29" s="871">
        <f>E10</f>
        <v>0</v>
      </c>
      <c r="F29" s="871" t="s">
        <v>1140</v>
      </c>
      <c r="G29" s="911">
        <v>2.5000000000000001E-3</v>
      </c>
      <c r="H29" s="871" t="s">
        <v>1139</v>
      </c>
      <c r="I29" s="1241">
        <f>E29*G29</f>
        <v>0</v>
      </c>
      <c r="J29" s="920" t="s">
        <v>1138</v>
      </c>
      <c r="K29" s="871"/>
      <c r="L29" s="871"/>
      <c r="M29" s="871"/>
      <c r="N29" s="887"/>
      <c r="O29" s="872"/>
      <c r="P29" s="871"/>
      <c r="Q29" s="871"/>
      <c r="R29" s="871"/>
      <c r="S29" s="871"/>
    </row>
    <row r="30" spans="2:19">
      <c r="B30" s="871"/>
      <c r="C30" s="871" t="s">
        <v>1131</v>
      </c>
      <c r="D30" s="871"/>
      <c r="E30" s="871">
        <f>E10</f>
        <v>0</v>
      </c>
      <c r="F30" s="871" t="s">
        <v>1140</v>
      </c>
      <c r="G30" s="911">
        <v>4.7000000000000002E-3</v>
      </c>
      <c r="H30" s="871" t="s">
        <v>1139</v>
      </c>
      <c r="I30" s="1241">
        <f>E30*G30</f>
        <v>0</v>
      </c>
      <c r="J30" s="920" t="s">
        <v>1138</v>
      </c>
      <c r="K30" s="871"/>
      <c r="L30" s="871"/>
      <c r="M30" s="871"/>
      <c r="N30" s="887"/>
      <c r="O30" s="872"/>
      <c r="P30" s="871"/>
      <c r="Q30" s="871"/>
      <c r="R30" s="871"/>
      <c r="S30" s="871"/>
    </row>
    <row r="31" spans="2:19">
      <c r="B31" s="871"/>
      <c r="C31" s="871"/>
      <c r="D31" s="871"/>
      <c r="E31" s="871"/>
      <c r="F31" s="871"/>
      <c r="G31" s="871"/>
      <c r="H31" s="871"/>
      <c r="I31" s="871"/>
      <c r="J31" s="887"/>
      <c r="K31" s="871"/>
      <c r="L31" s="871"/>
      <c r="M31" s="871"/>
      <c r="N31" s="887"/>
      <c r="O31" s="872"/>
      <c r="P31" s="871"/>
      <c r="Q31" s="871"/>
      <c r="R31" s="871"/>
      <c r="S31" s="871"/>
    </row>
    <row r="32" spans="2:19">
      <c r="B32" s="871"/>
      <c r="C32" s="871"/>
      <c r="D32" s="871"/>
      <c r="E32" s="871" t="s">
        <v>1137</v>
      </c>
      <c r="F32" s="871"/>
      <c r="G32" s="871" t="s">
        <v>1136</v>
      </c>
      <c r="H32" s="871"/>
      <c r="I32" s="871" t="s">
        <v>1135</v>
      </c>
      <c r="J32" s="871"/>
      <c r="K32" s="871"/>
      <c r="L32" s="871"/>
      <c r="M32" s="871"/>
      <c r="N32" s="887"/>
      <c r="O32" s="872"/>
      <c r="P32" s="871"/>
      <c r="Q32" s="871"/>
      <c r="R32" s="871"/>
      <c r="S32" s="871"/>
    </row>
    <row r="33" spans="2:21">
      <c r="B33" s="871"/>
      <c r="C33" s="871" t="s">
        <v>1134</v>
      </c>
      <c r="D33" s="886"/>
      <c r="E33" s="871">
        <f>I28</f>
        <v>0</v>
      </c>
      <c r="F33" s="871" t="s">
        <v>1130</v>
      </c>
      <c r="G33" s="918">
        <f>E17</f>
        <v>0</v>
      </c>
      <c r="H33" s="871" t="s">
        <v>1129</v>
      </c>
      <c r="I33" s="917">
        <v>3</v>
      </c>
      <c r="J33" s="871" t="s">
        <v>1128</v>
      </c>
      <c r="K33" s="916">
        <f>E33*G33*I33</f>
        <v>0</v>
      </c>
      <c r="L33" s="871" t="s">
        <v>1118</v>
      </c>
      <c r="M33" s="871"/>
      <c r="N33" s="887"/>
      <c r="O33" s="872"/>
      <c r="P33" s="871"/>
      <c r="Q33" s="886" t="s">
        <v>1132</v>
      </c>
      <c r="R33" s="919">
        <f>K33*M$36</f>
        <v>0</v>
      </c>
      <c r="S33" s="871"/>
    </row>
    <row r="34" spans="2:21">
      <c r="B34" s="871"/>
      <c r="C34" s="871" t="s">
        <v>1133</v>
      </c>
      <c r="D34" s="886"/>
      <c r="E34" s="871">
        <f>I29</f>
        <v>0</v>
      </c>
      <c r="F34" s="871" t="s">
        <v>1130</v>
      </c>
      <c r="G34" s="918">
        <f>E18</f>
        <v>0</v>
      </c>
      <c r="H34" s="871" t="s">
        <v>1129</v>
      </c>
      <c r="I34" s="917">
        <v>3</v>
      </c>
      <c r="J34" s="871" t="s">
        <v>1128</v>
      </c>
      <c r="K34" s="916">
        <f>E34*G34*I34</f>
        <v>0</v>
      </c>
      <c r="L34" s="871" t="s">
        <v>1118</v>
      </c>
      <c r="M34" s="871"/>
      <c r="N34" s="887"/>
      <c r="O34" s="872"/>
      <c r="P34" s="871"/>
      <c r="Q34" s="886" t="s">
        <v>1132</v>
      </c>
      <c r="R34" s="919">
        <f>K34*M$36</f>
        <v>0</v>
      </c>
      <c r="S34" s="871"/>
    </row>
    <row r="35" spans="2:21">
      <c r="B35" s="871"/>
      <c r="C35" s="871" t="s">
        <v>1131</v>
      </c>
      <c r="D35" s="889"/>
      <c r="E35" s="871">
        <f>I30</f>
        <v>0</v>
      </c>
      <c r="F35" s="871" t="s">
        <v>1130</v>
      </c>
      <c r="G35" s="918">
        <f>E19</f>
        <v>0</v>
      </c>
      <c r="H35" s="871" t="s">
        <v>1129</v>
      </c>
      <c r="I35" s="917">
        <v>3</v>
      </c>
      <c r="J35" s="871" t="s">
        <v>1128</v>
      </c>
      <c r="K35" s="916">
        <f>E35*G35*I35</f>
        <v>0</v>
      </c>
      <c r="L35" s="871" t="s">
        <v>1118</v>
      </c>
      <c r="M35" s="871" t="s">
        <v>1121</v>
      </c>
      <c r="N35" s="871"/>
      <c r="O35" s="872"/>
      <c r="P35" s="871"/>
      <c r="Q35" s="889" t="s">
        <v>1105</v>
      </c>
      <c r="R35" s="915">
        <f>K35*M$36</f>
        <v>0</v>
      </c>
      <c r="S35" s="871"/>
    </row>
    <row r="36" spans="2:21">
      <c r="B36" s="871"/>
      <c r="C36" s="871"/>
      <c r="D36" s="871"/>
      <c r="E36" s="871"/>
      <c r="F36" s="871"/>
      <c r="G36" s="871"/>
      <c r="H36" s="871"/>
      <c r="I36" s="871"/>
      <c r="J36" s="887" t="s">
        <v>1127</v>
      </c>
      <c r="K36" s="1242">
        <f>SUM(K33:K35)</f>
        <v>0</v>
      </c>
      <c r="L36" s="871" t="s">
        <v>1126</v>
      </c>
      <c r="M36" s="911">
        <v>240</v>
      </c>
      <c r="N36" s="871" t="s">
        <v>1117</v>
      </c>
      <c r="O36" s="1243">
        <f>K36*M36</f>
        <v>0</v>
      </c>
      <c r="P36" s="871" t="s">
        <v>1102</v>
      </c>
      <c r="Q36" s="871" t="s">
        <v>1125</v>
      </c>
      <c r="R36" s="914">
        <f>SUM(R33:R35)</f>
        <v>0</v>
      </c>
      <c r="S36" s="871"/>
      <c r="T36" s="898" t="e">
        <f>(O24+O36)/E9/M36</f>
        <v>#DIV/0!</v>
      </c>
      <c r="U36" s="869" t="s">
        <v>1114</v>
      </c>
    </row>
    <row r="37" spans="2:21">
      <c r="B37" s="871"/>
      <c r="C37" s="871"/>
      <c r="D37" s="871"/>
      <c r="E37" s="871"/>
      <c r="F37" s="871"/>
      <c r="G37" s="871"/>
      <c r="H37" s="871"/>
      <c r="I37" s="871"/>
      <c r="J37" s="887"/>
      <c r="K37" s="871"/>
      <c r="L37" s="871"/>
      <c r="M37" s="871"/>
      <c r="N37" s="887"/>
      <c r="O37" s="872"/>
      <c r="P37" s="871"/>
      <c r="Q37" s="871"/>
      <c r="R37" s="871"/>
      <c r="S37" s="871"/>
    </row>
    <row r="38" spans="2:21" ht="13.8" thickBot="1">
      <c r="B38" s="871"/>
      <c r="C38" s="871" t="s">
        <v>1124</v>
      </c>
      <c r="D38" s="871"/>
      <c r="E38" s="871"/>
      <c r="F38" s="871"/>
      <c r="G38" s="871" t="s">
        <v>1123</v>
      </c>
      <c r="H38" s="871"/>
      <c r="I38" s="871" t="s">
        <v>1122</v>
      </c>
      <c r="J38" s="871"/>
      <c r="K38" s="871"/>
      <c r="L38" s="871"/>
      <c r="M38" s="871" t="s">
        <v>1121</v>
      </c>
      <c r="N38" s="871"/>
      <c r="O38" s="872"/>
      <c r="P38" s="871"/>
      <c r="Q38" s="871"/>
      <c r="R38" s="871"/>
      <c r="S38" s="871"/>
    </row>
    <row r="39" spans="2:21" ht="14.4" thickTop="1" thickBot="1">
      <c r="B39" s="871"/>
      <c r="C39" s="871"/>
      <c r="D39" s="889"/>
      <c r="E39" s="871"/>
      <c r="F39" s="871"/>
      <c r="G39" s="911">
        <v>35</v>
      </c>
      <c r="H39" s="871" t="s">
        <v>1120</v>
      </c>
      <c r="I39" s="913"/>
      <c r="J39" s="871" t="s">
        <v>1119</v>
      </c>
      <c r="K39" s="912">
        <f>G39*I39</f>
        <v>0</v>
      </c>
      <c r="L39" s="871" t="s">
        <v>1118</v>
      </c>
      <c r="M39" s="911">
        <v>240</v>
      </c>
      <c r="N39" s="871" t="s">
        <v>1117</v>
      </c>
      <c r="O39" s="1243">
        <f>K39*M39</f>
        <v>0</v>
      </c>
      <c r="P39" s="871" t="s">
        <v>1102</v>
      </c>
      <c r="Q39" s="889" t="s">
        <v>1105</v>
      </c>
      <c r="R39" s="910">
        <f>K39*M39</f>
        <v>0</v>
      </c>
      <c r="S39" s="871"/>
    </row>
    <row r="40" spans="2:21" ht="13.8" thickTop="1">
      <c r="B40" s="871"/>
      <c r="C40" s="871"/>
      <c r="D40" s="889"/>
      <c r="E40" s="871"/>
      <c r="F40" s="871"/>
      <c r="G40" s="871"/>
      <c r="H40" s="871"/>
      <c r="I40" s="871"/>
      <c r="J40" s="871"/>
      <c r="K40" s="871"/>
      <c r="L40" s="871"/>
      <c r="M40" s="871"/>
      <c r="N40" s="871"/>
      <c r="O40" s="871"/>
      <c r="P40" s="871"/>
      <c r="Q40" s="871"/>
      <c r="R40" s="871"/>
      <c r="S40" s="871"/>
    </row>
    <row r="41" spans="2:21">
      <c r="B41" s="871"/>
      <c r="C41" s="871"/>
      <c r="D41" s="889"/>
      <c r="E41" s="871"/>
      <c r="F41" s="871"/>
      <c r="G41" s="871"/>
      <c r="H41" s="871"/>
      <c r="I41" s="884"/>
      <c r="J41" s="871"/>
      <c r="K41" s="871"/>
      <c r="L41" s="871"/>
      <c r="M41" s="871"/>
      <c r="N41" s="871"/>
      <c r="O41" s="871"/>
      <c r="P41" s="871"/>
      <c r="Q41" s="871"/>
      <c r="R41" s="871"/>
      <c r="S41" s="871"/>
    </row>
    <row r="42" spans="2:21">
      <c r="B42" s="871"/>
      <c r="C42" s="871"/>
      <c r="D42" s="886"/>
      <c r="E42" s="871"/>
      <c r="F42" s="871"/>
      <c r="G42" s="871"/>
      <c r="H42" s="897"/>
      <c r="I42" s="909"/>
      <c r="J42" s="876"/>
      <c r="K42" s="871"/>
      <c r="L42" s="871"/>
      <c r="M42" s="871"/>
      <c r="N42" s="871"/>
      <c r="O42" s="872"/>
      <c r="P42" s="871"/>
      <c r="Q42" s="886"/>
      <c r="R42" s="908"/>
      <c r="S42" s="871"/>
    </row>
    <row r="43" spans="2:21">
      <c r="B43" s="871"/>
      <c r="C43" s="871"/>
      <c r="D43" s="871"/>
      <c r="E43" s="871"/>
      <c r="F43" s="871"/>
      <c r="G43" s="871"/>
      <c r="H43" s="871"/>
      <c r="I43" s="891"/>
      <c r="J43" s="871"/>
      <c r="K43" s="871"/>
      <c r="L43" s="871"/>
      <c r="M43" s="884"/>
      <c r="N43" s="871"/>
      <c r="O43" s="872"/>
      <c r="P43" s="871"/>
      <c r="Q43" s="871"/>
      <c r="R43" s="871"/>
      <c r="S43" s="871"/>
    </row>
    <row r="44" spans="2:21">
      <c r="B44" s="871" t="s">
        <v>1116</v>
      </c>
      <c r="C44" s="871"/>
      <c r="D44" s="871"/>
      <c r="E44" s="871"/>
      <c r="F44" s="871"/>
      <c r="G44" s="871"/>
      <c r="H44" s="871"/>
      <c r="I44" s="871"/>
      <c r="J44" s="871"/>
      <c r="K44" s="871"/>
      <c r="L44" s="897"/>
      <c r="M44" s="871"/>
      <c r="N44" s="871"/>
      <c r="O44" s="872"/>
      <c r="P44" s="871"/>
      <c r="Q44" s="871"/>
      <c r="R44" s="871"/>
      <c r="S44" s="871"/>
    </row>
    <row r="45" spans="2:21">
      <c r="B45" s="871"/>
      <c r="C45" s="871"/>
      <c r="D45" s="871"/>
      <c r="E45" s="871"/>
      <c r="F45" s="871"/>
      <c r="G45" s="871"/>
      <c r="H45" s="871"/>
      <c r="I45" s="871"/>
      <c r="J45" s="889"/>
      <c r="K45" s="907"/>
      <c r="L45" s="871"/>
      <c r="M45" s="907"/>
      <c r="N45" s="871"/>
      <c r="O45" s="906">
        <f>R19+R21+R22+R35+R39</f>
        <v>0</v>
      </c>
      <c r="P45" s="871" t="s">
        <v>1102</v>
      </c>
      <c r="Q45" s="871" t="s">
        <v>838</v>
      </c>
      <c r="R45" s="871"/>
      <c r="S45" s="871"/>
    </row>
    <row r="46" spans="2:21" ht="13.8" thickBot="1">
      <c r="B46" s="871"/>
      <c r="C46" s="871"/>
      <c r="D46" s="871"/>
      <c r="E46" s="871"/>
      <c r="F46" s="871"/>
      <c r="G46" s="871"/>
      <c r="H46" s="871"/>
      <c r="I46" s="871"/>
      <c r="J46" s="886"/>
      <c r="K46" s="905"/>
      <c r="L46" s="871"/>
      <c r="M46" s="905"/>
      <c r="N46" s="871"/>
      <c r="O46" s="904">
        <f>R17+R18+R20+R33+R34</f>
        <v>0</v>
      </c>
      <c r="P46" s="871" t="s">
        <v>1102</v>
      </c>
      <c r="Q46" s="884" t="s">
        <v>840</v>
      </c>
      <c r="R46" s="871"/>
      <c r="S46" s="871"/>
    </row>
    <row r="47" spans="2:21" ht="14.4" thickTop="1" thickBot="1">
      <c r="B47" s="871"/>
      <c r="C47" s="871"/>
      <c r="D47" s="871"/>
      <c r="E47" s="871"/>
      <c r="F47" s="871"/>
      <c r="G47" s="871"/>
      <c r="H47" s="871"/>
      <c r="I47" s="871"/>
      <c r="J47" s="886"/>
      <c r="K47" s="871" t="s">
        <v>1101</v>
      </c>
      <c r="L47" s="897"/>
      <c r="M47" s="903"/>
      <c r="N47" s="902" t="s">
        <v>160</v>
      </c>
      <c r="O47" s="901">
        <f>O24+O36+O39</f>
        <v>0</v>
      </c>
      <c r="P47" s="900" t="s">
        <v>1102</v>
      </c>
      <c r="Q47" s="899" t="s">
        <v>1115</v>
      </c>
      <c r="R47" s="876"/>
      <c r="S47" s="871"/>
      <c r="T47" s="898" t="e">
        <f>O47/E9/M39</f>
        <v>#DIV/0!</v>
      </c>
      <c r="U47" s="869" t="s">
        <v>1114</v>
      </c>
    </row>
    <row r="48" spans="2:21" ht="14.4" thickTop="1" thickBot="1">
      <c r="B48" s="871"/>
      <c r="C48" s="871"/>
      <c r="D48" s="871"/>
      <c r="E48" s="871"/>
      <c r="F48" s="871"/>
      <c r="G48" s="871"/>
      <c r="H48" s="871"/>
      <c r="I48" s="871"/>
      <c r="J48" s="871"/>
      <c r="K48" s="871"/>
      <c r="L48" s="897"/>
      <c r="M48" s="896"/>
      <c r="N48" s="895" t="s">
        <v>1101</v>
      </c>
      <c r="O48" s="1244" t="e">
        <f>O47/$E$10</f>
        <v>#DIV/0!</v>
      </c>
      <c r="P48" s="894" t="s">
        <v>1100</v>
      </c>
      <c r="Q48" s="893"/>
      <c r="R48" s="876"/>
      <c r="S48" s="871"/>
    </row>
    <row r="49" spans="2:19" ht="14.4" thickTop="1" thickBot="1">
      <c r="B49" s="871" t="s">
        <v>1113</v>
      </c>
      <c r="C49" s="871" t="s">
        <v>1112</v>
      </c>
      <c r="D49" s="871"/>
      <c r="E49" s="871"/>
      <c r="F49" s="871"/>
      <c r="G49" s="871"/>
      <c r="H49" s="871"/>
      <c r="I49" s="871"/>
      <c r="J49" s="871"/>
      <c r="K49" s="871"/>
      <c r="L49" s="871"/>
      <c r="M49" s="891"/>
      <c r="N49" s="871"/>
      <c r="O49" s="872"/>
      <c r="P49" s="871"/>
      <c r="Q49" s="891"/>
      <c r="R49" s="871"/>
      <c r="S49" s="871"/>
    </row>
    <row r="50" spans="2:19" ht="14.4" thickTop="1" thickBot="1">
      <c r="B50" s="871"/>
      <c r="C50" s="871" t="s">
        <v>1111</v>
      </c>
      <c r="D50" s="871"/>
      <c r="E50" s="871"/>
      <c r="F50" s="871"/>
      <c r="G50" s="871"/>
      <c r="H50" s="892"/>
      <c r="I50" s="871" t="s">
        <v>209</v>
      </c>
      <c r="J50" s="871"/>
      <c r="K50" s="871"/>
      <c r="L50" s="871"/>
      <c r="M50" s="891"/>
      <c r="N50" s="887" t="s">
        <v>1110</v>
      </c>
      <c r="O50" s="890">
        <f>O47*H50/100</f>
        <v>0</v>
      </c>
      <c r="P50" s="871" t="s">
        <v>1102</v>
      </c>
      <c r="Q50" s="871" t="s">
        <v>1109</v>
      </c>
      <c r="R50" s="871"/>
      <c r="S50" s="871"/>
    </row>
    <row r="51" spans="2:19" ht="13.8" thickTop="1">
      <c r="B51" s="871"/>
      <c r="C51" s="871" t="s">
        <v>1108</v>
      </c>
      <c r="D51" s="871"/>
      <c r="E51" s="871"/>
      <c r="F51" s="871"/>
      <c r="G51" s="871"/>
      <c r="H51" s="871"/>
      <c r="I51" s="871"/>
      <c r="J51" s="871"/>
      <c r="K51" s="871"/>
      <c r="L51" s="871"/>
      <c r="M51" s="891"/>
      <c r="N51" s="887" t="s">
        <v>1107</v>
      </c>
      <c r="O51" s="890">
        <f>IF(O50&lt;O46,O50,O46)</f>
        <v>0</v>
      </c>
      <c r="P51" s="871" t="s">
        <v>1102</v>
      </c>
      <c r="Q51" s="871" t="s">
        <v>1106</v>
      </c>
      <c r="R51" s="871"/>
      <c r="S51" s="871"/>
    </row>
    <row r="52" spans="2:19">
      <c r="B52" s="871"/>
      <c r="C52" s="871"/>
      <c r="D52" s="871"/>
      <c r="E52" s="871"/>
      <c r="F52" s="871"/>
      <c r="G52" s="871"/>
      <c r="H52" s="871"/>
      <c r="I52" s="871"/>
      <c r="J52" s="871"/>
      <c r="K52" s="871"/>
      <c r="L52" s="871"/>
      <c r="M52" s="871"/>
      <c r="N52" s="871"/>
      <c r="O52" s="872"/>
      <c r="P52" s="871"/>
      <c r="Q52" s="871"/>
      <c r="R52" s="871"/>
      <c r="S52" s="871"/>
    </row>
    <row r="53" spans="2:19">
      <c r="B53" s="871"/>
      <c r="C53" s="871"/>
      <c r="D53" s="871"/>
      <c r="E53" s="871"/>
      <c r="F53" s="871"/>
      <c r="G53" s="871"/>
      <c r="H53" s="871"/>
      <c r="I53" s="871"/>
      <c r="J53" s="889" t="s">
        <v>1105</v>
      </c>
      <c r="K53" s="871"/>
      <c r="L53" s="871"/>
      <c r="M53" s="871"/>
      <c r="N53" s="871"/>
      <c r="O53" s="888">
        <f>O45</f>
        <v>0</v>
      </c>
      <c r="P53" s="871" t="s">
        <v>1102</v>
      </c>
      <c r="Q53" s="871" t="s">
        <v>838</v>
      </c>
      <c r="R53" s="871"/>
      <c r="S53" s="871"/>
    </row>
    <row r="54" spans="2:19" ht="13.8" thickBot="1">
      <c r="B54" s="871"/>
      <c r="C54" s="871"/>
      <c r="D54" s="871"/>
      <c r="E54" s="871"/>
      <c r="F54" s="871"/>
      <c r="G54" s="887"/>
      <c r="H54" s="871"/>
      <c r="I54" s="871"/>
      <c r="J54" s="886" t="s">
        <v>1104</v>
      </c>
      <c r="K54" s="871"/>
      <c r="L54" s="871"/>
      <c r="M54" s="871"/>
      <c r="N54" s="871"/>
      <c r="O54" s="885">
        <f>O46-O51</f>
        <v>0</v>
      </c>
      <c r="P54" s="871" t="s">
        <v>1102</v>
      </c>
      <c r="Q54" s="884" t="s">
        <v>1103</v>
      </c>
      <c r="R54" s="871"/>
      <c r="S54" s="871"/>
    </row>
    <row r="55" spans="2:19" ht="14.4" thickTop="1" thickBot="1">
      <c r="B55" s="871"/>
      <c r="C55" s="871"/>
      <c r="D55" s="871"/>
      <c r="E55" s="871"/>
      <c r="F55" s="871"/>
      <c r="G55" s="871"/>
      <c r="H55" s="871"/>
      <c r="I55" s="871"/>
      <c r="J55" s="871"/>
      <c r="K55" s="871"/>
      <c r="L55" s="871"/>
      <c r="M55" s="871"/>
      <c r="N55" s="883" t="s">
        <v>160</v>
      </c>
      <c r="O55" s="882">
        <f>SUM(O53:O54)</f>
        <v>0</v>
      </c>
      <c r="P55" s="881" t="s">
        <v>1102</v>
      </c>
      <c r="Q55" s="880"/>
      <c r="S55" s="871"/>
    </row>
    <row r="56" spans="2:19" ht="14.4" thickTop="1" thickBot="1">
      <c r="B56" s="871"/>
      <c r="D56" s="871"/>
      <c r="E56" s="871"/>
      <c r="F56" s="871"/>
      <c r="G56" s="871"/>
      <c r="H56" s="871"/>
      <c r="I56" s="871"/>
      <c r="J56" s="871"/>
      <c r="K56" s="871"/>
      <c r="L56" s="871"/>
      <c r="M56" s="871"/>
      <c r="N56" s="879" t="s">
        <v>1101</v>
      </c>
      <c r="O56" s="1245" t="e">
        <f>O55/$E$10</f>
        <v>#DIV/0!</v>
      </c>
      <c r="P56" s="878" t="s">
        <v>1100</v>
      </c>
      <c r="Q56" s="877"/>
      <c r="R56" s="876"/>
      <c r="S56" s="871"/>
    </row>
    <row r="57" spans="2:19" ht="13.8" thickTop="1">
      <c r="B57" s="871"/>
      <c r="C57" s="871" t="s">
        <v>1099</v>
      </c>
      <c r="D57" s="871"/>
      <c r="E57" s="871"/>
      <c r="F57" s="871"/>
      <c r="G57" s="871"/>
      <c r="H57" s="871"/>
      <c r="I57" s="871"/>
      <c r="J57" s="871"/>
      <c r="K57" s="871"/>
      <c r="L57" s="871"/>
      <c r="M57" s="871"/>
      <c r="N57" s="875"/>
      <c r="O57" s="874"/>
      <c r="P57" s="873"/>
      <c r="R57" s="871"/>
      <c r="S57" s="871"/>
    </row>
    <row r="58" spans="2:19">
      <c r="B58" s="871"/>
      <c r="C58" s="871" t="s">
        <v>1098</v>
      </c>
      <c r="D58" s="871"/>
      <c r="E58" s="871"/>
      <c r="F58" s="871"/>
      <c r="G58" s="871"/>
      <c r="H58" s="871"/>
      <c r="I58" s="871"/>
      <c r="J58" s="871"/>
      <c r="K58" s="871"/>
      <c r="L58" s="871"/>
      <c r="M58" s="871"/>
      <c r="N58" s="871"/>
      <c r="O58" s="872"/>
      <c r="P58" s="871"/>
      <c r="Q58" s="871"/>
      <c r="R58" s="871"/>
      <c r="S58" s="871"/>
    </row>
    <row r="59" spans="2:19">
      <c r="B59" s="871"/>
      <c r="C59" s="871" t="s">
        <v>1097</v>
      </c>
      <c r="D59" s="871"/>
      <c r="E59" s="871"/>
      <c r="F59" s="871"/>
      <c r="G59" s="871"/>
      <c r="H59" s="871"/>
      <c r="I59" s="871"/>
      <c r="J59" s="871"/>
      <c r="K59" s="871"/>
      <c r="L59" s="871"/>
      <c r="M59" s="871"/>
      <c r="N59" s="871"/>
      <c r="O59" s="872"/>
      <c r="P59" s="871"/>
      <c r="Q59" s="871"/>
      <c r="R59" s="871"/>
      <c r="S59" s="871"/>
    </row>
    <row r="60" spans="2:19">
      <c r="B60" s="871"/>
      <c r="C60" s="871" t="s">
        <v>1096</v>
      </c>
      <c r="D60" s="871"/>
      <c r="E60" s="871"/>
      <c r="F60" s="871"/>
      <c r="G60" s="871"/>
      <c r="H60" s="871"/>
      <c r="I60" s="871"/>
      <c r="J60" s="871"/>
      <c r="K60" s="871"/>
      <c r="L60" s="871"/>
      <c r="M60" s="871"/>
      <c r="N60" s="871"/>
      <c r="O60" s="872"/>
      <c r="P60" s="871"/>
      <c r="Q60" s="871"/>
      <c r="R60" s="871"/>
      <c r="S60" s="871"/>
    </row>
    <row r="61" spans="2:19">
      <c r="B61" s="871"/>
      <c r="C61" s="871" t="s">
        <v>1095</v>
      </c>
      <c r="D61" s="871"/>
      <c r="E61" s="871"/>
      <c r="F61" s="871"/>
      <c r="G61" s="871"/>
      <c r="H61" s="871"/>
      <c r="I61" s="871"/>
      <c r="J61" s="871"/>
      <c r="K61" s="871"/>
      <c r="L61" s="871"/>
      <c r="M61" s="871"/>
      <c r="N61" s="871"/>
      <c r="O61" s="872"/>
      <c r="P61" s="871"/>
      <c r="Q61" s="871"/>
      <c r="R61" s="871"/>
      <c r="S61" s="871"/>
    </row>
    <row r="62" spans="2:19">
      <c r="B62" s="871"/>
      <c r="C62" s="871" t="s">
        <v>1094</v>
      </c>
      <c r="D62" s="871"/>
      <c r="E62" s="871"/>
      <c r="F62" s="871"/>
      <c r="G62" s="871"/>
      <c r="H62" s="871"/>
      <c r="I62" s="871"/>
      <c r="J62" s="871"/>
      <c r="K62" s="871"/>
      <c r="L62" s="871"/>
      <c r="M62" s="871"/>
      <c r="N62" s="871"/>
      <c r="O62" s="872"/>
      <c r="P62" s="871"/>
      <c r="Q62" s="871"/>
      <c r="R62" s="871"/>
      <c r="S62" s="871"/>
    </row>
    <row r="63" spans="2:19">
      <c r="C63" s="871" t="s">
        <v>1093</v>
      </c>
    </row>
  </sheetData>
  <sheetProtection algorithmName="SHA-512" hashValue="JXsFRFZjtLKTXh4n0nFfLGA8oKxRubtt0yB35wYWPkXRJ216zwIv2XWAytQQII9j1XMsKfHUFHdNPBfSmBpiVQ==" saltValue="RJrL5xXtVXl5RoBF+M8yqg==" spinCount="100000" sheet="1" objects="1" scenarios="1"/>
  <phoneticPr fontId="3"/>
  <pageMargins left="0.78740157480314965" right="0.78740157480314965" top="0.98425196850393704" bottom="0.98425196850393704" header="0.51181102362204722" footer="0.51181102362204722"/>
  <pageSetup paperSize="9" scale="5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985E-1D4C-44D4-B78C-A31B42B32A02}">
  <sheetPr codeName="Sheet15">
    <pageSetUpPr fitToPage="1"/>
  </sheetPr>
  <dimension ref="A1:X81"/>
  <sheetViews>
    <sheetView showGridLines="0" zoomScaleNormal="100" workbookViewId="0">
      <selection activeCell="Q36" sqref="Q36"/>
    </sheetView>
  </sheetViews>
  <sheetFormatPr defaultColWidth="9" defaultRowHeight="13.2"/>
  <cols>
    <col min="1" max="1" width="3.44140625" style="930" customWidth="1"/>
    <col min="2" max="2" width="2.6640625" style="930" customWidth="1"/>
    <col min="3" max="3" width="10.44140625" style="930" customWidth="1"/>
    <col min="4" max="4" width="6.88671875" style="930" customWidth="1"/>
    <col min="5" max="5" width="7.88671875" style="930" customWidth="1"/>
    <col min="6" max="6" width="7.44140625" style="930" customWidth="1"/>
    <col min="7" max="7" width="8" style="930" customWidth="1"/>
    <col min="8" max="8" width="10.21875" style="930" customWidth="1"/>
    <col min="9" max="9" width="9.44140625" style="930" customWidth="1"/>
    <col min="10" max="10" width="9" style="930"/>
    <col min="11" max="11" width="11.109375" style="930" customWidth="1"/>
    <col min="12" max="12" width="9" style="930"/>
    <col min="13" max="13" width="11.44140625" style="930" customWidth="1"/>
    <col min="14" max="14" width="9" style="930"/>
    <col min="15" max="15" width="13.6640625" style="931" customWidth="1"/>
    <col min="16" max="16" width="9" style="930"/>
    <col min="17" max="17" width="13.6640625" style="930" customWidth="1"/>
    <col min="18" max="18" width="11" style="930" bestFit="1" customWidth="1"/>
    <col min="19" max="19" width="9" style="930"/>
    <col min="20" max="20" width="13.88671875" style="930" customWidth="1"/>
    <col min="21" max="21" width="10.21875" style="930" customWidth="1"/>
    <col min="22" max="22" width="10.6640625" style="930" customWidth="1"/>
    <col min="23" max="23" width="9" style="930"/>
    <col min="24" max="24" width="10.44140625" style="930" bestFit="1" customWidth="1"/>
    <col min="25" max="16384" width="9" style="930"/>
  </cols>
  <sheetData>
    <row r="1" spans="1:24">
      <c r="A1" s="933"/>
      <c r="B1" s="933"/>
      <c r="C1" s="933"/>
      <c r="D1" s="933"/>
      <c r="E1" s="933"/>
      <c r="F1" s="933"/>
      <c r="G1" s="933"/>
      <c r="H1" s="933"/>
      <c r="I1" s="933"/>
      <c r="J1" s="933"/>
      <c r="K1" s="933"/>
      <c r="L1" s="933"/>
      <c r="M1" s="933"/>
      <c r="N1" s="933"/>
      <c r="O1" s="999"/>
      <c r="P1" s="933"/>
      <c r="Q1" s="933"/>
      <c r="R1" s="933"/>
      <c r="S1" s="933"/>
      <c r="T1" s="933"/>
      <c r="U1" s="933"/>
      <c r="V1" s="933"/>
      <c r="W1" s="933"/>
      <c r="X1" s="933"/>
    </row>
    <row r="2" spans="1:24" ht="19.2">
      <c r="A2" s="933"/>
      <c r="B2" s="998" t="s">
        <v>1209</v>
      </c>
      <c r="C2" s="934"/>
      <c r="D2" s="934"/>
      <c r="E2" s="934"/>
      <c r="F2" s="934"/>
      <c r="G2" s="934"/>
      <c r="H2" s="934"/>
      <c r="I2" s="934"/>
      <c r="J2" s="934"/>
      <c r="K2" s="934"/>
      <c r="L2" s="934"/>
      <c r="M2" s="934"/>
      <c r="N2" s="934"/>
      <c r="O2" s="935"/>
      <c r="P2" s="934"/>
      <c r="Q2" s="934"/>
      <c r="R2" s="934"/>
      <c r="S2" s="995"/>
      <c r="T2" s="933"/>
      <c r="U2" s="933"/>
      <c r="V2" s="933"/>
      <c r="W2" s="933"/>
      <c r="X2" s="997"/>
    </row>
    <row r="3" spans="1:24" ht="13.8" thickBot="1">
      <c r="A3" s="933"/>
      <c r="B3" s="934"/>
      <c r="C3" s="996" t="s">
        <v>1173</v>
      </c>
      <c r="D3" s="934"/>
      <c r="E3" s="934"/>
      <c r="F3" s="934"/>
      <c r="G3" s="934"/>
      <c r="H3" s="934"/>
      <c r="I3" s="934" t="s">
        <v>1172</v>
      </c>
      <c r="J3" s="934"/>
      <c r="K3" s="934"/>
      <c r="L3" s="934"/>
      <c r="M3" s="934"/>
      <c r="N3" s="934"/>
      <c r="O3" s="935"/>
      <c r="P3" s="934"/>
      <c r="Q3" s="934"/>
      <c r="R3" s="934"/>
      <c r="S3" s="995"/>
      <c r="T3" s="933"/>
      <c r="U3" s="933"/>
      <c r="V3" s="933"/>
      <c r="W3" s="933"/>
      <c r="X3" s="933"/>
    </row>
    <row r="4" spans="1:24" ht="14.4" thickTop="1" thickBot="1">
      <c r="A4" s="933"/>
      <c r="B4" s="934"/>
      <c r="C4" s="934"/>
      <c r="D4" s="934"/>
      <c r="E4" s="994"/>
      <c r="F4" s="934" t="s">
        <v>1171</v>
      </c>
      <c r="G4" s="934"/>
      <c r="H4" s="934"/>
      <c r="I4" s="934" t="s">
        <v>1170</v>
      </c>
      <c r="J4" s="934"/>
      <c r="K4" s="934"/>
      <c r="L4" s="934"/>
      <c r="M4" s="934"/>
      <c r="N4" s="934"/>
      <c r="O4" s="935"/>
      <c r="P4" s="934"/>
      <c r="Q4" s="934"/>
      <c r="R4" s="934"/>
      <c r="S4" s="934"/>
      <c r="T4" s="933"/>
      <c r="U4" s="933"/>
      <c r="V4" s="933"/>
      <c r="W4" s="933"/>
      <c r="X4" s="933"/>
    </row>
    <row r="5" spans="1:24" ht="13.8" thickTop="1">
      <c r="A5" s="933"/>
      <c r="B5" s="934"/>
      <c r="C5" s="934"/>
      <c r="D5" s="934"/>
      <c r="E5" s="981"/>
      <c r="F5" s="934" t="s">
        <v>1169</v>
      </c>
      <c r="G5" s="934"/>
      <c r="H5" s="934"/>
      <c r="I5" s="934" t="s">
        <v>1168</v>
      </c>
      <c r="J5" s="934"/>
      <c r="K5" s="934"/>
      <c r="L5" s="934"/>
      <c r="M5" s="934"/>
      <c r="N5" s="934"/>
      <c r="O5" s="935"/>
      <c r="P5" s="934"/>
      <c r="Q5" s="934"/>
      <c r="R5" s="934"/>
      <c r="S5" s="934"/>
      <c r="T5" s="933"/>
      <c r="U5" s="933"/>
      <c r="V5" s="933"/>
      <c r="W5" s="933"/>
      <c r="X5" s="933"/>
    </row>
    <row r="6" spans="1:24">
      <c r="A6" s="933"/>
      <c r="B6" s="934"/>
      <c r="C6" s="934"/>
      <c r="D6" s="934"/>
      <c r="E6" s="990"/>
      <c r="F6" s="934" t="s">
        <v>1167</v>
      </c>
      <c r="G6" s="934"/>
      <c r="H6" s="934"/>
      <c r="I6" s="934"/>
      <c r="J6" s="934"/>
      <c r="K6" s="934"/>
      <c r="L6" s="934"/>
      <c r="M6" s="934"/>
      <c r="N6" s="934"/>
      <c r="O6" s="935"/>
      <c r="P6" s="934"/>
      <c r="Q6" s="934"/>
      <c r="R6" s="934"/>
      <c r="S6" s="934"/>
      <c r="T6" s="933"/>
      <c r="U6" s="933"/>
      <c r="V6" s="933"/>
      <c r="W6" s="933"/>
      <c r="X6" s="933"/>
    </row>
    <row r="7" spans="1:24">
      <c r="A7" s="933"/>
      <c r="B7" s="934"/>
      <c r="C7" s="934"/>
      <c r="D7" s="934"/>
      <c r="E7" s="934"/>
      <c r="F7" s="934"/>
      <c r="G7" s="934"/>
      <c r="H7" s="934"/>
      <c r="I7" s="934"/>
      <c r="J7" s="934"/>
      <c r="K7" s="934"/>
      <c r="L7" s="934"/>
      <c r="M7" s="934"/>
      <c r="N7" s="934"/>
      <c r="O7" s="935"/>
      <c r="P7" s="934"/>
      <c r="Q7" s="934"/>
      <c r="R7" s="934"/>
      <c r="S7" s="934"/>
      <c r="T7" s="933"/>
      <c r="U7" s="933"/>
      <c r="V7" s="933"/>
      <c r="W7" s="933"/>
      <c r="X7" s="933"/>
    </row>
    <row r="8" spans="1:24" ht="13.8" thickBot="1">
      <c r="A8" s="933"/>
      <c r="B8" s="934"/>
      <c r="C8" s="934"/>
      <c r="D8" s="934"/>
      <c r="E8" s="934"/>
      <c r="F8" s="934"/>
      <c r="G8" s="934"/>
      <c r="H8" s="934"/>
      <c r="I8" s="934"/>
      <c r="J8" s="934"/>
      <c r="K8" s="934"/>
      <c r="L8" s="934"/>
      <c r="M8" s="934"/>
      <c r="N8" s="934"/>
      <c r="O8" s="935"/>
      <c r="P8" s="934"/>
      <c r="Q8" s="934"/>
      <c r="R8" s="934"/>
      <c r="S8" s="934"/>
      <c r="T8" s="933"/>
      <c r="U8" s="933"/>
      <c r="V8" s="933"/>
      <c r="W8" s="933"/>
      <c r="X8" s="933"/>
    </row>
    <row r="9" spans="1:24" ht="14.4" thickTop="1" thickBot="1">
      <c r="A9" s="933"/>
      <c r="B9" s="934" t="s">
        <v>1166</v>
      </c>
      <c r="C9" s="934" t="s">
        <v>1208</v>
      </c>
      <c r="D9" s="934"/>
      <c r="E9" s="993"/>
      <c r="F9" s="934" t="s">
        <v>118</v>
      </c>
      <c r="G9" s="934"/>
      <c r="H9" s="934"/>
      <c r="I9" s="934"/>
      <c r="J9" s="934"/>
      <c r="K9" s="934"/>
      <c r="L9" s="934"/>
      <c r="M9" s="934"/>
      <c r="N9" s="934"/>
      <c r="O9" s="935"/>
      <c r="P9" s="934"/>
      <c r="Q9" s="934"/>
      <c r="R9" s="934"/>
      <c r="S9" s="934"/>
      <c r="T9" s="933"/>
      <c r="U9" s="933"/>
      <c r="V9" s="933"/>
      <c r="W9" s="933"/>
      <c r="X9" s="933"/>
    </row>
    <row r="10" spans="1:24" ht="14.4" thickTop="1" thickBot="1">
      <c r="A10" s="933"/>
      <c r="B10" s="934"/>
      <c r="C10" s="934" t="s">
        <v>1207</v>
      </c>
      <c r="D10" s="934"/>
      <c r="E10" s="993"/>
      <c r="F10" s="934" t="s">
        <v>118</v>
      </c>
      <c r="G10" s="934"/>
      <c r="H10" s="934"/>
      <c r="I10" s="934"/>
      <c r="J10" s="934"/>
      <c r="K10" s="934"/>
      <c r="L10" s="934"/>
      <c r="M10" s="934"/>
      <c r="N10" s="934"/>
      <c r="O10" s="935"/>
      <c r="P10" s="934"/>
      <c r="Q10" s="934"/>
      <c r="R10" s="934"/>
      <c r="S10" s="934"/>
      <c r="T10" s="933"/>
      <c r="U10" s="933"/>
      <c r="V10" s="933"/>
      <c r="W10" s="933"/>
      <c r="X10" s="933"/>
    </row>
    <row r="11" spans="1:24" ht="14.4" thickTop="1" thickBot="1">
      <c r="A11" s="933"/>
      <c r="B11" s="934" t="s">
        <v>1164</v>
      </c>
      <c r="C11" s="934" t="s">
        <v>1206</v>
      </c>
      <c r="D11" s="934"/>
      <c r="E11" s="993"/>
      <c r="F11" s="934" t="s">
        <v>34</v>
      </c>
      <c r="G11" s="934"/>
      <c r="H11" s="934"/>
      <c r="I11" s="934"/>
      <c r="J11" s="934"/>
      <c r="K11" s="934"/>
      <c r="L11" s="934"/>
      <c r="M11" s="934"/>
      <c r="N11" s="934"/>
      <c r="O11" s="935"/>
      <c r="P11" s="934"/>
      <c r="Q11" s="934"/>
      <c r="R11" s="934"/>
      <c r="S11" s="934"/>
      <c r="T11" s="933"/>
      <c r="U11" s="933"/>
      <c r="V11" s="933"/>
      <c r="W11" s="933"/>
      <c r="X11" s="933"/>
    </row>
    <row r="12" spans="1:24" ht="14.4" thickTop="1" thickBot="1">
      <c r="A12" s="933"/>
      <c r="B12" s="934" t="s">
        <v>1163</v>
      </c>
      <c r="C12" s="934" t="s">
        <v>1205</v>
      </c>
      <c r="D12" s="934"/>
      <c r="E12" s="993"/>
      <c r="F12" s="934" t="s">
        <v>1204</v>
      </c>
      <c r="G12" s="934"/>
      <c r="H12" s="934"/>
      <c r="I12" s="934"/>
      <c r="J12" s="934"/>
      <c r="K12" s="934"/>
      <c r="L12" s="934"/>
      <c r="M12" s="934"/>
      <c r="N12" s="934"/>
      <c r="O12" s="935"/>
      <c r="P12" s="934"/>
      <c r="Q12" s="934"/>
      <c r="R12" s="934"/>
      <c r="S12" s="934"/>
      <c r="T12" s="933"/>
      <c r="U12" s="933"/>
      <c r="V12" s="933"/>
      <c r="W12" s="933"/>
      <c r="X12" s="933"/>
    </row>
    <row r="13" spans="1:24" ht="14.4" thickTop="1" thickBot="1">
      <c r="A13" s="933"/>
      <c r="B13" s="934" t="s">
        <v>1159</v>
      </c>
      <c r="C13" s="934" t="s">
        <v>1162</v>
      </c>
      <c r="D13" s="934" t="s">
        <v>1161</v>
      </c>
      <c r="E13" s="955"/>
      <c r="F13" s="934" t="s">
        <v>209</v>
      </c>
      <c r="G13" s="934" t="s">
        <v>1160</v>
      </c>
      <c r="H13" s="1246">
        <f>100-E13</f>
        <v>100</v>
      </c>
      <c r="I13" s="934" t="s">
        <v>209</v>
      </c>
      <c r="J13" s="934"/>
      <c r="K13" s="934"/>
      <c r="L13" s="934"/>
      <c r="M13" s="934"/>
      <c r="N13" s="934"/>
      <c r="O13" s="935"/>
      <c r="P13" s="934"/>
      <c r="Q13" s="934"/>
      <c r="R13" s="934"/>
      <c r="S13" s="934"/>
      <c r="T13" s="933"/>
      <c r="U13" s="933"/>
      <c r="V13" s="933"/>
      <c r="W13" s="933"/>
      <c r="X13" s="933"/>
    </row>
    <row r="14" spans="1:24" ht="14.4" thickTop="1" thickBot="1">
      <c r="A14" s="933"/>
      <c r="B14" s="934"/>
      <c r="C14" s="934" t="s">
        <v>1203</v>
      </c>
      <c r="D14" s="934" t="s">
        <v>1161</v>
      </c>
      <c r="E14" s="980">
        <f>$E$9*E13/100</f>
        <v>0</v>
      </c>
      <c r="F14" s="934" t="s">
        <v>118</v>
      </c>
      <c r="G14" s="934" t="s">
        <v>1160</v>
      </c>
      <c r="H14" s="1247">
        <f>$E$9*H13/100</f>
        <v>0</v>
      </c>
      <c r="I14" s="934" t="s">
        <v>118</v>
      </c>
      <c r="J14" s="934"/>
      <c r="K14" s="934"/>
      <c r="L14" s="934"/>
      <c r="M14" s="934"/>
      <c r="N14" s="934"/>
      <c r="O14" s="935"/>
      <c r="P14" s="934"/>
      <c r="Q14" s="934"/>
      <c r="R14" s="934"/>
      <c r="S14" s="934"/>
      <c r="T14" s="933"/>
      <c r="U14" s="933"/>
      <c r="V14" s="933"/>
      <c r="W14" s="933"/>
      <c r="X14" s="933"/>
    </row>
    <row r="15" spans="1:24" ht="14.4" thickTop="1" thickBot="1">
      <c r="A15" s="933"/>
      <c r="B15" s="934"/>
      <c r="C15" s="934" t="s">
        <v>1162</v>
      </c>
      <c r="D15" s="934" t="s">
        <v>1161</v>
      </c>
      <c r="E15" s="955"/>
      <c r="F15" s="934" t="s">
        <v>209</v>
      </c>
      <c r="G15" s="934" t="s">
        <v>1160</v>
      </c>
      <c r="H15" s="1246">
        <f>100-E15</f>
        <v>100</v>
      </c>
      <c r="I15" s="934" t="s">
        <v>209</v>
      </c>
      <c r="J15" s="934"/>
      <c r="K15" s="934"/>
      <c r="L15" s="934"/>
      <c r="M15" s="934"/>
      <c r="N15" s="934"/>
      <c r="O15" s="935"/>
      <c r="P15" s="934"/>
      <c r="Q15" s="934"/>
      <c r="R15" s="934"/>
      <c r="S15" s="934"/>
      <c r="T15" s="933"/>
      <c r="U15" s="933"/>
      <c r="V15" s="933"/>
      <c r="W15" s="933"/>
      <c r="X15" s="933"/>
    </row>
    <row r="16" spans="1:24" ht="13.8" thickTop="1">
      <c r="A16" s="933"/>
      <c r="B16" s="934"/>
      <c r="C16" s="934" t="s">
        <v>1202</v>
      </c>
      <c r="D16" s="934" t="s">
        <v>1161</v>
      </c>
      <c r="E16" s="980">
        <f>$E$10*E15/100</f>
        <v>0</v>
      </c>
      <c r="F16" s="934" t="s">
        <v>118</v>
      </c>
      <c r="G16" s="934" t="s">
        <v>1160</v>
      </c>
      <c r="H16" s="1247">
        <f>$E$10*H15/100</f>
        <v>0</v>
      </c>
      <c r="I16" s="934" t="s">
        <v>118</v>
      </c>
      <c r="J16" s="934"/>
      <c r="K16" s="934"/>
      <c r="L16" s="934"/>
      <c r="M16" s="934"/>
      <c r="N16" s="934"/>
      <c r="O16" s="935"/>
      <c r="P16" s="934"/>
      <c r="Q16" s="934"/>
      <c r="R16" s="934"/>
      <c r="S16" s="934"/>
      <c r="T16" s="933"/>
      <c r="U16" s="933"/>
      <c r="V16" s="933"/>
      <c r="W16" s="933"/>
      <c r="X16" s="933"/>
    </row>
    <row r="17" spans="1:24">
      <c r="A17" s="933"/>
      <c r="B17" s="934"/>
      <c r="C17" s="934"/>
      <c r="D17" s="934"/>
      <c r="E17" s="934"/>
      <c r="F17" s="934"/>
      <c r="G17" s="934"/>
      <c r="H17" s="934"/>
      <c r="I17" s="934"/>
      <c r="J17" s="934"/>
      <c r="K17" s="934"/>
      <c r="L17" s="934"/>
      <c r="M17" s="934"/>
      <c r="N17" s="934"/>
      <c r="O17" s="935"/>
      <c r="P17" s="934"/>
      <c r="Q17" s="934"/>
      <c r="R17" s="934"/>
      <c r="S17" s="934"/>
      <c r="T17" s="933"/>
      <c r="U17" s="933"/>
      <c r="V17" s="933"/>
      <c r="W17" s="933"/>
      <c r="X17" s="933"/>
    </row>
    <row r="18" spans="1:24">
      <c r="A18" s="933"/>
      <c r="B18" s="934" t="s">
        <v>1201</v>
      </c>
      <c r="C18" s="934" t="s">
        <v>1158</v>
      </c>
      <c r="D18" s="934"/>
      <c r="E18" s="934"/>
      <c r="F18" s="934"/>
      <c r="G18" s="934"/>
      <c r="H18" s="934"/>
      <c r="I18" s="934"/>
      <c r="J18" s="934"/>
      <c r="K18" s="934"/>
      <c r="L18" s="934"/>
      <c r="M18" s="934"/>
      <c r="N18" s="934"/>
      <c r="O18" s="935"/>
      <c r="P18" s="934"/>
      <c r="Q18" s="934"/>
      <c r="R18" s="934"/>
      <c r="S18" s="934"/>
      <c r="T18" s="933"/>
      <c r="U18" s="933"/>
      <c r="V18" s="933"/>
      <c r="W18" s="933"/>
      <c r="X18" s="933"/>
    </row>
    <row r="19" spans="1:24">
      <c r="A19" s="933"/>
      <c r="B19" s="934"/>
      <c r="C19" s="934" t="s">
        <v>1200</v>
      </c>
      <c r="D19" s="934"/>
      <c r="E19" s="934"/>
      <c r="F19" s="934"/>
      <c r="G19" s="934"/>
      <c r="H19" s="934"/>
      <c r="I19" s="934"/>
      <c r="J19" s="934"/>
      <c r="K19" s="934"/>
      <c r="L19" s="934"/>
      <c r="M19" s="934"/>
      <c r="N19" s="934"/>
      <c r="O19" s="935"/>
      <c r="P19" s="934"/>
      <c r="Q19" s="934"/>
      <c r="R19" s="934"/>
      <c r="S19" s="934"/>
      <c r="T19" s="933"/>
      <c r="U19" s="933"/>
      <c r="V19" s="933"/>
      <c r="W19" s="933"/>
      <c r="X19" s="933"/>
    </row>
    <row r="20" spans="1:24" ht="13.8" thickBot="1">
      <c r="A20" s="933"/>
      <c r="B20" s="934"/>
      <c r="C20" s="934"/>
      <c r="D20" s="934"/>
      <c r="E20" s="934" t="s">
        <v>1136</v>
      </c>
      <c r="F20" s="934"/>
      <c r="G20" s="934" t="s">
        <v>1156</v>
      </c>
      <c r="H20" s="934"/>
      <c r="I20" s="948" t="s">
        <v>1198</v>
      </c>
      <c r="J20" s="934"/>
      <c r="K20" s="934" t="s">
        <v>1155</v>
      </c>
      <c r="L20" s="934"/>
      <c r="M20" s="934"/>
      <c r="N20" s="934"/>
      <c r="O20" s="934"/>
      <c r="P20" s="934"/>
      <c r="Q20" s="935"/>
      <c r="R20" s="934"/>
      <c r="S20" s="934"/>
      <c r="T20" s="934"/>
      <c r="U20" s="934"/>
      <c r="V20" s="933"/>
      <c r="W20" s="933"/>
      <c r="X20" s="933"/>
    </row>
    <row r="21" spans="1:24" ht="14.4" thickTop="1" thickBot="1">
      <c r="A21" s="933"/>
      <c r="B21" s="934"/>
      <c r="C21" s="934" t="s">
        <v>1154</v>
      </c>
      <c r="D21" s="950"/>
      <c r="E21" s="992"/>
      <c r="F21" s="934" t="s">
        <v>1129</v>
      </c>
      <c r="G21" s="981">
        <v>4.7E-2</v>
      </c>
      <c r="H21" s="960" t="s">
        <v>1197</v>
      </c>
      <c r="I21" s="991"/>
      <c r="J21" s="940" t="s">
        <v>1196</v>
      </c>
      <c r="K21" s="1248">
        <f>E$14</f>
        <v>0</v>
      </c>
      <c r="L21" s="1249" t="s">
        <v>1147</v>
      </c>
      <c r="M21" s="1250">
        <f>E21*G21*I21*K21</f>
        <v>0</v>
      </c>
      <c r="N21" s="934" t="s">
        <v>1118</v>
      </c>
      <c r="O21" s="934"/>
      <c r="P21" s="934"/>
      <c r="Q21" s="935"/>
      <c r="R21" s="934"/>
      <c r="S21" s="950" t="s">
        <v>1132</v>
      </c>
      <c r="T21" s="984">
        <f t="shared" ref="T21:T26" si="0">M21*O$28</f>
        <v>0</v>
      </c>
      <c r="U21" s="934"/>
      <c r="V21" s="933"/>
      <c r="W21" s="933"/>
      <c r="X21" s="933"/>
    </row>
    <row r="22" spans="1:24" ht="14.4" thickTop="1" thickBot="1">
      <c r="A22" s="933"/>
      <c r="B22" s="934"/>
      <c r="C22" s="934" t="s">
        <v>1153</v>
      </c>
      <c r="D22" s="950"/>
      <c r="E22" s="992"/>
      <c r="F22" s="934" t="s">
        <v>1129</v>
      </c>
      <c r="G22" s="981">
        <v>0.32</v>
      </c>
      <c r="H22" s="960" t="s">
        <v>1197</v>
      </c>
      <c r="I22" s="991"/>
      <c r="J22" s="940" t="s">
        <v>1196</v>
      </c>
      <c r="K22" s="1248">
        <f>E$14</f>
        <v>0</v>
      </c>
      <c r="L22" s="1249" t="s">
        <v>1147</v>
      </c>
      <c r="M22" s="1250">
        <f>E22*G22*I22*K22</f>
        <v>0</v>
      </c>
      <c r="N22" s="934" t="s">
        <v>1118</v>
      </c>
      <c r="O22" s="934"/>
      <c r="P22" s="934"/>
      <c r="Q22" s="935"/>
      <c r="R22" s="934"/>
      <c r="S22" s="950" t="s">
        <v>1132</v>
      </c>
      <c r="T22" s="984">
        <f t="shared" si="0"/>
        <v>0</v>
      </c>
      <c r="U22" s="934"/>
      <c r="V22" s="933"/>
      <c r="W22" s="933"/>
      <c r="X22" s="933"/>
    </row>
    <row r="23" spans="1:24" ht="14.4" thickTop="1" thickBot="1">
      <c r="A23" s="933"/>
      <c r="B23" s="934"/>
      <c r="C23" s="934" t="s">
        <v>1152</v>
      </c>
      <c r="D23" s="953"/>
      <c r="E23" s="992"/>
      <c r="F23" s="934" t="s">
        <v>1129</v>
      </c>
      <c r="G23" s="981">
        <f>G21+G22</f>
        <v>0.36699999999999999</v>
      </c>
      <c r="H23" s="960" t="s">
        <v>1197</v>
      </c>
      <c r="I23" s="991"/>
      <c r="J23" s="940" t="s">
        <v>1196</v>
      </c>
      <c r="K23" s="1248">
        <f>E$14</f>
        <v>0</v>
      </c>
      <c r="L23" s="1249" t="s">
        <v>1147</v>
      </c>
      <c r="M23" s="1250">
        <f>E23*G23*I23*K23</f>
        <v>0</v>
      </c>
      <c r="N23" s="934" t="s">
        <v>1118</v>
      </c>
      <c r="O23" s="934"/>
      <c r="P23" s="934"/>
      <c r="Q23" s="935"/>
      <c r="R23" s="934"/>
      <c r="S23" s="953" t="s">
        <v>1105</v>
      </c>
      <c r="T23" s="982">
        <f t="shared" si="0"/>
        <v>0</v>
      </c>
      <c r="U23" s="934"/>
      <c r="V23" s="933"/>
      <c r="W23" s="933"/>
      <c r="X23" s="933"/>
    </row>
    <row r="24" spans="1:24" ht="14.4" thickTop="1" thickBot="1">
      <c r="A24" s="933"/>
      <c r="B24" s="934"/>
      <c r="C24" s="934" t="s">
        <v>1151</v>
      </c>
      <c r="D24" s="950"/>
      <c r="E24" s="992"/>
      <c r="F24" s="934" t="s">
        <v>1129</v>
      </c>
      <c r="G24" s="981">
        <v>0.32600000000000001</v>
      </c>
      <c r="H24" s="960" t="s">
        <v>1197</v>
      </c>
      <c r="I24" s="991"/>
      <c r="J24" s="940" t="s">
        <v>1196</v>
      </c>
      <c r="K24" s="1248">
        <f>H$14</f>
        <v>0</v>
      </c>
      <c r="L24" s="1249" t="s">
        <v>1147</v>
      </c>
      <c r="M24" s="1250">
        <f>E24*G24*I24*K24</f>
        <v>0</v>
      </c>
      <c r="N24" s="934" t="s">
        <v>1118</v>
      </c>
      <c r="O24" s="934"/>
      <c r="P24" s="934"/>
      <c r="Q24" s="935"/>
      <c r="R24" s="934"/>
      <c r="S24" s="950" t="s">
        <v>1132</v>
      </c>
      <c r="T24" s="984">
        <f t="shared" si="0"/>
        <v>0</v>
      </c>
      <c r="U24" s="934"/>
      <c r="V24" s="933"/>
      <c r="W24" s="933"/>
      <c r="X24" s="933"/>
    </row>
    <row r="25" spans="1:24" ht="14.4" thickTop="1" thickBot="1">
      <c r="A25" s="933"/>
      <c r="B25" s="934"/>
      <c r="C25" s="934" t="s">
        <v>1150</v>
      </c>
      <c r="D25" s="953"/>
      <c r="E25" s="992"/>
      <c r="F25" s="934" t="s">
        <v>1129</v>
      </c>
      <c r="G25" s="981">
        <f>G24</f>
        <v>0.32600000000000001</v>
      </c>
      <c r="H25" s="960" t="s">
        <v>1197</v>
      </c>
      <c r="I25" s="991"/>
      <c r="J25" s="940" t="s">
        <v>1196</v>
      </c>
      <c r="K25" s="1248">
        <f>H$14</f>
        <v>0</v>
      </c>
      <c r="L25" s="1249" t="s">
        <v>1147</v>
      </c>
      <c r="M25" s="1250">
        <f>E25*G25*I25*K25</f>
        <v>0</v>
      </c>
      <c r="N25" s="934" t="s">
        <v>1118</v>
      </c>
      <c r="O25" s="933"/>
      <c r="P25" s="934"/>
      <c r="Q25" s="935"/>
      <c r="R25" s="934"/>
      <c r="S25" s="953" t="s">
        <v>1105</v>
      </c>
      <c r="T25" s="982">
        <f t="shared" si="0"/>
        <v>0</v>
      </c>
      <c r="U25" s="934"/>
      <c r="V25" s="933"/>
      <c r="W25" s="933"/>
      <c r="X25" s="933"/>
    </row>
    <row r="26" spans="1:24" ht="14.4" thickTop="1" thickBot="1">
      <c r="A26" s="933"/>
      <c r="B26" s="934"/>
      <c r="C26" s="934" t="s">
        <v>1149</v>
      </c>
      <c r="D26" s="953"/>
      <c r="E26" s="992"/>
      <c r="F26" s="934" t="s">
        <v>1129</v>
      </c>
      <c r="G26" s="981">
        <v>3</v>
      </c>
      <c r="H26" s="934" t="s">
        <v>1148</v>
      </c>
      <c r="I26" s="954"/>
      <c r="J26" s="934"/>
      <c r="K26" s="1248">
        <f>$E9</f>
        <v>0</v>
      </c>
      <c r="L26" s="1249" t="s">
        <v>1147</v>
      </c>
      <c r="M26" s="1250">
        <f>E26*G26*K26</f>
        <v>0</v>
      </c>
      <c r="N26" s="934" t="s">
        <v>1146</v>
      </c>
      <c r="O26" s="934"/>
      <c r="P26" s="934"/>
      <c r="Q26" s="935"/>
      <c r="R26" s="934"/>
      <c r="S26" s="953" t="s">
        <v>1105</v>
      </c>
      <c r="T26" s="982">
        <f t="shared" si="0"/>
        <v>0</v>
      </c>
      <c r="U26" s="934"/>
      <c r="V26" s="933"/>
      <c r="W26" s="933"/>
      <c r="X26" s="933"/>
    </row>
    <row r="27" spans="1:24" ht="13.8" thickTop="1">
      <c r="A27" s="933"/>
      <c r="B27" s="934"/>
      <c r="C27" s="934"/>
      <c r="D27" s="953"/>
      <c r="E27" s="934"/>
      <c r="F27" s="934"/>
      <c r="G27" s="934"/>
      <c r="H27" s="934"/>
      <c r="I27" s="934"/>
      <c r="J27" s="934"/>
      <c r="K27" s="934"/>
      <c r="L27" s="934"/>
      <c r="M27" s="934"/>
      <c r="N27" s="934"/>
      <c r="O27" s="934" t="s">
        <v>1121</v>
      </c>
      <c r="P27" s="934"/>
      <c r="Q27" s="935"/>
      <c r="R27" s="934"/>
      <c r="S27" s="934"/>
      <c r="T27" s="934"/>
      <c r="U27" s="934"/>
      <c r="V27" s="933"/>
      <c r="W27" s="933"/>
      <c r="X27" s="933"/>
    </row>
    <row r="28" spans="1:24" ht="15" customHeight="1">
      <c r="A28" s="933"/>
      <c r="B28" s="934"/>
      <c r="C28" s="934"/>
      <c r="D28" s="934"/>
      <c r="E28" s="934" t="s">
        <v>1145</v>
      </c>
      <c r="F28" s="934"/>
      <c r="G28" s="934"/>
      <c r="H28" s="934"/>
      <c r="I28" s="934"/>
      <c r="J28" s="934"/>
      <c r="K28" s="934"/>
      <c r="L28" s="951" t="s">
        <v>1127</v>
      </c>
      <c r="M28" s="1250">
        <f>SUM(M21:M26)</f>
        <v>0</v>
      </c>
      <c r="N28" s="1249" t="s">
        <v>1126</v>
      </c>
      <c r="O28" s="1247">
        <f>$E$12</f>
        <v>0</v>
      </c>
      <c r="P28" s="1249" t="s">
        <v>1117</v>
      </c>
      <c r="Q28" s="1251">
        <f>M28*O28</f>
        <v>0</v>
      </c>
      <c r="R28" s="934" t="s">
        <v>1102</v>
      </c>
      <c r="S28" s="934" t="s">
        <v>1125</v>
      </c>
      <c r="T28" s="976">
        <f>SUM(T21:T27)</f>
        <v>0</v>
      </c>
      <c r="U28" s="934" t="s">
        <v>838</v>
      </c>
      <c r="V28" s="961" t="e">
        <f>T28/E9/E12</f>
        <v>#DIV/0!</v>
      </c>
      <c r="W28" s="933" t="s">
        <v>1114</v>
      </c>
      <c r="X28" s="933"/>
    </row>
    <row r="29" spans="1:24">
      <c r="A29" s="933"/>
      <c r="B29" s="934"/>
      <c r="C29" s="934"/>
      <c r="D29" s="934"/>
      <c r="E29" s="934"/>
      <c r="F29" s="934"/>
      <c r="G29" s="934"/>
      <c r="H29" s="934"/>
      <c r="I29" s="934"/>
      <c r="J29" s="934"/>
      <c r="K29" s="934"/>
      <c r="L29" s="951" t="s">
        <v>1101</v>
      </c>
      <c r="M29" s="987" t="e">
        <f>M28/$E$9</f>
        <v>#DIV/0!</v>
      </c>
      <c r="N29" s="934" t="s">
        <v>1144</v>
      </c>
      <c r="O29" s="934"/>
      <c r="P29" s="951" t="s">
        <v>1101</v>
      </c>
      <c r="Q29" s="935" t="e">
        <f>Q28/$E$11</f>
        <v>#DIV/0!</v>
      </c>
      <c r="R29" s="934" t="s">
        <v>1100</v>
      </c>
      <c r="S29" s="934"/>
      <c r="T29" s="934"/>
      <c r="U29" s="934"/>
      <c r="V29" s="933"/>
      <c r="W29" s="933"/>
      <c r="X29" s="933"/>
    </row>
    <row r="30" spans="1:24">
      <c r="A30" s="933"/>
      <c r="B30" s="934"/>
      <c r="C30" s="934"/>
      <c r="D30" s="934"/>
      <c r="E30" s="934"/>
      <c r="F30" s="934"/>
      <c r="G30" s="934"/>
      <c r="H30" s="934"/>
      <c r="I30" s="934"/>
      <c r="J30" s="934"/>
      <c r="K30" s="934"/>
      <c r="L30" s="951"/>
      <c r="M30" s="987"/>
      <c r="N30" s="934"/>
      <c r="O30" s="934"/>
      <c r="P30" s="951"/>
      <c r="Q30" s="935"/>
      <c r="R30" s="934"/>
      <c r="S30" s="934"/>
      <c r="T30" s="934"/>
      <c r="U30" s="934"/>
      <c r="V30" s="933"/>
      <c r="W30" s="933"/>
      <c r="X30" s="933"/>
    </row>
    <row r="31" spans="1:24">
      <c r="A31" s="933"/>
      <c r="B31" s="934"/>
      <c r="C31" s="934" t="s">
        <v>1199</v>
      </c>
      <c r="D31" s="934"/>
      <c r="E31" s="934"/>
      <c r="F31" s="934"/>
      <c r="G31" s="934"/>
      <c r="H31" s="934"/>
      <c r="I31" s="934"/>
      <c r="J31" s="934"/>
      <c r="K31" s="934"/>
      <c r="L31" s="934"/>
      <c r="M31" s="934"/>
      <c r="N31" s="934"/>
      <c r="O31" s="934"/>
      <c r="P31" s="934"/>
      <c r="Q31" s="935"/>
      <c r="R31" s="934"/>
      <c r="S31" s="934"/>
      <c r="T31" s="934"/>
      <c r="U31" s="934"/>
      <c r="V31" s="933"/>
      <c r="W31" s="933"/>
      <c r="X31" s="933"/>
    </row>
    <row r="32" spans="1:24" ht="13.8" thickBot="1">
      <c r="A32" s="933"/>
      <c r="B32" s="934"/>
      <c r="C32" s="934"/>
      <c r="D32" s="934"/>
      <c r="E32" s="934" t="s">
        <v>1136</v>
      </c>
      <c r="F32" s="934"/>
      <c r="G32" s="934" t="s">
        <v>1156</v>
      </c>
      <c r="H32" s="934"/>
      <c r="I32" s="948" t="s">
        <v>1198</v>
      </c>
      <c r="J32" s="934"/>
      <c r="K32" s="934" t="s">
        <v>1155</v>
      </c>
      <c r="L32" s="934"/>
      <c r="M32" s="934"/>
      <c r="N32" s="934"/>
      <c r="O32" s="934"/>
      <c r="P32" s="934"/>
      <c r="Q32" s="935"/>
      <c r="R32" s="934"/>
      <c r="S32" s="934"/>
      <c r="T32" s="934"/>
      <c r="U32" s="934"/>
      <c r="V32" s="933"/>
      <c r="W32" s="933"/>
      <c r="X32" s="933"/>
    </row>
    <row r="33" spans="1:24" ht="14.4" thickTop="1" thickBot="1">
      <c r="A33" s="933"/>
      <c r="B33" s="934"/>
      <c r="C33" s="934" t="s">
        <v>1154</v>
      </c>
      <c r="D33" s="950"/>
      <c r="E33" s="992"/>
      <c r="F33" s="934" t="s">
        <v>1129</v>
      </c>
      <c r="G33" s="981">
        <v>4.7E-2</v>
      </c>
      <c r="H33" s="960" t="s">
        <v>1197</v>
      </c>
      <c r="I33" s="991"/>
      <c r="J33" s="940" t="s">
        <v>1196</v>
      </c>
      <c r="K33" s="1248">
        <f>E$16</f>
        <v>0</v>
      </c>
      <c r="L33" s="1249" t="s">
        <v>1147</v>
      </c>
      <c r="M33" s="1250">
        <f>E33*G33*I33*K33</f>
        <v>0</v>
      </c>
      <c r="N33" s="934" t="s">
        <v>1118</v>
      </c>
      <c r="O33" s="934"/>
      <c r="P33" s="934"/>
      <c r="Q33" s="935"/>
      <c r="R33" s="934"/>
      <c r="S33" s="950" t="s">
        <v>1132</v>
      </c>
      <c r="T33" s="984">
        <f>M33*O$28</f>
        <v>0</v>
      </c>
      <c r="U33" s="934"/>
      <c r="V33" s="933"/>
      <c r="W33" s="933"/>
      <c r="X33" s="933"/>
    </row>
    <row r="34" spans="1:24" ht="14.4" thickTop="1" thickBot="1">
      <c r="A34" s="933"/>
      <c r="B34" s="934"/>
      <c r="C34" s="934" t="s">
        <v>1153</v>
      </c>
      <c r="D34" s="950"/>
      <c r="E34" s="992"/>
      <c r="F34" s="934" t="s">
        <v>1129</v>
      </c>
      <c r="G34" s="981">
        <v>0.32</v>
      </c>
      <c r="H34" s="960" t="s">
        <v>1197</v>
      </c>
      <c r="I34" s="991"/>
      <c r="J34" s="940" t="s">
        <v>1196</v>
      </c>
      <c r="K34" s="1248">
        <f>E$16</f>
        <v>0</v>
      </c>
      <c r="L34" s="1249" t="s">
        <v>1147</v>
      </c>
      <c r="M34" s="1250">
        <f>E34*G34*I34*K34</f>
        <v>0</v>
      </c>
      <c r="N34" s="934" t="s">
        <v>1118</v>
      </c>
      <c r="O34" s="934"/>
      <c r="P34" s="934"/>
      <c r="Q34" s="935"/>
      <c r="R34" s="934"/>
      <c r="S34" s="950" t="s">
        <v>1132</v>
      </c>
      <c r="T34" s="984">
        <f>M34*O$28</f>
        <v>0</v>
      </c>
      <c r="U34" s="934"/>
      <c r="V34" s="933"/>
      <c r="W34" s="933"/>
      <c r="X34" s="933"/>
    </row>
    <row r="35" spans="1:24" ht="14.4" thickTop="1" thickBot="1">
      <c r="A35" s="933"/>
      <c r="B35" s="934"/>
      <c r="C35" s="934" t="s">
        <v>1152</v>
      </c>
      <c r="D35" s="953"/>
      <c r="E35" s="992"/>
      <c r="F35" s="934" t="s">
        <v>1129</v>
      </c>
      <c r="G35" s="981">
        <f>G33+G34</f>
        <v>0.36699999999999999</v>
      </c>
      <c r="H35" s="960" t="s">
        <v>1197</v>
      </c>
      <c r="I35" s="991"/>
      <c r="J35" s="940" t="s">
        <v>1196</v>
      </c>
      <c r="K35" s="1248">
        <f>E$16</f>
        <v>0</v>
      </c>
      <c r="L35" s="1249" t="s">
        <v>1147</v>
      </c>
      <c r="M35" s="1250">
        <f>E35*G35*I35*K35</f>
        <v>0</v>
      </c>
      <c r="N35" s="934" t="s">
        <v>1118</v>
      </c>
      <c r="O35" s="934"/>
      <c r="P35" s="934"/>
      <c r="Q35" s="935"/>
      <c r="R35" s="934"/>
      <c r="S35" s="953" t="s">
        <v>1105</v>
      </c>
      <c r="T35" s="982">
        <f>M35*O$28</f>
        <v>0</v>
      </c>
      <c r="U35" s="934"/>
      <c r="V35" s="933"/>
      <c r="W35" s="933"/>
      <c r="X35" s="933"/>
    </row>
    <row r="36" spans="1:24" ht="14.4" thickTop="1" thickBot="1">
      <c r="A36" s="933"/>
      <c r="B36" s="934"/>
      <c r="C36" s="934" t="s">
        <v>1151</v>
      </c>
      <c r="D36" s="950"/>
      <c r="E36" s="992"/>
      <c r="F36" s="934" t="s">
        <v>1129</v>
      </c>
      <c r="G36" s="981">
        <v>0.32600000000000001</v>
      </c>
      <c r="H36" s="960" t="s">
        <v>1197</v>
      </c>
      <c r="I36" s="991"/>
      <c r="J36" s="940" t="s">
        <v>1196</v>
      </c>
      <c r="K36" s="1248">
        <f>H$16</f>
        <v>0</v>
      </c>
      <c r="L36" s="1249" t="s">
        <v>1147</v>
      </c>
      <c r="M36" s="1250">
        <f>E36*G36*I36*K36</f>
        <v>0</v>
      </c>
      <c r="N36" s="934" t="s">
        <v>1118</v>
      </c>
      <c r="O36" s="934"/>
      <c r="P36" s="934"/>
      <c r="Q36" s="935"/>
      <c r="R36" s="934"/>
      <c r="S36" s="950" t="s">
        <v>1132</v>
      </c>
      <c r="T36" s="984">
        <f>M36*O$28</f>
        <v>0</v>
      </c>
      <c r="U36" s="934"/>
      <c r="V36" s="933"/>
      <c r="W36" s="933"/>
      <c r="X36" s="933"/>
    </row>
    <row r="37" spans="1:24" ht="14.4" thickTop="1" thickBot="1">
      <c r="A37" s="933"/>
      <c r="B37" s="934"/>
      <c r="C37" s="934" t="s">
        <v>1150</v>
      </c>
      <c r="D37" s="953"/>
      <c r="E37" s="992"/>
      <c r="F37" s="934" t="s">
        <v>1129</v>
      </c>
      <c r="G37" s="981">
        <f>G36</f>
        <v>0.32600000000000001</v>
      </c>
      <c r="H37" s="960" t="s">
        <v>1197</v>
      </c>
      <c r="I37" s="991"/>
      <c r="J37" s="940" t="s">
        <v>1196</v>
      </c>
      <c r="K37" s="1248">
        <f>H$16</f>
        <v>0</v>
      </c>
      <c r="L37" s="1249" t="s">
        <v>1147</v>
      </c>
      <c r="M37" s="1250">
        <f>E37*G37*I37*K37</f>
        <v>0</v>
      </c>
      <c r="N37" s="934" t="s">
        <v>1118</v>
      </c>
      <c r="O37" s="933"/>
      <c r="P37" s="934"/>
      <c r="Q37" s="935"/>
      <c r="R37" s="934"/>
      <c r="S37" s="953" t="s">
        <v>1105</v>
      </c>
      <c r="T37" s="982">
        <f>M37*O$28</f>
        <v>0</v>
      </c>
      <c r="U37" s="934"/>
      <c r="V37" s="933"/>
      <c r="W37" s="933"/>
      <c r="X37" s="933"/>
    </row>
    <row r="38" spans="1:24" ht="13.8" thickTop="1">
      <c r="A38" s="933"/>
      <c r="B38" s="934"/>
      <c r="C38" s="934"/>
      <c r="D38" s="953"/>
      <c r="E38" s="934"/>
      <c r="F38" s="934"/>
      <c r="G38" s="934"/>
      <c r="H38" s="934"/>
      <c r="I38" s="954"/>
      <c r="J38" s="934"/>
      <c r="K38" s="1249"/>
      <c r="L38" s="1249"/>
      <c r="M38" s="1252"/>
      <c r="N38" s="934"/>
      <c r="O38" s="934" t="s">
        <v>1121</v>
      </c>
      <c r="P38" s="934"/>
      <c r="Q38" s="934"/>
      <c r="R38" s="934"/>
      <c r="S38" s="934"/>
      <c r="T38" s="933"/>
      <c r="U38" s="933"/>
      <c r="V38" s="933"/>
      <c r="W38" s="933"/>
      <c r="X38" s="933"/>
    </row>
    <row r="39" spans="1:24" ht="15" customHeight="1">
      <c r="A39" s="933"/>
      <c r="B39" s="934"/>
      <c r="C39" s="934"/>
      <c r="D39" s="934"/>
      <c r="E39" s="934" t="s">
        <v>1145</v>
      </c>
      <c r="F39" s="934"/>
      <c r="G39" s="934"/>
      <c r="H39" s="934"/>
      <c r="I39" s="934"/>
      <c r="J39" s="934"/>
      <c r="K39" s="1249"/>
      <c r="L39" s="1253" t="s">
        <v>1127</v>
      </c>
      <c r="M39" s="1250">
        <f>SUM(M33:M37)</f>
        <v>0</v>
      </c>
      <c r="N39" s="934" t="s">
        <v>1126</v>
      </c>
      <c r="O39" s="934">
        <f>$E$12</f>
        <v>0</v>
      </c>
      <c r="P39" s="934" t="s">
        <v>1117</v>
      </c>
      <c r="Q39" s="1251">
        <f>M39*O39</f>
        <v>0</v>
      </c>
      <c r="R39" s="934" t="s">
        <v>1102</v>
      </c>
      <c r="S39" s="934" t="s">
        <v>1125</v>
      </c>
      <c r="T39" s="976">
        <f>SUM(T33:T38)</f>
        <v>0</v>
      </c>
      <c r="U39" s="934" t="s">
        <v>840</v>
      </c>
      <c r="V39" s="961" t="e">
        <f>T39/E10/E12</f>
        <v>#DIV/0!</v>
      </c>
      <c r="W39" s="933" t="s">
        <v>1114</v>
      </c>
      <c r="X39" s="933"/>
    </row>
    <row r="40" spans="1:24">
      <c r="A40" s="933"/>
      <c r="B40" s="934"/>
      <c r="C40" s="934"/>
      <c r="D40" s="934"/>
      <c r="E40" s="934"/>
      <c r="F40" s="934"/>
      <c r="G40" s="934"/>
      <c r="H40" s="934"/>
      <c r="I40" s="934"/>
      <c r="J40" s="934"/>
      <c r="K40" s="934"/>
      <c r="L40" s="951" t="s">
        <v>1101</v>
      </c>
      <c r="M40" s="989" t="e">
        <f>M39/$E$9</f>
        <v>#DIV/0!</v>
      </c>
      <c r="N40" s="934" t="s">
        <v>1144</v>
      </c>
      <c r="O40" s="934"/>
      <c r="P40" s="951" t="s">
        <v>1101</v>
      </c>
      <c r="Q40" s="988" t="e">
        <f>Q39/$E$11</f>
        <v>#DIV/0!</v>
      </c>
      <c r="R40" s="934" t="s">
        <v>1100</v>
      </c>
      <c r="S40" s="934"/>
      <c r="T40" s="934"/>
      <c r="U40" s="934"/>
      <c r="V40" s="933"/>
      <c r="W40" s="933"/>
      <c r="X40" s="933"/>
    </row>
    <row r="41" spans="1:24">
      <c r="A41" s="933"/>
      <c r="B41" s="934"/>
      <c r="C41" s="934"/>
      <c r="D41" s="934"/>
      <c r="E41" s="934"/>
      <c r="F41" s="934"/>
      <c r="G41" s="934"/>
      <c r="H41" s="934"/>
      <c r="I41" s="934"/>
      <c r="J41" s="951"/>
      <c r="K41" s="987"/>
      <c r="L41" s="934"/>
      <c r="M41" s="934"/>
      <c r="N41" s="951"/>
      <c r="O41" s="935"/>
      <c r="P41" s="934"/>
      <c r="Q41" s="934"/>
      <c r="R41" s="934"/>
      <c r="S41" s="934"/>
      <c r="T41" s="933"/>
      <c r="U41" s="933"/>
      <c r="V41" s="933"/>
      <c r="W41" s="933"/>
      <c r="X41" s="933"/>
    </row>
    <row r="42" spans="1:24">
      <c r="A42" s="933"/>
      <c r="B42" s="934"/>
      <c r="C42" s="934"/>
      <c r="D42" s="934"/>
      <c r="E42" s="934"/>
      <c r="F42" s="934"/>
      <c r="G42" s="934"/>
      <c r="H42" s="934"/>
      <c r="I42" s="934"/>
      <c r="J42" s="951"/>
      <c r="K42" s="934"/>
      <c r="L42" s="934"/>
      <c r="M42" s="934"/>
      <c r="N42" s="951"/>
      <c r="O42" s="935"/>
      <c r="P42" s="934"/>
      <c r="Q42" s="934"/>
      <c r="R42" s="934"/>
      <c r="S42" s="934"/>
      <c r="T42" s="933"/>
      <c r="U42" s="933"/>
      <c r="V42" s="933"/>
      <c r="W42" s="933"/>
      <c r="X42" s="933"/>
    </row>
    <row r="43" spans="1:24">
      <c r="A43" s="933"/>
      <c r="B43" s="934"/>
      <c r="C43" s="934" t="s">
        <v>1195</v>
      </c>
      <c r="D43" s="934"/>
      <c r="E43" s="934" t="s">
        <v>1142</v>
      </c>
      <c r="F43" s="934"/>
      <c r="G43" s="934" t="s">
        <v>1141</v>
      </c>
      <c r="H43" s="934"/>
      <c r="I43" s="934" t="s">
        <v>1137</v>
      </c>
      <c r="J43" s="951"/>
      <c r="K43" s="934"/>
      <c r="L43" s="934"/>
      <c r="M43" s="934"/>
      <c r="N43" s="951"/>
      <c r="O43" s="935"/>
      <c r="P43" s="934"/>
      <c r="Q43" s="934"/>
      <c r="R43" s="934"/>
      <c r="S43" s="934"/>
      <c r="T43" s="933"/>
      <c r="U43" s="933"/>
      <c r="V43" s="933"/>
      <c r="W43" s="933"/>
      <c r="X43" s="933"/>
    </row>
    <row r="44" spans="1:24">
      <c r="A44" s="933"/>
      <c r="B44" s="934"/>
      <c r="C44" s="934" t="s">
        <v>1134</v>
      </c>
      <c r="D44" s="934"/>
      <c r="E44" s="934">
        <f>E11</f>
        <v>0</v>
      </c>
      <c r="F44" s="934" t="s">
        <v>1140</v>
      </c>
      <c r="G44" s="981">
        <v>2.3E-3</v>
      </c>
      <c r="H44" s="934" t="s">
        <v>1139</v>
      </c>
      <c r="I44" s="1247">
        <f>E44*G44</f>
        <v>0</v>
      </c>
      <c r="J44" s="986" t="s">
        <v>1138</v>
      </c>
      <c r="K44" s="934"/>
      <c r="L44" s="934"/>
      <c r="M44" s="934"/>
      <c r="N44" s="951"/>
      <c r="O44" s="935"/>
      <c r="P44" s="934"/>
      <c r="Q44" s="934"/>
      <c r="R44" s="934"/>
      <c r="S44" s="934"/>
      <c r="T44" s="933"/>
      <c r="U44" s="933"/>
      <c r="V44" s="933"/>
      <c r="W44" s="933"/>
      <c r="X44" s="933"/>
    </row>
    <row r="45" spans="1:24">
      <c r="A45" s="933"/>
      <c r="B45" s="934"/>
      <c r="C45" s="934" t="s">
        <v>1133</v>
      </c>
      <c r="D45" s="934"/>
      <c r="E45" s="934">
        <f>E11</f>
        <v>0</v>
      </c>
      <c r="F45" s="934" t="s">
        <v>1140</v>
      </c>
      <c r="G45" s="981">
        <v>1.1000000000000001E-3</v>
      </c>
      <c r="H45" s="934" t="s">
        <v>1139</v>
      </c>
      <c r="I45" s="1247">
        <f>E45*G45</f>
        <v>0</v>
      </c>
      <c r="J45" s="986" t="s">
        <v>1138</v>
      </c>
      <c r="K45" s="934"/>
      <c r="L45" s="934"/>
      <c r="M45" s="934"/>
      <c r="N45" s="951"/>
      <c r="O45" s="935"/>
      <c r="P45" s="934"/>
      <c r="Q45" s="934"/>
      <c r="R45" s="934"/>
      <c r="S45" s="934"/>
      <c r="T45" s="933"/>
      <c r="U45" s="933"/>
      <c r="V45" s="933"/>
      <c r="W45" s="933"/>
      <c r="X45" s="933"/>
    </row>
    <row r="46" spans="1:24">
      <c r="A46" s="933"/>
      <c r="B46" s="934"/>
      <c r="C46" s="934" t="s">
        <v>1131</v>
      </c>
      <c r="D46" s="934"/>
      <c r="E46" s="934">
        <f>E11</f>
        <v>0</v>
      </c>
      <c r="F46" s="934" t="s">
        <v>1140</v>
      </c>
      <c r="G46" s="981">
        <v>2.3999999999999998E-3</v>
      </c>
      <c r="H46" s="934" t="s">
        <v>1139</v>
      </c>
      <c r="I46" s="1247">
        <f>E46*G46</f>
        <v>0</v>
      </c>
      <c r="J46" s="986" t="s">
        <v>1138</v>
      </c>
      <c r="K46" s="934"/>
      <c r="L46" s="934"/>
      <c r="M46" s="934"/>
      <c r="N46" s="951"/>
      <c r="O46" s="935"/>
      <c r="P46" s="934"/>
      <c r="Q46" s="934"/>
      <c r="R46" s="934"/>
      <c r="S46" s="934"/>
      <c r="T46" s="933"/>
      <c r="U46" s="933"/>
      <c r="V46" s="933"/>
      <c r="W46" s="933"/>
      <c r="X46" s="933"/>
    </row>
    <row r="47" spans="1:24">
      <c r="A47" s="933"/>
      <c r="B47" s="934"/>
      <c r="C47" s="934"/>
      <c r="D47" s="934"/>
      <c r="E47" s="934"/>
      <c r="F47" s="934"/>
      <c r="G47" s="934"/>
      <c r="H47" s="934"/>
      <c r="I47" s="934"/>
      <c r="J47" s="951"/>
      <c r="K47" s="934"/>
      <c r="L47" s="934"/>
      <c r="M47" s="934"/>
      <c r="N47" s="951"/>
      <c r="O47" s="935"/>
      <c r="P47" s="934"/>
      <c r="Q47" s="934"/>
      <c r="R47" s="934"/>
      <c r="S47" s="934"/>
      <c r="T47" s="933"/>
      <c r="U47" s="933"/>
      <c r="V47" s="933"/>
      <c r="W47" s="933"/>
      <c r="X47" s="933"/>
    </row>
    <row r="48" spans="1:24">
      <c r="A48" s="933"/>
      <c r="B48" s="934"/>
      <c r="C48" s="934"/>
      <c r="D48" s="934"/>
      <c r="E48" s="934" t="s">
        <v>1137</v>
      </c>
      <c r="F48" s="934"/>
      <c r="G48" s="934" t="s">
        <v>1136</v>
      </c>
      <c r="H48" s="934"/>
      <c r="I48" s="934" t="s">
        <v>1135</v>
      </c>
      <c r="J48" s="934"/>
      <c r="K48" s="934"/>
      <c r="L48" s="934"/>
      <c r="M48" s="934"/>
      <c r="N48" s="951"/>
      <c r="O48" s="935"/>
      <c r="P48" s="934"/>
      <c r="Q48" s="948"/>
      <c r="R48" s="948"/>
      <c r="S48" s="934"/>
      <c r="T48" s="933"/>
      <c r="U48" s="933"/>
      <c r="V48" s="933"/>
      <c r="W48" s="933"/>
      <c r="X48" s="933"/>
    </row>
    <row r="49" spans="1:24">
      <c r="A49" s="933"/>
      <c r="B49" s="934"/>
      <c r="C49" s="934" t="s">
        <v>1134</v>
      </c>
      <c r="D49" s="950"/>
      <c r="E49" s="934">
        <f>I44</f>
        <v>0</v>
      </c>
      <c r="F49" s="934" t="s">
        <v>1130</v>
      </c>
      <c r="G49" s="983">
        <f>E21</f>
        <v>0</v>
      </c>
      <c r="H49" s="934" t="s">
        <v>1129</v>
      </c>
      <c r="I49" s="981">
        <v>6</v>
      </c>
      <c r="J49" s="934" t="s">
        <v>1128</v>
      </c>
      <c r="K49" s="934">
        <f>E49*G49*I49</f>
        <v>0</v>
      </c>
      <c r="L49" s="934" t="s">
        <v>1118</v>
      </c>
      <c r="M49" s="934"/>
      <c r="N49" s="951"/>
      <c r="O49" s="935"/>
      <c r="P49" s="960"/>
      <c r="Q49" s="973"/>
      <c r="R49" s="973"/>
      <c r="S49" s="985" t="s">
        <v>1132</v>
      </c>
      <c r="T49" s="984">
        <f>K49*M$52</f>
        <v>0</v>
      </c>
      <c r="U49" s="934"/>
      <c r="V49" s="933"/>
      <c r="W49" s="933"/>
      <c r="X49" s="933"/>
    </row>
    <row r="50" spans="1:24">
      <c r="A50" s="933"/>
      <c r="B50" s="934"/>
      <c r="C50" s="934" t="s">
        <v>1133</v>
      </c>
      <c r="D50" s="950"/>
      <c r="E50" s="934">
        <f>I45</f>
        <v>0</v>
      </c>
      <c r="F50" s="934" t="s">
        <v>1130</v>
      </c>
      <c r="G50" s="983">
        <f>E22</f>
        <v>0</v>
      </c>
      <c r="H50" s="934" t="s">
        <v>1129</v>
      </c>
      <c r="I50" s="981">
        <v>6</v>
      </c>
      <c r="J50" s="934" t="s">
        <v>1128</v>
      </c>
      <c r="K50" s="934">
        <f>E50*G50*I50</f>
        <v>0</v>
      </c>
      <c r="L50" s="934" t="s">
        <v>1118</v>
      </c>
      <c r="M50" s="934"/>
      <c r="N50" s="951"/>
      <c r="O50" s="935"/>
      <c r="P50" s="960"/>
      <c r="Q50" s="973"/>
      <c r="R50" s="973"/>
      <c r="S50" s="985" t="s">
        <v>1132</v>
      </c>
      <c r="T50" s="984">
        <f>K50*M$52</f>
        <v>0</v>
      </c>
      <c r="U50" s="934"/>
      <c r="V50" s="933"/>
      <c r="W50" s="933"/>
      <c r="X50" s="933"/>
    </row>
    <row r="51" spans="1:24">
      <c r="A51" s="933"/>
      <c r="B51" s="934"/>
      <c r="C51" s="934" t="s">
        <v>1131</v>
      </c>
      <c r="D51" s="953"/>
      <c r="E51" s="934">
        <f>I46</f>
        <v>0</v>
      </c>
      <c r="F51" s="934" t="s">
        <v>1130</v>
      </c>
      <c r="G51" s="983">
        <f>E23</f>
        <v>0</v>
      </c>
      <c r="H51" s="934" t="s">
        <v>1129</v>
      </c>
      <c r="I51" s="981">
        <v>6</v>
      </c>
      <c r="J51" s="934" t="s">
        <v>1128</v>
      </c>
      <c r="K51" s="934">
        <f>E51*G51*I51</f>
        <v>0</v>
      </c>
      <c r="L51" s="934" t="s">
        <v>1118</v>
      </c>
      <c r="M51" s="934" t="s">
        <v>1121</v>
      </c>
      <c r="N51" s="934"/>
      <c r="O51" s="935"/>
      <c r="P51" s="960"/>
      <c r="Q51" s="973"/>
      <c r="R51" s="973"/>
      <c r="S51" s="979" t="s">
        <v>1105</v>
      </c>
      <c r="T51" s="982">
        <f>K51*M$52</f>
        <v>0</v>
      </c>
      <c r="U51" s="934"/>
      <c r="V51" s="933" t="s">
        <v>1194</v>
      </c>
      <c r="W51" s="933"/>
      <c r="X51" s="933"/>
    </row>
    <row r="52" spans="1:24">
      <c r="A52" s="933"/>
      <c r="B52" s="934"/>
      <c r="C52" s="934"/>
      <c r="D52" s="934"/>
      <c r="E52" s="934"/>
      <c r="F52" s="934"/>
      <c r="G52" s="934"/>
      <c r="H52" s="934"/>
      <c r="I52" s="934"/>
      <c r="J52" s="951" t="s">
        <v>1127</v>
      </c>
      <c r="K52" s="1250">
        <f>SUM(K49:K51)</f>
        <v>0</v>
      </c>
      <c r="L52" s="934" t="s">
        <v>1126</v>
      </c>
      <c r="M52" s="934">
        <f>$E$12</f>
        <v>0</v>
      </c>
      <c r="N52" s="934" t="s">
        <v>1117</v>
      </c>
      <c r="O52" s="1251">
        <f>K52*M52</f>
        <v>0</v>
      </c>
      <c r="P52" s="960" t="s">
        <v>1102</v>
      </c>
      <c r="Q52" s="973"/>
      <c r="R52" s="973"/>
      <c r="S52" s="940" t="s">
        <v>1125</v>
      </c>
      <c r="T52" s="976">
        <f>SUM(T49:T51)</f>
        <v>0</v>
      </c>
      <c r="U52" s="934" t="s">
        <v>842</v>
      </c>
      <c r="V52" s="961" t="e">
        <f>(T28+T39+T52)/(E9+E10)/E12</f>
        <v>#DIV/0!</v>
      </c>
      <c r="W52" s="933" t="s">
        <v>1114</v>
      </c>
      <c r="X52" s="933"/>
    </row>
    <row r="53" spans="1:24">
      <c r="A53" s="933"/>
      <c r="B53" s="934"/>
      <c r="C53" s="934"/>
      <c r="D53" s="934"/>
      <c r="E53" s="934"/>
      <c r="F53" s="934"/>
      <c r="G53" s="934"/>
      <c r="H53" s="934"/>
      <c r="I53" s="934"/>
      <c r="J53" s="951"/>
      <c r="K53" s="934"/>
      <c r="L53" s="934"/>
      <c r="M53" s="934"/>
      <c r="N53" s="951"/>
      <c r="O53" s="935"/>
      <c r="P53" s="960"/>
      <c r="Q53" s="973"/>
      <c r="R53" s="973"/>
      <c r="S53" s="940"/>
      <c r="T53" s="934"/>
      <c r="U53" s="934"/>
      <c r="V53" s="933"/>
      <c r="W53" s="933"/>
      <c r="X53" s="933"/>
    </row>
    <row r="54" spans="1:24" ht="13.8" thickBot="1">
      <c r="A54" s="933"/>
      <c r="B54" s="934"/>
      <c r="C54" s="934" t="s">
        <v>1193</v>
      </c>
      <c r="D54" s="934"/>
      <c r="E54" s="934"/>
      <c r="F54" s="934"/>
      <c r="G54" s="934" t="s">
        <v>1192</v>
      </c>
      <c r="H54" s="934"/>
      <c r="I54" s="934" t="s">
        <v>1191</v>
      </c>
      <c r="J54" s="934"/>
      <c r="K54" s="934"/>
      <c r="L54" s="934"/>
      <c r="M54" s="934" t="s">
        <v>1121</v>
      </c>
      <c r="N54" s="934"/>
      <c r="O54" s="935"/>
      <c r="P54" s="960"/>
      <c r="Q54" s="973"/>
      <c r="R54" s="973"/>
      <c r="S54" s="940"/>
      <c r="T54" s="934"/>
      <c r="U54" s="934"/>
      <c r="V54" s="933"/>
      <c r="W54" s="933"/>
      <c r="X54" s="933"/>
    </row>
    <row r="55" spans="1:24" ht="14.4" thickTop="1" thickBot="1">
      <c r="A55" s="933"/>
      <c r="B55" s="934"/>
      <c r="C55" s="934"/>
      <c r="D55" s="953"/>
      <c r="E55" s="934" t="s">
        <v>1190</v>
      </c>
      <c r="F55" s="934"/>
      <c r="G55" s="981">
        <v>15</v>
      </c>
      <c r="H55" s="934" t="s">
        <v>1186</v>
      </c>
      <c r="I55" s="955"/>
      <c r="J55" s="934" t="s">
        <v>1147</v>
      </c>
      <c r="K55" s="980">
        <f>G55*I55</f>
        <v>0</v>
      </c>
      <c r="L55" s="934" t="s">
        <v>1118</v>
      </c>
      <c r="M55" s="934">
        <f>$E$12</f>
        <v>0</v>
      </c>
      <c r="N55" s="934" t="s">
        <v>1117</v>
      </c>
      <c r="O55" s="1251">
        <f>K55*M55</f>
        <v>0</v>
      </c>
      <c r="P55" s="960" t="s">
        <v>1102</v>
      </c>
      <c r="Q55" s="973"/>
      <c r="R55" s="973"/>
      <c r="S55" s="979" t="s">
        <v>1105</v>
      </c>
      <c r="T55" s="978">
        <f>K55*M55</f>
        <v>0</v>
      </c>
      <c r="U55" s="934"/>
      <c r="V55" s="933"/>
      <c r="W55" s="933"/>
      <c r="X55" s="933"/>
    </row>
    <row r="56" spans="1:24" ht="14.4" thickTop="1" thickBot="1">
      <c r="A56" s="933"/>
      <c r="B56" s="934"/>
      <c r="C56" s="934"/>
      <c r="D56" s="953"/>
      <c r="E56" s="934" t="s">
        <v>1189</v>
      </c>
      <c r="F56" s="934"/>
      <c r="G56" s="981">
        <v>30</v>
      </c>
      <c r="H56" s="934" t="s">
        <v>1186</v>
      </c>
      <c r="I56" s="955"/>
      <c r="J56" s="934" t="s">
        <v>1147</v>
      </c>
      <c r="K56" s="980">
        <f>G56*I56</f>
        <v>0</v>
      </c>
      <c r="L56" s="934" t="s">
        <v>1118</v>
      </c>
      <c r="M56" s="934">
        <f>$E$12</f>
        <v>0</v>
      </c>
      <c r="N56" s="934" t="s">
        <v>1117</v>
      </c>
      <c r="O56" s="1251">
        <f>K56*M56</f>
        <v>0</v>
      </c>
      <c r="P56" s="960" t="s">
        <v>1102</v>
      </c>
      <c r="Q56" s="973"/>
      <c r="R56" s="973"/>
      <c r="S56" s="979" t="s">
        <v>1105</v>
      </c>
      <c r="T56" s="978">
        <f>K56*M56</f>
        <v>0</v>
      </c>
      <c r="U56" s="934"/>
      <c r="V56" s="933"/>
      <c r="W56" s="933"/>
      <c r="X56" s="933"/>
    </row>
    <row r="57" spans="1:24" ht="14.4" thickTop="1" thickBot="1">
      <c r="A57" s="933"/>
      <c r="B57" s="934"/>
      <c r="C57" s="934"/>
      <c r="D57" s="953"/>
      <c r="E57" s="934" t="s">
        <v>1188</v>
      </c>
      <c r="F57" s="934"/>
      <c r="G57" s="981">
        <v>70</v>
      </c>
      <c r="H57" s="934" t="s">
        <v>1186</v>
      </c>
      <c r="I57" s="955"/>
      <c r="J57" s="934" t="s">
        <v>1147</v>
      </c>
      <c r="K57" s="980">
        <f>G57*I57</f>
        <v>0</v>
      </c>
      <c r="L57" s="934" t="s">
        <v>1118</v>
      </c>
      <c r="M57" s="934">
        <f>$E$12</f>
        <v>0</v>
      </c>
      <c r="N57" s="934" t="s">
        <v>1117</v>
      </c>
      <c r="O57" s="1251">
        <f>K57*M57</f>
        <v>0</v>
      </c>
      <c r="P57" s="960" t="s">
        <v>1102</v>
      </c>
      <c r="Q57" s="973"/>
      <c r="R57" s="973"/>
      <c r="S57" s="979" t="s">
        <v>1105</v>
      </c>
      <c r="T57" s="978">
        <f>K57*M57</f>
        <v>0</v>
      </c>
      <c r="U57" s="934"/>
      <c r="V57" s="933"/>
      <c r="W57" s="933"/>
      <c r="X57" s="933"/>
    </row>
    <row r="58" spans="1:24" ht="14.4" thickTop="1" thickBot="1">
      <c r="A58" s="933"/>
      <c r="B58" s="934"/>
      <c r="C58" s="934"/>
      <c r="D58" s="953"/>
      <c r="E58" s="934" t="s">
        <v>1187</v>
      </c>
      <c r="F58" s="934"/>
      <c r="G58" s="981">
        <v>50</v>
      </c>
      <c r="H58" s="934" t="s">
        <v>1186</v>
      </c>
      <c r="I58" s="955"/>
      <c r="J58" s="934" t="s">
        <v>1147</v>
      </c>
      <c r="K58" s="980">
        <f>G58*I58</f>
        <v>0</v>
      </c>
      <c r="L58" s="934" t="s">
        <v>1118</v>
      </c>
      <c r="M58" s="934">
        <f>$E$12</f>
        <v>0</v>
      </c>
      <c r="N58" s="934" t="s">
        <v>1117</v>
      </c>
      <c r="O58" s="1251">
        <f>K58*M58</f>
        <v>0</v>
      </c>
      <c r="P58" s="960" t="s">
        <v>1102</v>
      </c>
      <c r="Q58" s="973"/>
      <c r="R58" s="973"/>
      <c r="S58" s="979" t="s">
        <v>1105</v>
      </c>
      <c r="T58" s="978">
        <f>K58*M58</f>
        <v>0</v>
      </c>
      <c r="U58" s="934"/>
      <c r="V58" s="933"/>
      <c r="W58" s="933"/>
      <c r="X58" s="933"/>
    </row>
    <row r="59" spans="1:24" ht="13.8" thickTop="1">
      <c r="A59" s="933"/>
      <c r="B59" s="934"/>
      <c r="C59" s="934"/>
      <c r="D59" s="950"/>
      <c r="E59" s="934"/>
      <c r="F59" s="934"/>
      <c r="G59" s="934"/>
      <c r="H59" s="975" t="s">
        <v>1127</v>
      </c>
      <c r="I59" s="977">
        <f>SUM(I55:I58)</f>
        <v>0</v>
      </c>
      <c r="J59" s="940" t="s">
        <v>1147</v>
      </c>
      <c r="K59" s="934"/>
      <c r="L59" s="934"/>
      <c r="M59" s="934"/>
      <c r="N59" s="934"/>
      <c r="O59" s="935"/>
      <c r="P59" s="960"/>
      <c r="Q59" s="973"/>
      <c r="R59" s="973"/>
      <c r="S59" s="940" t="s">
        <v>1125</v>
      </c>
      <c r="T59" s="976">
        <f>SUM(T55:T58)</f>
        <v>0</v>
      </c>
      <c r="U59" s="934" t="s">
        <v>844</v>
      </c>
      <c r="V59" s="961" t="e">
        <f>(T59)/(I59)/E12</f>
        <v>#DIV/0!</v>
      </c>
      <c r="W59" s="933" t="s">
        <v>1185</v>
      </c>
      <c r="X59" s="933"/>
    </row>
    <row r="60" spans="1:24">
      <c r="A60" s="933"/>
      <c r="B60" s="934"/>
      <c r="C60" s="934"/>
      <c r="D60" s="950"/>
      <c r="E60" s="934"/>
      <c r="F60" s="934"/>
      <c r="G60" s="934" t="s">
        <v>1184</v>
      </c>
      <c r="H60" s="975"/>
      <c r="I60" s="974"/>
      <c r="J60" s="940"/>
      <c r="K60" s="934"/>
      <c r="L60" s="934"/>
      <c r="M60" s="948"/>
      <c r="N60" s="934"/>
      <c r="O60" s="935"/>
      <c r="P60" s="960"/>
      <c r="Q60" s="973"/>
      <c r="R60" s="973"/>
      <c r="S60" s="940"/>
      <c r="T60" s="972"/>
      <c r="U60" s="933"/>
      <c r="V60" s="971"/>
      <c r="W60" s="933"/>
      <c r="X60" s="933"/>
    </row>
    <row r="61" spans="1:24">
      <c r="A61" s="933"/>
      <c r="B61" s="934"/>
      <c r="C61" s="934"/>
      <c r="D61" s="934"/>
      <c r="E61" s="934"/>
      <c r="F61" s="934"/>
      <c r="G61" s="934"/>
      <c r="H61" s="934"/>
      <c r="I61" s="954"/>
      <c r="J61" s="934"/>
      <c r="K61" s="934"/>
      <c r="L61" s="934"/>
      <c r="M61" s="948"/>
      <c r="N61" s="934"/>
      <c r="O61" s="935"/>
      <c r="P61" s="934"/>
      <c r="Q61" s="954"/>
      <c r="R61" s="954"/>
      <c r="S61" s="934"/>
      <c r="T61" s="933"/>
      <c r="U61" s="933"/>
      <c r="V61" s="933"/>
      <c r="W61" s="933"/>
      <c r="X61" s="933"/>
    </row>
    <row r="62" spans="1:24">
      <c r="A62" s="933"/>
      <c r="B62" s="934" t="s">
        <v>1183</v>
      </c>
      <c r="C62" s="934"/>
      <c r="D62" s="934"/>
      <c r="E62" s="934"/>
      <c r="F62" s="934"/>
      <c r="G62" s="934"/>
      <c r="H62" s="934"/>
      <c r="I62" s="934"/>
      <c r="J62" s="934"/>
      <c r="K62" s="934"/>
      <c r="L62" s="960"/>
      <c r="M62" s="934"/>
      <c r="N62" s="934"/>
      <c r="O62" s="935"/>
      <c r="P62" s="934"/>
      <c r="Q62" s="934"/>
      <c r="R62" s="934"/>
      <c r="S62" s="934"/>
      <c r="T62" s="933"/>
      <c r="U62" s="933"/>
      <c r="V62" s="933"/>
      <c r="W62" s="933"/>
      <c r="X62" s="933"/>
    </row>
    <row r="63" spans="1:24">
      <c r="A63" s="933"/>
      <c r="B63" s="934"/>
      <c r="C63" s="934"/>
      <c r="D63" s="934"/>
      <c r="E63" s="934"/>
      <c r="F63" s="934"/>
      <c r="G63" s="934"/>
      <c r="H63" s="934"/>
      <c r="I63" s="934"/>
      <c r="J63" s="953"/>
      <c r="K63" s="970"/>
      <c r="L63" s="934"/>
      <c r="M63" s="970"/>
      <c r="N63" s="934" t="s">
        <v>1105</v>
      </c>
      <c r="O63" s="952">
        <f>T23+T25+T26+T35+T37+T51+T59</f>
        <v>0</v>
      </c>
      <c r="P63" s="934" t="s">
        <v>1102</v>
      </c>
      <c r="Q63" s="934" t="s">
        <v>838</v>
      </c>
      <c r="R63" s="934"/>
      <c r="S63" s="934"/>
      <c r="T63" s="933"/>
      <c r="U63" s="933"/>
      <c r="V63" s="933"/>
      <c r="W63" s="933"/>
      <c r="X63" s="933"/>
    </row>
    <row r="64" spans="1:24" ht="13.8" thickBot="1">
      <c r="A64" s="933"/>
      <c r="B64" s="934"/>
      <c r="C64" s="934"/>
      <c r="D64" s="934"/>
      <c r="E64" s="934"/>
      <c r="F64" s="934"/>
      <c r="G64" s="934"/>
      <c r="H64" s="934"/>
      <c r="I64" s="934"/>
      <c r="J64" s="950"/>
      <c r="K64" s="969"/>
      <c r="L64" s="934"/>
      <c r="M64" s="969"/>
      <c r="N64" s="934" t="s">
        <v>1132</v>
      </c>
      <c r="O64" s="968">
        <f>T21+T22+T24+T33+T34+T36+T49+T50</f>
        <v>0</v>
      </c>
      <c r="P64" s="934" t="s">
        <v>1102</v>
      </c>
      <c r="Q64" s="948" t="s">
        <v>840</v>
      </c>
      <c r="R64" s="934"/>
      <c r="S64" s="934"/>
      <c r="T64" s="933"/>
      <c r="U64" s="933" t="s">
        <v>1182</v>
      </c>
      <c r="V64" s="933"/>
      <c r="W64" s="933"/>
      <c r="X64" s="933"/>
    </row>
    <row r="65" spans="1:24" ht="14.4" thickTop="1" thickBot="1">
      <c r="A65" s="933"/>
      <c r="B65" s="934"/>
      <c r="C65" s="934"/>
      <c r="D65" s="934"/>
      <c r="E65" s="934"/>
      <c r="F65" s="934"/>
      <c r="G65" s="934"/>
      <c r="H65" s="934"/>
      <c r="I65" s="934"/>
      <c r="J65" s="950"/>
      <c r="K65" s="934"/>
      <c r="L65" s="960"/>
      <c r="M65" s="967"/>
      <c r="N65" s="966" t="s">
        <v>1181</v>
      </c>
      <c r="O65" s="965">
        <f>O63+O64</f>
        <v>0</v>
      </c>
      <c r="P65" s="964" t="s">
        <v>1102</v>
      </c>
      <c r="Q65" s="963" t="s">
        <v>1115</v>
      </c>
      <c r="R65" s="940"/>
      <c r="S65" s="934"/>
      <c r="T65" s="962">
        <f>T28+T39+T52+T59</f>
        <v>0</v>
      </c>
      <c r="U65" s="933" t="s">
        <v>1180</v>
      </c>
      <c r="V65" s="961" t="e">
        <f>T65/(E9+E10)/E12</f>
        <v>#DIV/0!</v>
      </c>
      <c r="W65" s="933" t="s">
        <v>1114</v>
      </c>
      <c r="X65" s="933"/>
    </row>
    <row r="66" spans="1:24" ht="14.4" thickTop="1" thickBot="1">
      <c r="A66" s="933"/>
      <c r="B66" s="934"/>
      <c r="C66" s="934"/>
      <c r="D66" s="934"/>
      <c r="E66" s="934"/>
      <c r="F66" s="934"/>
      <c r="G66" s="934"/>
      <c r="H66" s="934"/>
      <c r="I66" s="934"/>
      <c r="J66" s="934"/>
      <c r="K66" s="934"/>
      <c r="L66" s="960"/>
      <c r="M66" s="959"/>
      <c r="N66" s="958" t="s">
        <v>1101</v>
      </c>
      <c r="O66" s="1254" t="e">
        <f>O65/$E$11</f>
        <v>#DIV/0!</v>
      </c>
      <c r="P66" s="957" t="s">
        <v>1100</v>
      </c>
      <c r="Q66" s="956"/>
      <c r="R66" s="940"/>
      <c r="S66" s="934"/>
      <c r="T66" s="933"/>
      <c r="U66" s="933"/>
      <c r="V66" s="933"/>
      <c r="W66" s="933"/>
      <c r="X66" s="933"/>
    </row>
    <row r="67" spans="1:24" ht="14.4" thickTop="1" thickBot="1">
      <c r="A67" s="933"/>
      <c r="B67" s="934" t="s">
        <v>1179</v>
      </c>
      <c r="C67" s="934" t="s">
        <v>1112</v>
      </c>
      <c r="D67" s="934"/>
      <c r="E67" s="934"/>
      <c r="F67" s="934"/>
      <c r="G67" s="934"/>
      <c r="H67" s="934"/>
      <c r="I67" s="934"/>
      <c r="J67" s="934"/>
      <c r="K67" s="934"/>
      <c r="L67" s="934"/>
      <c r="M67" s="954"/>
      <c r="N67" s="934"/>
      <c r="O67" s="935"/>
      <c r="P67" s="934"/>
      <c r="Q67" s="954"/>
      <c r="R67" s="934"/>
      <c r="S67" s="934"/>
      <c r="T67" s="933"/>
      <c r="U67" s="933"/>
      <c r="V67" s="933"/>
      <c r="W67" s="933"/>
      <c r="X67" s="933"/>
    </row>
    <row r="68" spans="1:24" ht="14.4" thickTop="1" thickBot="1">
      <c r="A68" s="933"/>
      <c r="B68" s="934"/>
      <c r="C68" s="934" t="s">
        <v>1111</v>
      </c>
      <c r="D68" s="934"/>
      <c r="E68" s="934"/>
      <c r="F68" s="934"/>
      <c r="G68" s="934"/>
      <c r="H68" s="955"/>
      <c r="I68" s="934" t="s">
        <v>209</v>
      </c>
      <c r="J68" s="934"/>
      <c r="K68" s="934"/>
      <c r="L68" s="934"/>
      <c r="M68" s="954"/>
      <c r="N68" s="951" t="s">
        <v>1110</v>
      </c>
      <c r="O68" s="1251">
        <f>O65*H68/100</f>
        <v>0</v>
      </c>
      <c r="P68" s="934" t="s">
        <v>1102</v>
      </c>
      <c r="Q68" s="934" t="s">
        <v>1109</v>
      </c>
      <c r="R68" s="934"/>
      <c r="S68" s="934"/>
      <c r="T68" s="933"/>
      <c r="U68" s="933"/>
      <c r="V68" s="933"/>
      <c r="W68" s="933"/>
      <c r="X68" s="933"/>
    </row>
    <row r="69" spans="1:24" ht="13.8" thickTop="1">
      <c r="A69" s="933"/>
      <c r="B69" s="934"/>
      <c r="C69" s="934" t="s">
        <v>1108</v>
      </c>
      <c r="D69" s="934"/>
      <c r="E69" s="934"/>
      <c r="F69" s="934"/>
      <c r="G69" s="934"/>
      <c r="H69" s="934"/>
      <c r="I69" s="934"/>
      <c r="J69" s="934"/>
      <c r="K69" s="934"/>
      <c r="L69" s="934"/>
      <c r="M69" s="954"/>
      <c r="N69" s="951" t="s">
        <v>1107</v>
      </c>
      <c r="O69" s="1251">
        <f>IF(O68&lt;O64,O68,O64)</f>
        <v>0</v>
      </c>
      <c r="P69" s="934" t="s">
        <v>1102</v>
      </c>
      <c r="Q69" s="934" t="s">
        <v>1106</v>
      </c>
      <c r="R69" s="934"/>
      <c r="S69" s="934"/>
      <c r="T69" s="933"/>
      <c r="U69" s="933"/>
      <c r="V69" s="933"/>
      <c r="W69" s="933"/>
      <c r="X69" s="933"/>
    </row>
    <row r="70" spans="1:24">
      <c r="A70" s="933"/>
      <c r="B70" s="934"/>
      <c r="C70" s="934"/>
      <c r="D70" s="934"/>
      <c r="E70" s="934"/>
      <c r="F70" s="934"/>
      <c r="G70" s="934"/>
      <c r="H70" s="934"/>
      <c r="I70" s="934"/>
      <c r="J70" s="934"/>
      <c r="K70" s="934"/>
      <c r="L70" s="934"/>
      <c r="M70" s="934"/>
      <c r="N70" s="934"/>
      <c r="O70" s="935"/>
      <c r="P70" s="934"/>
      <c r="Q70" s="934"/>
      <c r="R70" s="934"/>
      <c r="S70" s="934"/>
      <c r="T70" s="933"/>
      <c r="U70" s="933"/>
      <c r="V70" s="933"/>
      <c r="W70" s="933"/>
      <c r="X70" s="933"/>
    </row>
    <row r="71" spans="1:24">
      <c r="A71" s="933"/>
      <c r="B71" s="934"/>
      <c r="C71" s="934"/>
      <c r="D71" s="934"/>
      <c r="E71" s="934"/>
      <c r="F71" s="934"/>
      <c r="G71" s="934"/>
      <c r="H71" s="934"/>
      <c r="I71" s="934"/>
      <c r="J71" s="934"/>
      <c r="K71" s="934"/>
      <c r="L71" s="934"/>
      <c r="M71" s="953" t="s">
        <v>1105</v>
      </c>
      <c r="N71" s="934"/>
      <c r="O71" s="952">
        <f>O63</f>
        <v>0</v>
      </c>
      <c r="P71" s="934" t="s">
        <v>1102</v>
      </c>
      <c r="Q71" s="934" t="s">
        <v>838</v>
      </c>
      <c r="R71" s="934"/>
      <c r="S71" s="934"/>
      <c r="T71" s="933"/>
      <c r="U71" s="933"/>
      <c r="V71" s="933"/>
      <c r="W71" s="933"/>
      <c r="X71" s="933"/>
    </row>
    <row r="72" spans="1:24" ht="13.8" thickBot="1">
      <c r="A72" s="933"/>
      <c r="B72" s="934"/>
      <c r="C72" s="934"/>
      <c r="D72" s="934"/>
      <c r="E72" s="934"/>
      <c r="F72" s="934"/>
      <c r="G72" s="951"/>
      <c r="H72" s="934"/>
      <c r="I72" s="934"/>
      <c r="J72" s="934"/>
      <c r="K72" s="934"/>
      <c r="L72" s="934"/>
      <c r="M72" s="950" t="s">
        <v>1104</v>
      </c>
      <c r="N72" s="934"/>
      <c r="O72" s="949">
        <f>O64-O69</f>
        <v>0</v>
      </c>
      <c r="P72" s="934" t="s">
        <v>1102</v>
      </c>
      <c r="Q72" s="948" t="s">
        <v>1103</v>
      </c>
      <c r="R72" s="934"/>
      <c r="S72" s="934"/>
      <c r="T72" s="933"/>
      <c r="U72" s="933"/>
      <c r="V72" s="933"/>
      <c r="W72" s="933"/>
      <c r="X72" s="933"/>
    </row>
    <row r="73" spans="1:24" ht="14.4" thickTop="1" thickBot="1">
      <c r="A73" s="933"/>
      <c r="B73" s="934"/>
      <c r="C73" s="934"/>
      <c r="D73" s="934"/>
      <c r="E73" s="934"/>
      <c r="F73" s="934"/>
      <c r="G73" s="934"/>
      <c r="H73" s="934"/>
      <c r="I73" s="934"/>
      <c r="J73" s="934"/>
      <c r="K73" s="934"/>
      <c r="L73" s="934"/>
      <c r="M73" s="934"/>
      <c r="N73" s="947" t="s">
        <v>1178</v>
      </c>
      <c r="O73" s="946">
        <f>SUM(O71:O72)</f>
        <v>0</v>
      </c>
      <c r="P73" s="945" t="s">
        <v>1102</v>
      </c>
      <c r="Q73" s="944"/>
      <c r="R73" s="933"/>
      <c r="S73" s="934"/>
      <c r="T73" s="933"/>
      <c r="U73" s="933"/>
      <c r="V73" s="933"/>
      <c r="W73" s="933"/>
      <c r="X73" s="933"/>
    </row>
    <row r="74" spans="1:24" ht="14.4" thickTop="1" thickBot="1">
      <c r="A74" s="933"/>
      <c r="B74" s="934"/>
      <c r="C74" s="933"/>
      <c r="D74" s="934"/>
      <c r="E74" s="934"/>
      <c r="F74" s="934"/>
      <c r="G74" s="934"/>
      <c r="H74" s="934"/>
      <c r="I74" s="934"/>
      <c r="J74" s="934"/>
      <c r="K74" s="934"/>
      <c r="L74" s="934"/>
      <c r="M74" s="934"/>
      <c r="N74" s="943" t="s">
        <v>1101</v>
      </c>
      <c r="O74" s="1255" t="e">
        <f>O73/$E$11</f>
        <v>#DIV/0!</v>
      </c>
      <c r="P74" s="942" t="s">
        <v>1100</v>
      </c>
      <c r="Q74" s="941"/>
      <c r="R74" s="940"/>
      <c r="S74" s="934"/>
      <c r="T74" s="933"/>
      <c r="U74" s="933"/>
      <c r="V74" s="933"/>
      <c r="W74" s="933"/>
      <c r="X74" s="933"/>
    </row>
    <row r="75" spans="1:24" ht="13.8" thickTop="1">
      <c r="A75" s="933"/>
      <c r="B75" s="934"/>
      <c r="C75" s="934" t="s">
        <v>1099</v>
      </c>
      <c r="D75" s="934"/>
      <c r="E75" s="934"/>
      <c r="F75" s="934"/>
      <c r="G75" s="934"/>
      <c r="H75" s="934"/>
      <c r="I75" s="934"/>
      <c r="J75" s="934"/>
      <c r="K75" s="934"/>
      <c r="L75" s="934"/>
      <c r="M75" s="934"/>
      <c r="N75" s="939"/>
      <c r="O75" s="938"/>
      <c r="P75" s="937"/>
      <c r="Q75" s="933"/>
      <c r="R75" s="934"/>
      <c r="S75" s="934"/>
      <c r="T75" s="933"/>
      <c r="U75" s="933"/>
      <c r="V75" s="933"/>
      <c r="W75" s="933"/>
      <c r="X75" s="933"/>
    </row>
    <row r="76" spans="1:24">
      <c r="A76" s="933"/>
      <c r="B76" s="934"/>
      <c r="C76" s="934" t="s">
        <v>1098</v>
      </c>
      <c r="D76" s="934"/>
      <c r="E76" s="934"/>
      <c r="F76" s="934"/>
      <c r="G76" s="934"/>
      <c r="H76" s="934"/>
      <c r="I76" s="934"/>
      <c r="J76" s="934"/>
      <c r="K76" s="934"/>
      <c r="L76" s="934"/>
      <c r="M76" s="934"/>
      <c r="N76" s="934"/>
      <c r="O76" s="935"/>
      <c r="P76" s="934"/>
      <c r="Q76" s="934"/>
      <c r="R76" s="934"/>
      <c r="S76" s="934"/>
      <c r="T76" s="933"/>
      <c r="U76" s="933"/>
      <c r="V76" s="933"/>
      <c r="W76" s="933"/>
      <c r="X76" s="933"/>
    </row>
    <row r="77" spans="1:24">
      <c r="A77" s="933"/>
      <c r="B77" s="934"/>
      <c r="C77" s="934" t="s">
        <v>1177</v>
      </c>
      <c r="D77" s="934"/>
      <c r="E77" s="934"/>
      <c r="F77" s="934"/>
      <c r="G77" s="934"/>
      <c r="H77" s="934"/>
      <c r="I77" s="934"/>
      <c r="J77" s="934"/>
      <c r="K77" s="934"/>
      <c r="L77" s="934"/>
      <c r="M77" s="934"/>
      <c r="N77" s="934"/>
      <c r="O77" s="935"/>
      <c r="P77" s="934"/>
      <c r="Q77" s="934"/>
      <c r="R77" s="934"/>
      <c r="S77" s="934"/>
      <c r="T77" s="933"/>
      <c r="U77" s="933"/>
      <c r="V77" s="933"/>
      <c r="W77" s="933"/>
      <c r="X77" s="933"/>
    </row>
    <row r="78" spans="1:24">
      <c r="A78" s="933"/>
      <c r="B78" s="934"/>
      <c r="C78" s="934" t="s">
        <v>1176</v>
      </c>
      <c r="D78" s="934"/>
      <c r="E78" s="934"/>
      <c r="F78" s="934"/>
      <c r="G78" s="934"/>
      <c r="H78" s="934"/>
      <c r="I78" s="934"/>
      <c r="J78" s="934"/>
      <c r="K78" s="934"/>
      <c r="L78" s="934"/>
      <c r="M78" s="934"/>
      <c r="N78" s="934"/>
      <c r="O78" s="935"/>
      <c r="P78" s="934"/>
      <c r="Q78" s="934"/>
      <c r="R78" s="934"/>
      <c r="S78" s="934"/>
      <c r="T78" s="933"/>
      <c r="U78" s="933"/>
      <c r="V78" s="933"/>
      <c r="W78" s="933"/>
      <c r="X78" s="933"/>
    </row>
    <row r="79" spans="1:24">
      <c r="A79" s="933"/>
      <c r="B79" s="934"/>
      <c r="C79" s="934" t="s">
        <v>1175</v>
      </c>
      <c r="D79" s="934"/>
      <c r="E79" s="934"/>
      <c r="F79" s="934"/>
      <c r="G79" s="934"/>
      <c r="H79" s="934"/>
      <c r="I79" s="934"/>
      <c r="J79" s="934"/>
      <c r="K79" s="934"/>
      <c r="L79" s="934"/>
      <c r="M79" s="934"/>
      <c r="N79" s="934"/>
      <c r="O79" s="935"/>
      <c r="P79" s="934"/>
      <c r="Q79" s="934"/>
      <c r="R79" s="934"/>
      <c r="S79" s="934"/>
      <c r="T79" s="933"/>
      <c r="U79" s="933"/>
      <c r="V79" s="933"/>
      <c r="W79" s="933"/>
      <c r="X79" s="933"/>
    </row>
    <row r="80" spans="1:24" ht="29.25" customHeight="1">
      <c r="A80" s="933"/>
      <c r="B80" s="934"/>
      <c r="C80" s="936" t="s">
        <v>1094</v>
      </c>
      <c r="D80" s="936"/>
      <c r="E80" s="934"/>
      <c r="F80" s="934"/>
      <c r="G80" s="934"/>
      <c r="H80" s="934"/>
      <c r="I80" s="934"/>
      <c r="J80" s="934"/>
      <c r="K80" s="934"/>
      <c r="L80" s="934"/>
      <c r="M80" s="934"/>
      <c r="N80" s="934"/>
      <c r="O80" s="935"/>
      <c r="P80" s="934"/>
      <c r="Q80" s="934"/>
      <c r="R80" s="934"/>
      <c r="S80" s="934"/>
      <c r="T80" s="933"/>
      <c r="U80" s="933"/>
      <c r="V80" s="933"/>
      <c r="W80" s="933"/>
      <c r="X80" s="933"/>
    </row>
    <row r="81" spans="3:3">
      <c r="C81" s="932"/>
    </row>
  </sheetData>
  <sheetProtection algorithmName="SHA-512" hashValue="vw9w8+eJzDBy7ZU1vi44SVSnsqRRM86DChcbgQ9tu7PraO4WK9Y5uSTEnTP9JsOWuPMULGkT8cWACsyQnz9+sw==" saltValue="zeEHexc+qzRH6mFCLZ55Dw==" spinCount="100000" sheet="1" objects="1" scenarios="1"/>
  <phoneticPr fontId="3"/>
  <pageMargins left="0.47244094488188981" right="0.27559055118110237" top="0.31" bottom="0.17" header="0.17" footer="0.14000000000000001"/>
  <pageSetup paperSize="9" scale="52" orientation="landscape" r:id="rId1"/>
  <headerFooter alignWithMargins="0"/>
  <rowBreaks count="1" manualBreakCount="1">
    <brk id="80"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D8B67-0329-4185-AC81-3F654864EFF2}">
  <dimension ref="A1"/>
  <sheetViews>
    <sheetView showGridLines="0" workbookViewId="0">
      <selection activeCell="R24" sqref="R24"/>
    </sheetView>
  </sheetViews>
  <sheetFormatPr defaultRowHeight="13.2"/>
  <sheetData/>
  <sheetProtection algorithmName="SHA-512" hashValue="aFjDki6bbMp5t2FaIx2KVqi8+BOrs2kppwB9evYhtRiouRBvt6iw3lx6cbx/WydMkwomx67ruG5GyKlE3bEQTQ==" saltValue="XRO1RNab5dph1wCjUUuYuA==" spinCount="100000" sheet="1" objects="1" scenarios="1"/>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fitToPage="1"/>
  </sheetPr>
  <dimension ref="A1:L91"/>
  <sheetViews>
    <sheetView tabSelected="1" zoomScaleNormal="100" zoomScaleSheetLayoutView="100" workbookViewId="0">
      <selection activeCell="D6" sqref="D6"/>
    </sheetView>
  </sheetViews>
  <sheetFormatPr defaultColWidth="0" defaultRowHeight="0" customHeight="1" zeroHeight="1"/>
  <cols>
    <col min="1" max="1" width="1.77734375" customWidth="1"/>
    <col min="2" max="2" width="21.33203125" customWidth="1"/>
    <col min="3" max="4" width="23.109375" customWidth="1"/>
    <col min="5" max="5" width="20" customWidth="1"/>
    <col min="6" max="6" width="2.21875" customWidth="1"/>
    <col min="7" max="7" width="1.6640625" hidden="1" customWidth="1"/>
    <col min="8" max="8" width="7.33203125" hidden="1" customWidth="1"/>
    <col min="9" max="9" width="8" style="58" hidden="1" customWidth="1"/>
    <col min="10" max="10" width="11.33203125" style="58" hidden="1" customWidth="1"/>
    <col min="11" max="11" width="3.6640625" hidden="1" customWidth="1"/>
    <col min="12" max="16384" width="9" hidden="1"/>
  </cols>
  <sheetData>
    <row r="1" spans="1:12" ht="14.25" customHeight="1">
      <c r="A1" s="2"/>
      <c r="B1" s="5"/>
      <c r="C1" s="2"/>
      <c r="D1" s="2"/>
      <c r="E1" s="2"/>
      <c r="F1" s="2"/>
      <c r="I1" s="307"/>
      <c r="J1" s="307"/>
      <c r="K1" s="307"/>
    </row>
    <row r="2" spans="1:12" ht="14.25" customHeight="1">
      <c r="A2" s="2"/>
      <c r="B2" s="225"/>
      <c r="C2" s="225"/>
      <c r="D2" s="225"/>
      <c r="E2" s="10"/>
      <c r="F2" s="2"/>
      <c r="K2" s="58"/>
    </row>
    <row r="3" spans="1:12" ht="29.25" customHeight="1">
      <c r="A3" s="2"/>
      <c r="B3" s="226"/>
      <c r="C3" s="226"/>
      <c r="D3" s="226"/>
      <c r="E3" s="227"/>
      <c r="F3" s="2"/>
      <c r="K3" s="58"/>
    </row>
    <row r="4" spans="1:12" ht="33" customHeight="1">
      <c r="A4" s="2"/>
      <c r="B4" s="228" t="s">
        <v>0</v>
      </c>
      <c r="C4" s="229"/>
      <c r="D4" s="229"/>
      <c r="E4" s="230"/>
      <c r="F4" s="2"/>
      <c r="I4" s="307"/>
      <c r="J4"/>
      <c r="K4" s="307"/>
    </row>
    <row r="5" spans="1:12" ht="14.25" customHeight="1">
      <c r="A5" s="2"/>
      <c r="B5" s="231" t="s">
        <v>1</v>
      </c>
      <c r="C5" s="232" t="s">
        <v>1983</v>
      </c>
      <c r="D5" s="232"/>
      <c r="E5" s="233"/>
      <c r="F5" s="2"/>
      <c r="I5" s="307"/>
      <c r="J5" s="307"/>
      <c r="K5" s="307"/>
    </row>
    <row r="6" spans="1:12" ht="14.25" customHeight="1">
      <c r="A6" s="2"/>
      <c r="B6" s="234" t="s">
        <v>2</v>
      </c>
      <c r="C6" s="232" t="s">
        <v>1985</v>
      </c>
      <c r="D6" s="232"/>
      <c r="E6" s="233"/>
      <c r="F6" s="2"/>
      <c r="I6" s="307"/>
      <c r="J6" s="307"/>
      <c r="K6" s="307"/>
    </row>
    <row r="7" spans="1:12" ht="9" customHeight="1" thickBot="1">
      <c r="A7" s="2"/>
      <c r="B7" s="10"/>
      <c r="C7" s="10"/>
      <c r="D7" s="10"/>
      <c r="E7" s="10"/>
      <c r="F7" s="2"/>
      <c r="I7" s="307"/>
      <c r="J7" s="307"/>
      <c r="K7" s="307"/>
    </row>
    <row r="8" spans="1:12" ht="17.25" customHeight="1">
      <c r="A8" s="2"/>
      <c r="B8" s="235" t="s">
        <v>3</v>
      </c>
      <c r="C8" s="236"/>
      <c r="D8" s="236"/>
      <c r="E8" s="237"/>
      <c r="F8" s="2"/>
      <c r="H8" s="308"/>
      <c r="I8" s="307"/>
      <c r="K8" s="307"/>
    </row>
    <row r="9" spans="1:12" ht="17.25" customHeight="1">
      <c r="A9" s="2"/>
      <c r="B9" s="238" t="s">
        <v>4</v>
      </c>
      <c r="C9" s="239"/>
      <c r="D9" s="239"/>
      <c r="E9" s="239"/>
      <c r="F9" s="10"/>
      <c r="I9" s="309"/>
      <c r="J9" s="141"/>
      <c r="K9" s="309"/>
    </row>
    <row r="10" spans="1:12" ht="17.25" customHeight="1">
      <c r="A10" s="2"/>
      <c r="B10" s="43" t="s">
        <v>5</v>
      </c>
      <c r="C10" s="1773" t="s">
        <v>6</v>
      </c>
      <c r="D10" s="1774"/>
      <c r="E10" s="44"/>
      <c r="F10" s="241"/>
      <c r="I10" s="307"/>
      <c r="K10" s="307"/>
    </row>
    <row r="11" spans="1:12" ht="17.25" customHeight="1">
      <c r="A11" s="2"/>
      <c r="B11" s="45" t="s">
        <v>7</v>
      </c>
      <c r="C11" s="1775" t="s">
        <v>8</v>
      </c>
      <c r="D11" s="1776"/>
      <c r="E11" s="44"/>
      <c r="F11" s="241"/>
      <c r="I11" s="309"/>
      <c r="J11" s="141"/>
      <c r="K11" s="309"/>
    </row>
    <row r="12" spans="1:12" ht="17.25" customHeight="1">
      <c r="A12" s="2"/>
      <c r="B12" s="45" t="s">
        <v>9</v>
      </c>
      <c r="C12" s="1777">
        <v>45292</v>
      </c>
      <c r="D12" s="1778"/>
      <c r="E12" s="240"/>
      <c r="F12" s="242"/>
      <c r="I12" s="307"/>
      <c r="K12" s="307"/>
    </row>
    <row r="13" spans="1:12" ht="17.25" customHeight="1">
      <c r="A13" s="2"/>
      <c r="B13" s="45" t="s">
        <v>10</v>
      </c>
      <c r="C13" s="1779" t="str">
        <f>C5</f>
        <v>CASBEE-UD_2024SDGs試行版v1.0</v>
      </c>
      <c r="D13" s="1780"/>
      <c r="E13" s="44"/>
      <c r="F13" s="242"/>
      <c r="I13" s="307"/>
      <c r="K13" s="307"/>
    </row>
    <row r="14" spans="1:12" ht="17.25" customHeight="1">
      <c r="A14" s="2"/>
      <c r="B14" s="45" t="s">
        <v>11</v>
      </c>
      <c r="C14" s="302" t="s">
        <v>12</v>
      </c>
      <c r="D14" s="302" t="s">
        <v>13</v>
      </c>
      <c r="E14" s="44"/>
      <c r="F14" s="243"/>
      <c r="I14" s="309"/>
      <c r="J14" s="141"/>
      <c r="K14" s="309"/>
    </row>
    <row r="15" spans="1:12" s="307" customFormat="1" ht="17.25" customHeight="1">
      <c r="A15" s="2"/>
      <c r="B15" s="45"/>
      <c r="C15" s="305" t="s">
        <v>14</v>
      </c>
      <c r="D15" s="303"/>
      <c r="E15" s="44"/>
      <c r="F15" s="244"/>
      <c r="G15"/>
      <c r="H15"/>
      <c r="J15" s="58"/>
      <c r="L15"/>
    </row>
    <row r="16" spans="1:12" ht="17.25" customHeight="1">
      <c r="A16" s="2"/>
      <c r="B16" s="111" t="s">
        <v>15</v>
      </c>
      <c r="C16" s="392">
        <v>80</v>
      </c>
      <c r="D16" s="393"/>
      <c r="E16" s="315" t="s">
        <v>16</v>
      </c>
      <c r="F16" s="244"/>
      <c r="I16" s="309"/>
      <c r="J16" s="141"/>
      <c r="K16" s="309"/>
    </row>
    <row r="17" spans="1:11" ht="17.25" customHeight="1">
      <c r="A17" s="2"/>
      <c r="B17" s="111" t="s">
        <v>17</v>
      </c>
      <c r="C17" s="392">
        <v>800</v>
      </c>
      <c r="D17" s="393"/>
      <c r="E17" s="315" t="s">
        <v>16</v>
      </c>
      <c r="F17" s="244"/>
      <c r="I17" s="307"/>
      <c r="K17" s="307"/>
    </row>
    <row r="18" spans="1:11" ht="17.25" customHeight="1">
      <c r="A18" s="2"/>
      <c r="B18" s="111"/>
      <c r="C18" s="302" t="s">
        <v>18</v>
      </c>
      <c r="D18" s="302" t="s">
        <v>19</v>
      </c>
      <c r="E18" s="44"/>
      <c r="F18" s="244"/>
      <c r="I18" s="307"/>
      <c r="K18" s="307"/>
    </row>
    <row r="19" spans="1:11" ht="17.25" customHeight="1">
      <c r="A19" s="2"/>
      <c r="B19" s="111"/>
      <c r="C19" s="305"/>
      <c r="D19" s="303"/>
      <c r="E19" s="44"/>
      <c r="F19" s="244"/>
      <c r="I19" s="307"/>
      <c r="K19" s="307"/>
    </row>
    <row r="20" spans="1:11" ht="17.25" customHeight="1">
      <c r="A20" s="2"/>
      <c r="B20" s="111" t="s">
        <v>15</v>
      </c>
      <c r="C20" s="392"/>
      <c r="D20" s="393"/>
      <c r="E20" s="315" t="s">
        <v>16</v>
      </c>
      <c r="F20" s="244"/>
      <c r="I20" s="307"/>
      <c r="K20" s="307"/>
    </row>
    <row r="21" spans="1:11" ht="17.25" customHeight="1">
      <c r="A21" s="2"/>
      <c r="B21" s="111" t="s">
        <v>17</v>
      </c>
      <c r="C21" s="392"/>
      <c r="D21" s="393"/>
      <c r="E21" s="315" t="s">
        <v>16</v>
      </c>
      <c r="F21" s="244"/>
      <c r="I21" s="307"/>
      <c r="K21" s="307"/>
    </row>
    <row r="22" spans="1:11" ht="17.25" customHeight="1">
      <c r="A22" s="2"/>
      <c r="B22" s="111"/>
      <c r="C22" s="302" t="s">
        <v>20</v>
      </c>
      <c r="D22" s="302" t="s">
        <v>21</v>
      </c>
      <c r="E22" s="315"/>
      <c r="F22" s="244"/>
      <c r="I22" s="307"/>
      <c r="K22" s="307"/>
    </row>
    <row r="23" spans="1:11" ht="17.25" customHeight="1">
      <c r="A23" s="2"/>
      <c r="B23" s="45" t="s">
        <v>22</v>
      </c>
      <c r="C23" s="392">
        <v>0</v>
      </c>
      <c r="D23" s="435">
        <f>100-C23</f>
        <v>100</v>
      </c>
      <c r="E23" s="44" t="s">
        <v>16</v>
      </c>
      <c r="F23" s="244"/>
      <c r="I23" s="307"/>
      <c r="K23" s="307"/>
    </row>
    <row r="24" spans="1:11" s="310" customFormat="1" ht="17.25" customHeight="1">
      <c r="A24" s="4"/>
      <c r="B24" s="45" t="s">
        <v>23</v>
      </c>
      <c r="C24" s="1781">
        <v>70</v>
      </c>
      <c r="D24" s="1782"/>
      <c r="E24" s="44" t="s">
        <v>16</v>
      </c>
      <c r="F24" s="47"/>
      <c r="G24"/>
      <c r="I24" s="312"/>
      <c r="J24" s="311"/>
      <c r="K24" s="312"/>
    </row>
    <row r="25" spans="1:11" ht="17.25" customHeight="1">
      <c r="A25" s="4"/>
      <c r="B25" s="45" t="s">
        <v>24</v>
      </c>
      <c r="C25" s="1781">
        <v>445</v>
      </c>
      <c r="D25" s="1782"/>
      <c r="E25" s="44" t="s">
        <v>16</v>
      </c>
      <c r="F25" s="47"/>
      <c r="I25" s="312"/>
      <c r="J25" s="311"/>
      <c r="K25" s="312"/>
    </row>
    <row r="26" spans="1:11" ht="17.25" customHeight="1">
      <c r="A26" s="4"/>
      <c r="B26" s="45" t="s">
        <v>25</v>
      </c>
      <c r="C26" s="1775" t="s">
        <v>26</v>
      </c>
      <c r="D26" s="1776"/>
      <c r="E26" s="44"/>
      <c r="F26" s="47"/>
      <c r="I26" s="312"/>
      <c r="J26"/>
      <c r="K26" s="312"/>
    </row>
    <row r="27" spans="1:11" ht="17.25" customHeight="1">
      <c r="A27" s="4"/>
      <c r="B27" s="45"/>
      <c r="C27" s="1775" t="s">
        <v>27</v>
      </c>
      <c r="D27" s="1776"/>
      <c r="E27" s="44"/>
      <c r="F27" s="47"/>
      <c r="I27" s="312"/>
      <c r="J27"/>
      <c r="K27" s="312"/>
    </row>
    <row r="28" spans="1:11" ht="17.25" customHeight="1">
      <c r="A28" s="3"/>
      <c r="B28" s="45" t="s">
        <v>28</v>
      </c>
      <c r="C28" s="1781">
        <v>100</v>
      </c>
      <c r="D28" s="1782"/>
      <c r="E28" s="44" t="s">
        <v>16</v>
      </c>
      <c r="F28" s="10"/>
      <c r="I28" s="313"/>
      <c r="J28"/>
      <c r="K28" s="313"/>
    </row>
    <row r="29" spans="1:11" ht="17.25" customHeight="1">
      <c r="A29" s="3"/>
      <c r="B29" s="45" t="s">
        <v>29</v>
      </c>
      <c r="C29" s="1781">
        <v>760</v>
      </c>
      <c r="D29" s="1782"/>
      <c r="E29" s="44" t="s">
        <v>16</v>
      </c>
      <c r="F29" s="10"/>
      <c r="I29" s="313"/>
      <c r="J29" s="307"/>
      <c r="K29" s="313"/>
    </row>
    <row r="30" spans="1:11" ht="17.25" customHeight="1">
      <c r="A30" s="3"/>
      <c r="B30" s="45" t="s">
        <v>30</v>
      </c>
      <c r="C30" s="1781">
        <v>5</v>
      </c>
      <c r="D30" s="1782"/>
      <c r="E30" s="44" t="s">
        <v>31</v>
      </c>
      <c r="F30" s="10"/>
      <c r="I30" s="314"/>
      <c r="J30" s="307"/>
      <c r="K30" s="314"/>
    </row>
    <row r="31" spans="1:11" ht="17.25" customHeight="1">
      <c r="A31" s="3"/>
      <c r="B31" s="45" t="s">
        <v>32</v>
      </c>
      <c r="C31" s="1781">
        <v>2.5</v>
      </c>
      <c r="D31" s="1782"/>
      <c r="E31" s="44" t="s">
        <v>31</v>
      </c>
      <c r="F31" s="245"/>
      <c r="I31" s="314"/>
      <c r="J31" s="307"/>
      <c r="K31" s="314"/>
    </row>
    <row r="32" spans="1:11" s="307" customFormat="1" ht="17.25" customHeight="1">
      <c r="A32" s="3"/>
      <c r="B32" s="45" t="s">
        <v>33</v>
      </c>
      <c r="C32" s="1789">
        <v>16000</v>
      </c>
      <c r="D32" s="1790"/>
      <c r="E32" s="44" t="s">
        <v>34</v>
      </c>
      <c r="F32" s="245"/>
      <c r="G32"/>
      <c r="H32"/>
      <c r="I32" s="314"/>
      <c r="K32" s="314"/>
    </row>
    <row r="33" spans="1:11" s="307" customFormat="1" ht="17.25" customHeight="1">
      <c r="A33" s="3"/>
      <c r="B33" s="45" t="s">
        <v>35</v>
      </c>
      <c r="C33" s="1781">
        <f>C32/(C31*10000)*100</f>
        <v>64</v>
      </c>
      <c r="D33" s="1782"/>
      <c r="E33" s="44" t="s">
        <v>16</v>
      </c>
      <c r="F33" s="245"/>
      <c r="G33"/>
      <c r="H33"/>
      <c r="I33" s="314"/>
      <c r="J33" s="311"/>
      <c r="K33" s="314"/>
    </row>
    <row r="34" spans="1:11" s="307" customFormat="1" ht="17.25" customHeight="1">
      <c r="A34" s="3"/>
      <c r="B34" s="45" t="s">
        <v>36</v>
      </c>
      <c r="C34" s="1791">
        <v>200000</v>
      </c>
      <c r="D34" s="1792"/>
      <c r="E34" s="44" t="s">
        <v>34</v>
      </c>
      <c r="F34" s="245"/>
      <c r="G34"/>
      <c r="H34"/>
    </row>
    <row r="35" spans="1:11" s="307" customFormat="1" ht="17.25" customHeight="1">
      <c r="A35" s="3"/>
      <c r="B35" s="45" t="s">
        <v>37</v>
      </c>
      <c r="C35" s="1793">
        <f>C34/(C31*10000)*100</f>
        <v>800</v>
      </c>
      <c r="D35" s="1794"/>
      <c r="E35" s="44" t="s">
        <v>16</v>
      </c>
      <c r="F35" s="3"/>
      <c r="G35"/>
      <c r="H35"/>
    </row>
    <row r="36" spans="1:11" ht="13.8" thickBot="1">
      <c r="A36" s="2"/>
      <c r="B36" s="254" t="s">
        <v>38</v>
      </c>
      <c r="C36" s="250"/>
      <c r="D36" s="251"/>
      <c r="E36" s="250"/>
      <c r="F36" s="2"/>
    </row>
    <row r="37" spans="1:11" ht="13.2">
      <c r="A37" s="2"/>
      <c r="B37" s="45" t="s">
        <v>39</v>
      </c>
      <c r="C37" s="1783" t="s">
        <v>40</v>
      </c>
      <c r="D37" s="1784"/>
      <c r="E37" s="1785"/>
      <c r="F37" s="2"/>
    </row>
    <row r="38" spans="1:11" ht="13.2">
      <c r="A38" s="2"/>
      <c r="B38" s="45" t="s">
        <v>41</v>
      </c>
      <c r="C38" s="1786" t="s">
        <v>40</v>
      </c>
      <c r="D38" s="1787"/>
      <c r="E38" s="1788"/>
      <c r="F38" s="2"/>
    </row>
    <row r="39" spans="1:11" ht="17.25" customHeight="1">
      <c r="A39" s="3"/>
      <c r="B39" s="254" t="s">
        <v>42</v>
      </c>
      <c r="C39" s="317"/>
      <c r="D39" s="252"/>
      <c r="E39" s="253"/>
      <c r="F39" s="10"/>
      <c r="I39" s="313"/>
      <c r="J39" s="307"/>
      <c r="K39" s="313"/>
    </row>
    <row r="40" spans="1:11" ht="17.25" customHeight="1">
      <c r="A40" s="3"/>
      <c r="B40" s="48" t="s">
        <v>43</v>
      </c>
      <c r="C40" s="304" t="s">
        <v>768</v>
      </c>
      <c r="D40" s="336"/>
      <c r="E40" s="337"/>
      <c r="F40" s="10"/>
      <c r="I40" s="314"/>
      <c r="J40" s="307"/>
      <c r="K40" s="314"/>
    </row>
    <row r="41" spans="1:11" ht="17.25" customHeight="1">
      <c r="A41" s="3"/>
      <c r="B41" s="48" t="s">
        <v>44</v>
      </c>
      <c r="C41" s="330" t="s">
        <v>45</v>
      </c>
      <c r="D41" s="334" t="s">
        <v>46</v>
      </c>
      <c r="E41" s="335" t="s">
        <v>47</v>
      </c>
      <c r="F41" s="10"/>
      <c r="I41" s="314"/>
      <c r="J41" s="307"/>
      <c r="K41" s="314"/>
    </row>
    <row r="42" spans="1:11" ht="17.25" customHeight="1">
      <c r="A42" s="3"/>
      <c r="B42" s="48"/>
      <c r="C42" s="305" t="s">
        <v>48</v>
      </c>
      <c r="D42" s="305" t="s">
        <v>48</v>
      </c>
      <c r="E42" s="329" t="s">
        <v>48</v>
      </c>
      <c r="F42" s="245"/>
      <c r="I42" s="314"/>
      <c r="J42" s="307"/>
      <c r="K42" s="314"/>
    </row>
    <row r="43" spans="1:11" ht="17.25" customHeight="1">
      <c r="A43" s="3"/>
      <c r="B43" s="328"/>
      <c r="C43" s="330" t="s">
        <v>49</v>
      </c>
      <c r="D43" s="330" t="s">
        <v>50</v>
      </c>
      <c r="E43" s="331" t="s">
        <v>51</v>
      </c>
      <c r="F43" s="245"/>
      <c r="I43" s="314"/>
      <c r="J43" s="307"/>
      <c r="K43" s="314"/>
    </row>
    <row r="44" spans="1:11" ht="17.25" customHeight="1">
      <c r="A44" s="3"/>
      <c r="B44" s="328"/>
      <c r="C44" s="303" t="s">
        <v>48</v>
      </c>
      <c r="D44" s="303" t="s">
        <v>48</v>
      </c>
      <c r="E44" s="332" t="s">
        <v>48</v>
      </c>
      <c r="F44" s="245"/>
      <c r="I44" s="314"/>
      <c r="J44" s="307"/>
      <c r="K44" s="314"/>
    </row>
    <row r="45" spans="1:11" s="307" customFormat="1" ht="17.25" customHeight="1">
      <c r="A45" s="3"/>
      <c r="B45" s="48" t="s">
        <v>52</v>
      </c>
      <c r="C45" s="304" t="s">
        <v>768</v>
      </c>
      <c r="D45" s="333"/>
      <c r="E45" s="49"/>
      <c r="F45" s="245"/>
      <c r="G45"/>
      <c r="H45"/>
      <c r="I45" s="314"/>
      <c r="K45" s="314"/>
    </row>
    <row r="46" spans="1:11" s="307" customFormat="1" ht="17.25" customHeight="1" thickBot="1">
      <c r="A46" s="3"/>
      <c r="B46" s="249" t="s">
        <v>53</v>
      </c>
      <c r="C46" s="316" t="s">
        <v>54</v>
      </c>
      <c r="D46" s="325"/>
      <c r="E46" s="246"/>
      <c r="F46" s="245"/>
      <c r="G46"/>
      <c r="H46"/>
      <c r="I46" s="314"/>
      <c r="J46" s="311"/>
      <c r="K46" s="314"/>
    </row>
    <row r="47" spans="1:11" s="307" customFormat="1" ht="9.9" customHeight="1" thickBot="1">
      <c r="A47" s="3"/>
      <c r="B47" s="2"/>
      <c r="C47" s="2"/>
      <c r="D47" s="2"/>
      <c r="E47" s="2"/>
      <c r="F47" s="3"/>
      <c r="G47"/>
      <c r="H47"/>
    </row>
    <row r="48" spans="1:11" ht="13.8" thickBot="1">
      <c r="A48" s="2"/>
      <c r="B48" s="235" t="s">
        <v>55</v>
      </c>
      <c r="C48" s="69"/>
      <c r="D48" s="69"/>
      <c r="E48" s="70"/>
      <c r="F48" s="2"/>
    </row>
    <row r="49" spans="1:6" ht="13.2">
      <c r="A49" s="2"/>
      <c r="B49" s="247" t="s">
        <v>56</v>
      </c>
      <c r="C49" s="737" t="s">
        <v>57</v>
      </c>
      <c r="D49" s="738"/>
      <c r="E49" s="739"/>
      <c r="F49" s="2"/>
    </row>
    <row r="50" spans="1:6" ht="13.8" thickBot="1">
      <c r="A50" s="2"/>
      <c r="B50" s="248" t="s">
        <v>58</v>
      </c>
      <c r="C50" s="394" t="s">
        <v>59</v>
      </c>
      <c r="D50" s="46"/>
      <c r="E50" s="395"/>
      <c r="F50" s="2"/>
    </row>
    <row r="51" spans="1:6" ht="13.8" thickBot="1">
      <c r="A51" s="2"/>
      <c r="B51" s="248" t="s">
        <v>60</v>
      </c>
      <c r="C51" s="394" t="s">
        <v>61</v>
      </c>
      <c r="D51" s="46"/>
      <c r="E51" s="395"/>
      <c r="F51" s="2"/>
    </row>
    <row r="52" spans="1:6" ht="13.8" thickBot="1">
      <c r="A52" s="2"/>
      <c r="B52" s="248" t="s">
        <v>62</v>
      </c>
      <c r="C52" s="394" t="s">
        <v>63</v>
      </c>
      <c r="D52" s="394" t="s">
        <v>64</v>
      </c>
      <c r="E52" s="396" t="s">
        <v>65</v>
      </c>
      <c r="F52" s="2"/>
    </row>
    <row r="53" spans="1:6" ht="13.8" thickBot="1">
      <c r="A53" s="2"/>
      <c r="B53" s="248" t="s">
        <v>66</v>
      </c>
      <c r="C53" s="761" t="s">
        <v>67</v>
      </c>
      <c r="D53" s="761" t="s">
        <v>68</v>
      </c>
      <c r="E53" s="762" t="s">
        <v>69</v>
      </c>
      <c r="F53" s="2"/>
    </row>
    <row r="54" spans="1:6" ht="13.2">
      <c r="A54" s="2"/>
      <c r="B54" s="2"/>
      <c r="C54" s="2"/>
      <c r="D54" s="2"/>
      <c r="E54" s="2"/>
      <c r="F54" s="2"/>
    </row>
    <row r="55" spans="1:6" ht="13.2" hidden="1"/>
    <row r="56" spans="1:6" ht="13.2" hidden="1"/>
    <row r="57" spans="1:6" ht="13.2" hidden="1"/>
    <row r="58" spans="1:6" ht="13.2" hidden="1"/>
    <row r="59" spans="1:6" ht="13.2" hidden="1"/>
    <row r="60" spans="1:6" ht="13.2" hidden="1"/>
    <row r="61" spans="1:6" ht="13.2" hidden="1"/>
    <row r="62" spans="1:6" ht="13.2" hidden="1"/>
    <row r="63" spans="1:6" ht="13.2" hidden="1"/>
    <row r="64" spans="1:6" ht="13.2" hidden="1"/>
    <row r="65" ht="13.2" hidden="1"/>
    <row r="66" ht="13.2" hidden="1"/>
    <row r="67" ht="13.2" hidden="1"/>
    <row r="68" ht="13.2" hidden="1"/>
    <row r="69" ht="13.2" hidden="1"/>
    <row r="70" ht="13.2" hidden="1"/>
    <row r="71" ht="13.2" hidden="1"/>
    <row r="72" ht="13.2" hidden="1"/>
    <row r="73" ht="13.2" hidden="1"/>
    <row r="74" ht="13.2" hidden="1"/>
    <row r="75" ht="13.2" hidden="1"/>
    <row r="76" ht="13.2" hidden="1"/>
    <row r="77" ht="13.2" hidden="1"/>
    <row r="78" ht="13.2" hidden="1"/>
    <row r="79" ht="13.2" hidden="1"/>
    <row r="80" ht="13.2" hidden="1"/>
    <row r="81" ht="13.2" hidden="1"/>
    <row r="82" ht="13.2" hidden="1"/>
    <row r="83" ht="13.2" hidden="1"/>
    <row r="84" ht="13.2" hidden="1"/>
    <row r="85" ht="13.2" hidden="1"/>
    <row r="86" ht="13.2" hidden="1"/>
    <row r="87" ht="13.2" hidden="1"/>
    <row r="88" ht="13.2" hidden="1"/>
    <row r="89" ht="13.2" hidden="1"/>
    <row r="90" ht="15" hidden="1" customHeight="1"/>
    <row r="91" ht="13.2" hidden="1"/>
  </sheetData>
  <sheetProtection algorithmName="SHA-512" hashValue="Efo8lPUY0hf0Hy0f61yJzKUTe2pEBNkc8nxSlam6mkYSs/lWNmH1nZ6zmLrUPHGgE/+GFbBzV+dBU7xt+i3cDg==" saltValue="JlLr1W5QIuO9hlPrPJEk9A==" spinCount="100000" sheet="1" objects="1" formatCells="0"/>
  <mergeCells count="18">
    <mergeCell ref="C37:E37"/>
    <mergeCell ref="C38:E38"/>
    <mergeCell ref="C32:D32"/>
    <mergeCell ref="C33:D33"/>
    <mergeCell ref="C34:D34"/>
    <mergeCell ref="C35:D35"/>
    <mergeCell ref="C29:D29"/>
    <mergeCell ref="C30:D30"/>
    <mergeCell ref="C31:D31"/>
    <mergeCell ref="C24:D24"/>
    <mergeCell ref="C25:D25"/>
    <mergeCell ref="C27:D27"/>
    <mergeCell ref="C26:D26"/>
    <mergeCell ref="C10:D10"/>
    <mergeCell ref="C11:D11"/>
    <mergeCell ref="C12:D12"/>
    <mergeCell ref="C13:D13"/>
    <mergeCell ref="C28:D28"/>
  </mergeCells>
  <phoneticPr fontId="3"/>
  <conditionalFormatting sqref="E12 C12:C13 C15:D17 C19:D21 D23 C23:C25 C28:C35 C37:C38 C40">
    <cfRule type="cellIs" dxfId="160" priority="1" stopIfTrue="1" operator="equal">
      <formula>""</formula>
    </cfRule>
  </conditionalFormatting>
  <dataValidations count="1">
    <dataValidation type="list" allowBlank="1" showInputMessage="1" showErrorMessage="1" sqref="E12" xr:uid="{00000000-0002-0000-0000-000000000000}">
      <formula1>"予定,竣工"</formula1>
    </dataValidation>
  </dataValidations>
  <hyperlinks>
    <hyperlink ref="C49" location="結果!A1" display="●表示" xr:uid="{00000000-0004-0000-0000-000000000000}"/>
    <hyperlink ref="C50" location="スコア!A1" display="●スコア" xr:uid="{00000000-0004-0000-0000-000001000000}"/>
    <hyperlink ref="C51" location="配慮!A1" display="●配慮" xr:uid="{00000000-0004-0000-0000-000002000000}"/>
    <hyperlink ref="D52" location="採点Q2!A1" display="●Ｑ２" xr:uid="{00000000-0004-0000-0000-000004000000}"/>
    <hyperlink ref="E52" location="採点Q3!A1" display="●Ｑ３" xr:uid="{00000000-0004-0000-0000-000005000000}"/>
    <hyperlink ref="C52" location="採点Q1!A1" display="●Ｑ１" xr:uid="{00000000-0004-0000-0000-000006000000}"/>
    <hyperlink ref="D53:E53" location="採点LR1!A1" display="●Ｌ1" xr:uid="{D467D929-B1CA-4FCF-85B9-57BA824BC437}"/>
    <hyperlink ref="C53" location="採点LR1!A1" display="●ＬＲ１" xr:uid="{00000000-0004-0000-0000-000003000000}"/>
    <hyperlink ref="D53" location="採点LR2!A1" display="●ＬＲ２" xr:uid="{86B53D37-5E24-4FDA-BE54-EAE13FBA0E3E}"/>
    <hyperlink ref="E53" location="採点LR3!A1" display="●ＬＲ３" xr:uid="{DD58555A-653C-4DF5-B109-E225A76D324D}"/>
  </hyperlinks>
  <printOptions horizontalCentered="1"/>
  <pageMargins left="1.1811023622047245" right="0.98425196850393704" top="0.78740157480314965" bottom="0.78740157480314965" header="0.51181102362204722" footer="0.51181102362204722"/>
  <pageSetup paperSize="9" scale="86" orientation="portrait" horizontalDpi="4294967293" verticalDpi="4294967293" r:id="rId1"/>
  <headerFooter alignWithMargins="0"/>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3CEA-C7E2-4166-8CBC-92AD1E7A2C04}">
  <sheetPr codeName="Sheet11">
    <pageSetUpPr fitToPage="1"/>
  </sheetPr>
  <dimension ref="A1:AZ214"/>
  <sheetViews>
    <sheetView showGridLines="0" zoomScaleNormal="100" workbookViewId="0">
      <selection activeCell="F14" sqref="F14"/>
    </sheetView>
  </sheetViews>
  <sheetFormatPr defaultColWidth="9" defaultRowHeight="13.95" customHeight="1"/>
  <cols>
    <col min="1" max="1" width="0.77734375" style="63" customWidth="1"/>
    <col min="2" max="2" width="2.109375" style="86" customWidth="1"/>
    <col min="3" max="3" width="15.88671875" style="86" customWidth="1"/>
    <col min="4" max="4" width="5.33203125" style="87" customWidth="1"/>
    <col min="5" max="5" width="9.77734375" style="84" customWidth="1"/>
    <col min="6" max="6" width="6.21875" style="66" customWidth="1"/>
    <col min="7" max="7" width="7" style="66" customWidth="1"/>
    <col min="8" max="9" width="11" style="66" customWidth="1"/>
    <col min="10" max="11" width="11" style="82" customWidth="1"/>
    <col min="12" max="12" width="11.88671875" style="66" customWidth="1"/>
    <col min="13" max="13" width="11.77734375" style="64" customWidth="1"/>
    <col min="14" max="14" width="8.6640625" style="64" customWidth="1"/>
    <col min="15" max="15" width="11.44140625" style="64" customWidth="1"/>
    <col min="16" max="16" width="0.77734375" style="63" customWidth="1"/>
    <col min="17" max="17" width="4.33203125" style="63" customWidth="1"/>
    <col min="18" max="18" width="10.44140625" style="60" hidden="1" customWidth="1"/>
    <col min="19" max="19" width="10.44140625" style="644" hidden="1" customWidth="1"/>
    <col min="20" max="24" width="10.44140625" style="60" hidden="1" customWidth="1"/>
    <col min="25" max="25" width="20.6640625" style="60" hidden="1" customWidth="1"/>
    <col min="26" max="26" width="19.6640625" style="60" hidden="1" customWidth="1"/>
    <col min="27" max="29" width="5" style="60" hidden="1" customWidth="1"/>
    <col min="30" max="30" width="8.44140625" style="60" hidden="1" customWidth="1"/>
    <col min="31" max="31" width="5.44140625" style="60" hidden="1" customWidth="1"/>
    <col min="32" max="32" width="22.88671875" style="60" hidden="1" customWidth="1"/>
    <col min="33" max="33" width="14.88671875" style="60" hidden="1" customWidth="1"/>
    <col min="34" max="34" width="5.6640625" style="60" hidden="1" customWidth="1"/>
    <col min="35" max="35" width="6.109375" style="60" hidden="1" customWidth="1"/>
    <col min="36" max="37" width="5.6640625" style="60" hidden="1" customWidth="1"/>
    <col min="38" max="38" width="8.77734375" style="60" hidden="1" customWidth="1"/>
    <col min="39" max="39" width="14.77734375" style="60" hidden="1" customWidth="1"/>
    <col min="40" max="44" width="8.77734375" style="60" hidden="1" customWidth="1"/>
    <col min="45" max="45" width="19.77734375" style="60" hidden="1" customWidth="1"/>
    <col min="46" max="47" width="16.77734375" style="60" hidden="1" customWidth="1"/>
    <col min="48" max="48" width="14.77734375" style="60" hidden="1" customWidth="1"/>
    <col min="49" max="50" width="9" style="60" customWidth="1"/>
    <col min="51" max="53" width="14.77734375" style="60" customWidth="1"/>
    <col min="54" max="57" width="9" style="60" customWidth="1"/>
    <col min="58" max="16384" width="9" style="60"/>
  </cols>
  <sheetData>
    <row r="1" spans="2:43" customFormat="1" ht="13.95" customHeight="1" thickBot="1"/>
    <row r="2" spans="2:43" ht="13.95" customHeight="1" thickTop="1">
      <c r="B2"/>
      <c r="C2"/>
      <c r="D2"/>
      <c r="E2"/>
      <c r="F2"/>
      <c r="G2"/>
      <c r="H2"/>
      <c r="I2"/>
      <c r="J2"/>
      <c r="K2"/>
      <c r="L2"/>
      <c r="M2"/>
      <c r="N2"/>
      <c r="O2"/>
      <c r="Q2" s="1731" t="s">
        <v>70</v>
      </c>
      <c r="S2" s="60"/>
    </row>
    <row r="3" spans="2:43" ht="13.95" customHeight="1">
      <c r="B3"/>
      <c r="C3"/>
      <c r="D3"/>
      <c r="E3"/>
      <c r="F3"/>
      <c r="G3"/>
      <c r="H3"/>
      <c r="I3"/>
      <c r="J3"/>
      <c r="K3"/>
      <c r="L3"/>
      <c r="M3"/>
      <c r="N3"/>
      <c r="O3"/>
      <c r="Q3" s="1732"/>
      <c r="S3" s="60"/>
    </row>
    <row r="4" spans="2:43" ht="13.95" customHeight="1">
      <c r="B4"/>
      <c r="C4"/>
      <c r="D4"/>
      <c r="E4"/>
      <c r="F4"/>
      <c r="G4"/>
      <c r="H4"/>
      <c r="I4"/>
      <c r="J4"/>
      <c r="K4"/>
      <c r="L4"/>
      <c r="M4"/>
      <c r="N4"/>
      <c r="O4"/>
      <c r="Q4" s="1732"/>
      <c r="S4" s="60"/>
    </row>
    <row r="5" spans="2:43" ht="13.95" customHeight="1" thickBot="1">
      <c r="B5" s="550"/>
      <c r="C5" s="551"/>
      <c r="D5" s="548"/>
      <c r="E5" s="549"/>
      <c r="F5" s="170"/>
      <c r="G5" s="170"/>
      <c r="H5" s="170"/>
      <c r="I5" s="170"/>
      <c r="J5" s="322" t="s">
        <v>1041</v>
      </c>
      <c r="K5" s="1717" t="str">
        <f>メイン!C6</f>
        <v>CASBEE-街区 2024年SDGs対応試行版</v>
      </c>
      <c r="L5" s="56"/>
      <c r="M5" s="322"/>
      <c r="N5" s="320"/>
      <c r="O5" s="1716" t="str">
        <f>メイン!C5</f>
        <v>CASBEE-UD_2024SDGs試行版v1.0</v>
      </c>
      <c r="Q5" s="1733"/>
      <c r="R5" s="553" t="s">
        <v>74</v>
      </c>
      <c r="S5" s="60"/>
      <c r="U5" s="553" t="s">
        <v>75</v>
      </c>
    </row>
    <row r="6" spans="2:43" ht="5.4" customHeight="1" thickTop="1" thickBot="1">
      <c r="B6" s="554"/>
      <c r="J6" s="555"/>
      <c r="K6" s="555"/>
      <c r="L6" s="556"/>
      <c r="M6" s="84"/>
      <c r="N6" s="84"/>
      <c r="O6" s="84"/>
      <c r="S6" s="60"/>
    </row>
    <row r="7" spans="2:43" ht="15" customHeight="1" thickBot="1">
      <c r="B7" s="161" t="s">
        <v>1042</v>
      </c>
      <c r="C7" s="112"/>
      <c r="D7" s="113"/>
      <c r="E7" s="112"/>
      <c r="F7" s="112"/>
      <c r="G7" s="112"/>
      <c r="H7" s="112"/>
      <c r="I7" s="112"/>
      <c r="J7" s="112"/>
      <c r="K7" s="112"/>
      <c r="L7" s="221" t="s">
        <v>73</v>
      </c>
      <c r="M7" s="61"/>
      <c r="N7" s="61"/>
      <c r="O7" s="62"/>
      <c r="R7" s="557" t="s">
        <v>78</v>
      </c>
      <c r="S7" s="720">
        <f>スコア!V7</f>
        <v>3.0476190476190474</v>
      </c>
      <c r="U7" s="340"/>
      <c r="V7" s="340" t="s">
        <v>79</v>
      </c>
      <c r="W7" s="340" t="s">
        <v>173</v>
      </c>
      <c r="X7" s="340">
        <v>4</v>
      </c>
      <c r="Y7" s="340">
        <v>2</v>
      </c>
      <c r="Z7" s="340" t="s">
        <v>144</v>
      </c>
      <c r="AA7" s="557" t="s">
        <v>174</v>
      </c>
    </row>
    <row r="8" spans="2:43" ht="15" customHeight="1">
      <c r="B8" s="162" t="s">
        <v>1043</v>
      </c>
      <c r="C8" s="203"/>
      <c r="D8" s="428" t="str">
        <f>IF(メイン!C10="","",メイン!C10)</f>
        <v>Aプロジェクト</v>
      </c>
      <c r="E8" s="163"/>
      <c r="F8" s="163"/>
      <c r="G8" s="202"/>
      <c r="H8" s="256" t="s">
        <v>77</v>
      </c>
      <c r="I8" s="819"/>
      <c r="J8" s="776" t="str">
        <f>IF(メイン!C26="","",メイン!C26)</f>
        <v>第一種市街地再開発事業</v>
      </c>
      <c r="K8" s="777"/>
      <c r="L8" s="291"/>
      <c r="M8" s="291"/>
      <c r="N8" s="291"/>
      <c r="O8" s="292"/>
      <c r="R8" s="557" t="s">
        <v>175</v>
      </c>
      <c r="S8" s="720">
        <f>スコア!V99</f>
        <v>2.9012345679012341</v>
      </c>
      <c r="U8" s="340" t="s">
        <v>84</v>
      </c>
      <c r="V8" s="340" t="str">
        <f>スコア!B41</f>
        <v>Q-2 社会</v>
      </c>
      <c r="W8" s="340">
        <v>5</v>
      </c>
      <c r="X8" s="340">
        <v>4</v>
      </c>
      <c r="Y8" s="340">
        <v>2</v>
      </c>
      <c r="Z8" s="340">
        <f>V46</f>
        <v>3</v>
      </c>
      <c r="AA8" s="557">
        <v>3</v>
      </c>
    </row>
    <row r="9" spans="2:43" ht="15" customHeight="1">
      <c r="B9" s="21" t="s">
        <v>81</v>
      </c>
      <c r="C9" s="204"/>
      <c r="D9" s="429" t="str">
        <f>IF(メイン!C11="","",メイン!C11)</f>
        <v>東京都千代田区</v>
      </c>
      <c r="E9" s="20"/>
      <c r="F9" s="22"/>
      <c r="G9" s="125"/>
      <c r="H9" s="68" t="s">
        <v>82</v>
      </c>
      <c r="I9" s="820"/>
      <c r="J9" s="821" t="str">
        <f>ROUND(メイン!C28,0)&amp;"%  ／ "&amp;ROUND(メイン!C29,0)&amp;"%"</f>
        <v>100%  ／ 760%</v>
      </c>
      <c r="K9" s="822"/>
      <c r="L9" s="283"/>
      <c r="M9" s="283"/>
      <c r="N9" s="283"/>
      <c r="O9" s="284"/>
      <c r="R9" s="455" t="s">
        <v>89</v>
      </c>
      <c r="S9" s="455">
        <f>25*(S7-1)</f>
        <v>51.19047619047619</v>
      </c>
      <c r="U9" s="340" t="s">
        <v>90</v>
      </c>
      <c r="V9" s="340" t="str">
        <f>スコア!B74</f>
        <v>Q-3 経済</v>
      </c>
      <c r="W9" s="340">
        <v>5</v>
      </c>
      <c r="X9" s="340">
        <v>4</v>
      </c>
      <c r="Y9" s="340">
        <v>2</v>
      </c>
      <c r="Z9" s="340">
        <f>Y46</f>
        <v>3.1</v>
      </c>
      <c r="AA9" s="557">
        <v>3</v>
      </c>
    </row>
    <row r="10" spans="2:43" ht="15" customHeight="1">
      <c r="B10" s="21" t="s">
        <v>1044</v>
      </c>
      <c r="C10" s="204"/>
      <c r="D10" s="271">
        <f>IF(メイン!C30="","",メイン!C30)</f>
        <v>5</v>
      </c>
      <c r="E10" s="430" t="s">
        <v>87</v>
      </c>
      <c r="F10" s="60"/>
      <c r="G10" s="60"/>
      <c r="H10" s="210" t="s">
        <v>88</v>
      </c>
      <c r="I10" s="823"/>
      <c r="J10" s="824" t="str">
        <f>メイン!C31&amp;"ha"</f>
        <v>2.5ha</v>
      </c>
      <c r="K10" s="825"/>
      <c r="L10" s="283"/>
      <c r="M10" s="283"/>
      <c r="N10" s="283"/>
      <c r="O10" s="284"/>
      <c r="R10" s="455" t="s">
        <v>94</v>
      </c>
      <c r="S10" s="455">
        <f>25*(5-S8)</f>
        <v>52.469135802469147</v>
      </c>
      <c r="U10" s="340" t="s">
        <v>176</v>
      </c>
      <c r="V10" s="340" t="str">
        <f>スコア!B127</f>
        <v>LR-3 周辺環境</v>
      </c>
      <c r="W10" s="340">
        <v>5</v>
      </c>
      <c r="X10" s="340">
        <v>4</v>
      </c>
      <c r="Y10" s="340">
        <v>2</v>
      </c>
      <c r="Z10" s="340">
        <f>Y57</f>
        <v>2.6</v>
      </c>
      <c r="AA10" s="557">
        <v>3</v>
      </c>
    </row>
    <row r="11" spans="2:43" ht="15" customHeight="1">
      <c r="B11" s="21" t="s">
        <v>92</v>
      </c>
      <c r="C11" s="205"/>
      <c r="D11" s="1718">
        <f>IF(メイン!C12="","",メイン!C12)</f>
        <v>45292</v>
      </c>
      <c r="E11" s="1719"/>
      <c r="F11" s="138">
        <f>メイン!E13</f>
        <v>0</v>
      </c>
      <c r="G11" s="211"/>
      <c r="H11" s="210" t="s">
        <v>93</v>
      </c>
      <c r="I11" s="823"/>
      <c r="J11" s="826" t="str">
        <f>ROUND(メイン!C32,0)&amp;"㎡  ／ "&amp;ROUND(メイン!C33,0)&amp;"%"</f>
        <v>16000㎡  ／ 64%</v>
      </c>
      <c r="K11" s="827"/>
      <c r="L11" s="283"/>
      <c r="M11" s="283"/>
      <c r="N11" s="283"/>
      <c r="O11" s="284"/>
      <c r="R11" s="455" t="s">
        <v>100</v>
      </c>
      <c r="S11" s="455">
        <f>S9/S10</f>
        <v>0.97563025210084009</v>
      </c>
      <c r="U11" s="340" t="s">
        <v>177</v>
      </c>
      <c r="V11" s="340" t="str">
        <f>スコア!B107</f>
        <v>LR-2 資源</v>
      </c>
      <c r="W11" s="340">
        <v>5</v>
      </c>
      <c r="X11" s="340">
        <v>4</v>
      </c>
      <c r="Y11" s="340">
        <v>2</v>
      </c>
      <c r="Z11" s="340">
        <f>V57</f>
        <v>3</v>
      </c>
      <c r="AA11" s="557">
        <v>3</v>
      </c>
      <c r="AQ11" s="828"/>
    </row>
    <row r="12" spans="2:43" ht="15" customHeight="1">
      <c r="B12" s="21" t="s">
        <v>97</v>
      </c>
      <c r="C12" s="205"/>
      <c r="D12" s="427" t="s">
        <v>98</v>
      </c>
      <c r="E12" s="257" t="str">
        <f>IF(メイン!C15=0,"",メイン!C15)</f>
        <v>商業地域、防火地域</v>
      </c>
      <c r="F12" s="257"/>
      <c r="G12" s="265"/>
      <c r="H12" s="259" t="s">
        <v>99</v>
      </c>
      <c r="I12" s="829"/>
      <c r="J12" s="830" t="str">
        <f>ROUND(メイン!C34,0)&amp;"㎡  ／ "&amp;ROUND(メイン!C35,0)&amp;"%"</f>
        <v>200000㎡  ／ 800%</v>
      </c>
      <c r="K12" s="831"/>
      <c r="L12" s="283"/>
      <c r="M12" s="283"/>
      <c r="N12" s="283"/>
      <c r="O12" s="284"/>
      <c r="R12" s="455" t="s">
        <v>106</v>
      </c>
      <c r="S12" s="561">
        <f>ROUNDDOWN(S11,1)</f>
        <v>0.9</v>
      </c>
      <c r="U12" s="340" t="s">
        <v>178</v>
      </c>
      <c r="V12" s="340" t="str">
        <f>スコア!B100</f>
        <v>LR-1 エネルギー</v>
      </c>
      <c r="W12" s="340">
        <v>5</v>
      </c>
      <c r="X12" s="340">
        <v>4</v>
      </c>
      <c r="Y12" s="340">
        <v>2</v>
      </c>
      <c r="Z12" s="340">
        <f>S57</f>
        <v>3</v>
      </c>
      <c r="AA12" s="557">
        <v>3</v>
      </c>
    </row>
    <row r="13" spans="2:43" ht="15" customHeight="1">
      <c r="B13" s="724" t="s">
        <v>103</v>
      </c>
      <c r="C13" s="266"/>
      <c r="D13" s="301" t="str">
        <f>"（ "&amp;ROUND(メイン!$C$16,0)&amp;"%　／　"&amp;ROUND(メイン!$C$17,0)&amp;"% ）"</f>
        <v>（ 80%　／　800% ）</v>
      </c>
      <c r="E13" s="22"/>
      <c r="F13" s="269"/>
      <c r="G13" s="270"/>
      <c r="H13" s="210" t="s">
        <v>104</v>
      </c>
      <c r="I13" s="823"/>
      <c r="J13" s="1000" t="str">
        <f>メイン!C40</f>
        <v>2023/X/X</v>
      </c>
      <c r="K13" s="778"/>
      <c r="L13" s="283"/>
      <c r="M13" s="286" t="s">
        <v>105</v>
      </c>
      <c r="N13" s="283"/>
      <c r="O13" s="284"/>
      <c r="R13" s="455" t="s">
        <v>110</v>
      </c>
      <c r="S13" s="562">
        <f>IF(AND($S$9&gt;=50,$S$11&gt;=3),1,IF(S12&lt;0.5,1,IF(S12&lt;1,2,IF(S12&lt;1.5,3,IF(S12&lt;3,4,4))))/5)</f>
        <v>0.4</v>
      </c>
      <c r="U13" s="340" t="s">
        <v>101</v>
      </c>
      <c r="V13" s="340" t="str">
        <f>スコア!B8</f>
        <v>Q-1 環境</v>
      </c>
      <c r="W13" s="340">
        <v>5</v>
      </c>
      <c r="X13" s="340">
        <v>4</v>
      </c>
      <c r="Y13" s="340">
        <v>2</v>
      </c>
      <c r="Z13" s="340">
        <f>IF(S46=0,1,S46)</f>
        <v>3</v>
      </c>
      <c r="AA13" s="557">
        <v>3</v>
      </c>
    </row>
    <row r="14" spans="2:43" ht="15" customHeight="1">
      <c r="B14" s="124"/>
      <c r="C14" s="206"/>
      <c r="D14" s="427" t="s">
        <v>107</v>
      </c>
      <c r="E14" s="257" t="str">
        <f>IF(メイン!D15=0,"",メイン!D15)</f>
        <v/>
      </c>
      <c r="F14" s="160"/>
      <c r="G14" s="275"/>
      <c r="H14" s="21" t="s">
        <v>108</v>
      </c>
      <c r="I14" s="832"/>
      <c r="J14" s="833" t="str">
        <f>IF(メイン!C42="","","(1)　 "&amp;メイン!C42)</f>
        <v>(1)　 ■■　■■</v>
      </c>
      <c r="K14" s="834"/>
      <c r="L14" s="283"/>
      <c r="M14" s="286"/>
      <c r="N14" s="283"/>
      <c r="O14" s="284"/>
      <c r="R14" s="455" t="s">
        <v>113</v>
      </c>
      <c r="S14" s="563">
        <f>1-S13</f>
        <v>0.6</v>
      </c>
    </row>
    <row r="15" spans="2:43" ht="15" customHeight="1">
      <c r="B15" s="124"/>
      <c r="C15" s="206"/>
      <c r="D15" s="301" t="str">
        <f>"（ "&amp;ROUND(メイン!$D$16,0)&amp;"%　／　"&amp;ROUND(メイン!$D$17,0)&amp;"% ）"</f>
        <v>（ 0%　／　0% ）</v>
      </c>
      <c r="E15" s="22"/>
      <c r="F15" s="269"/>
      <c r="G15" s="270"/>
      <c r="H15" s="60"/>
      <c r="I15" s="60"/>
      <c r="J15" s="833" t="str">
        <f>IF(メイン!D42="","","(2)　 "&amp;メイン!D42)</f>
        <v>(2)　 ■■　■■</v>
      </c>
      <c r="K15" s="834"/>
      <c r="L15" s="283"/>
      <c r="M15" s="287" t="s">
        <v>109</v>
      </c>
      <c r="N15" s="283"/>
      <c r="O15" s="284"/>
      <c r="S15" s="60"/>
    </row>
    <row r="16" spans="2:43" ht="15" customHeight="1">
      <c r="B16" s="124"/>
      <c r="C16" s="206"/>
      <c r="D16" s="427" t="s">
        <v>111</v>
      </c>
      <c r="E16" s="257" t="str">
        <f>IF(メイン!C19=0,"",メイン!C19)</f>
        <v/>
      </c>
      <c r="F16" s="160"/>
      <c r="G16" s="275"/>
      <c r="H16" s="210"/>
      <c r="I16" s="823"/>
      <c r="J16" s="833" t="str">
        <f>IF(メイン!E42="","","(3)　 "&amp;メイン!E42)</f>
        <v>(3)　 ■■　■■</v>
      </c>
      <c r="K16" s="834"/>
      <c r="L16" s="283"/>
      <c r="M16" s="287" t="s">
        <v>112</v>
      </c>
      <c r="N16" s="283"/>
      <c r="O16" s="284"/>
      <c r="S16" s="60"/>
      <c r="V16" s="63"/>
      <c r="Z16" s="63"/>
    </row>
    <row r="17" spans="2:50" ht="15" customHeight="1">
      <c r="B17" s="68"/>
      <c r="C17" s="207"/>
      <c r="D17" s="301" t="str">
        <f>"（ "&amp;ROUND(メイン!$C$20,0)&amp;"%　／　"&amp;ROUND(メイン!$C$21,0)&amp;"% ）"</f>
        <v>（ 0%　／　0% ）</v>
      </c>
      <c r="E17" s="22"/>
      <c r="F17" s="269"/>
      <c r="G17" s="270"/>
      <c r="H17" s="212"/>
      <c r="I17" s="835"/>
      <c r="J17" s="833" t="str">
        <f>IF(メイン!C44="","","(4)　 "&amp;メイン!C44)</f>
        <v>(4)　 ■■　■■</v>
      </c>
      <c r="K17" s="834"/>
      <c r="L17" s="283"/>
      <c r="M17" s="283"/>
      <c r="N17" s="283"/>
      <c r="O17" s="284"/>
      <c r="S17" s="60"/>
      <c r="T17" s="63"/>
      <c r="U17" s="141"/>
      <c r="V17" s="63"/>
      <c r="W17" s="63"/>
      <c r="X17" s="63"/>
      <c r="Y17" s="63"/>
      <c r="Z17" s="63"/>
      <c r="AA17" s="63"/>
      <c r="AB17" s="63"/>
      <c r="AC17" s="63"/>
      <c r="AD17" s="63"/>
      <c r="AE17" s="63"/>
      <c r="AW17" s="836"/>
      <c r="AX17" s="836"/>
    </row>
    <row r="18" spans="2:50" ht="15" customHeight="1">
      <c r="B18" s="21"/>
      <c r="C18" s="208"/>
      <c r="D18" s="427" t="s">
        <v>114</v>
      </c>
      <c r="E18" s="257" t="str">
        <f>IF(メイン!D19=0,"",メイン!D19)</f>
        <v/>
      </c>
      <c r="F18" s="160"/>
      <c r="G18" s="275"/>
      <c r="H18" s="60"/>
      <c r="I18" s="60"/>
      <c r="J18" s="833" t="str">
        <f>IF(メイン!D44="","","(5)　 "&amp;メイン!D44)</f>
        <v>(5)　 ■■　■■</v>
      </c>
      <c r="K18" s="834"/>
      <c r="L18" s="283"/>
      <c r="M18" s="283"/>
      <c r="N18" s="283"/>
      <c r="O18" s="284"/>
      <c r="R18" s="63"/>
      <c r="S18" s="63"/>
      <c r="T18" s="63"/>
      <c r="U18" s="63"/>
      <c r="V18" s="63"/>
      <c r="W18" s="63"/>
      <c r="X18" s="63"/>
      <c r="Y18" s="63"/>
      <c r="Z18" s="63"/>
      <c r="AA18" s="63"/>
      <c r="AB18" s="63"/>
      <c r="AC18" s="63"/>
      <c r="AD18" s="63"/>
      <c r="AE18" s="63"/>
      <c r="AW18" s="836"/>
      <c r="AX18" s="836"/>
    </row>
    <row r="19" spans="2:50" ht="15" customHeight="1">
      <c r="B19" s="201"/>
      <c r="C19" s="209"/>
      <c r="D19" s="301" t="str">
        <f>"（ "&amp;ROUND(メイン!$D$20,0)&amp;"%　／　"&amp;ROUND(メイン!$D$21,0)&amp;"% ）"</f>
        <v>（ 0%　／　0% ）</v>
      </c>
      <c r="E19" s="22"/>
      <c r="F19" s="269"/>
      <c r="G19" s="270"/>
      <c r="H19" s="215"/>
      <c r="I19" s="837"/>
      <c r="J19" s="838" t="str">
        <f>IF(メイン!E44="","","(6)　 "&amp;メイン!E44)</f>
        <v>(6)　 ■■　■■</v>
      </c>
      <c r="K19" s="839"/>
      <c r="L19" s="293"/>
      <c r="M19" s="294"/>
      <c r="N19" s="295"/>
      <c r="O19" s="296"/>
      <c r="R19" s="301"/>
      <c r="S19" s="430"/>
      <c r="T19" s="63"/>
      <c r="U19" s="63"/>
      <c r="V19" s="430"/>
      <c r="W19" s="64"/>
      <c r="X19" s="63"/>
      <c r="Y19" s="63"/>
      <c r="Z19" s="63"/>
      <c r="AA19" s="63"/>
      <c r="AB19" s="63"/>
      <c r="AC19" s="63"/>
      <c r="AD19" s="63"/>
      <c r="AE19" s="63"/>
      <c r="AW19" s="836"/>
      <c r="AX19" s="836"/>
    </row>
    <row r="20" spans="2:50" ht="15" customHeight="1">
      <c r="B20" s="272" t="s">
        <v>115</v>
      </c>
      <c r="C20" s="273"/>
      <c r="D20" s="301" t="str">
        <f>ROUND(メイン!C24,0)&amp;"%  ／ "&amp;ROUND(メイン!C25,0)&amp;"%"</f>
        <v>70%  ／ 445%</v>
      </c>
      <c r="E20" s="431"/>
      <c r="F20" s="130"/>
      <c r="G20" s="130"/>
      <c r="H20" s="215" t="s">
        <v>116</v>
      </c>
      <c r="I20" s="837"/>
      <c r="J20" s="425" t="str">
        <f>メイン!C45</f>
        <v>2023/X/X</v>
      </c>
      <c r="K20" s="779"/>
      <c r="L20" s="293"/>
      <c r="M20" s="294"/>
      <c r="N20" s="295"/>
      <c r="O20" s="296"/>
      <c r="R20" s="301"/>
      <c r="S20" s="430"/>
      <c r="T20" s="63"/>
      <c r="U20" s="63"/>
      <c r="V20" s="430"/>
      <c r="W20" s="64"/>
      <c r="X20" s="63"/>
      <c r="Y20" s="63"/>
      <c r="Z20" s="63"/>
      <c r="AA20" s="63"/>
      <c r="AB20" s="63"/>
      <c r="AC20" s="63"/>
      <c r="AD20" s="63"/>
      <c r="AE20" s="63"/>
      <c r="AW20" s="836"/>
      <c r="AX20" s="836"/>
    </row>
    <row r="21" spans="2:50" ht="15" customHeight="1" thickBot="1">
      <c r="B21" s="261"/>
      <c r="C21" s="262"/>
      <c r="D21" s="422"/>
      <c r="E21" s="420"/>
      <c r="F21" s="419"/>
      <c r="G21" s="421"/>
      <c r="H21" s="222" t="s">
        <v>119</v>
      </c>
      <c r="I21" s="840"/>
      <c r="J21" s="426" t="str">
        <f>メイン!C46</f>
        <v>□□　□□</v>
      </c>
      <c r="K21" s="780"/>
      <c r="L21" s="297"/>
      <c r="M21" s="298"/>
      <c r="N21" s="299"/>
      <c r="O21" s="300"/>
      <c r="R21" s="301"/>
      <c r="S21" s="430"/>
      <c r="T21" s="63"/>
      <c r="U21" s="63"/>
      <c r="V21" s="430"/>
      <c r="W21" s="64"/>
      <c r="X21" s="63"/>
      <c r="Y21" s="63"/>
      <c r="Z21" s="63"/>
      <c r="AA21" s="63"/>
      <c r="AB21" s="63"/>
      <c r="AC21" s="63"/>
      <c r="AD21" s="63"/>
      <c r="AE21" s="63"/>
      <c r="AW21" s="836"/>
      <c r="AX21" s="836"/>
    </row>
    <row r="22" spans="2:50" ht="5.4" customHeight="1" thickBot="1">
      <c r="B22" s="565"/>
      <c r="C22" s="566"/>
      <c r="D22" s="565"/>
      <c r="E22" s="567"/>
      <c r="F22" s="567"/>
      <c r="G22" s="567"/>
      <c r="H22" s="567"/>
      <c r="I22" s="567"/>
      <c r="J22" s="569"/>
      <c r="K22" s="569"/>
      <c r="L22" s="567"/>
      <c r="M22" s="567"/>
      <c r="N22" s="567"/>
      <c r="O22" s="567"/>
      <c r="R22" s="301"/>
      <c r="S22" s="430"/>
      <c r="T22" s="63"/>
      <c r="U22" s="63"/>
      <c r="V22" s="430"/>
      <c r="W22" s="64"/>
      <c r="X22" s="63"/>
      <c r="Y22" s="63"/>
      <c r="Z22" s="63"/>
      <c r="AA22" s="63"/>
      <c r="AB22" s="63"/>
      <c r="AC22" s="63"/>
      <c r="AD22" s="63"/>
      <c r="AE22" s="63"/>
      <c r="AW22" s="836"/>
      <c r="AX22" s="836"/>
    </row>
    <row r="23" spans="2:50" ht="15" customHeight="1" thickBot="1">
      <c r="B23" s="104" t="s">
        <v>1045</v>
      </c>
      <c r="C23" s="178"/>
      <c r="D23" s="263"/>
      <c r="E23" s="264"/>
      <c r="F23" s="264"/>
      <c r="G23" s="264"/>
      <c r="H23" s="571" t="s">
        <v>823</v>
      </c>
      <c r="I23" s="841"/>
      <c r="J23" s="179"/>
      <c r="K23" s="179"/>
      <c r="L23" s="1795" t="s">
        <v>180</v>
      </c>
      <c r="M23" s="1796"/>
      <c r="N23" s="1796"/>
      <c r="O23" s="1797"/>
      <c r="R23" s="455" t="s">
        <v>181</v>
      </c>
      <c r="S23" s="558" t="s">
        <v>125</v>
      </c>
      <c r="T23" s="558" t="s">
        <v>80</v>
      </c>
      <c r="U23" s="558" t="s">
        <v>126</v>
      </c>
      <c r="AB23" s="63"/>
      <c r="AC23" s="63"/>
      <c r="AD23" s="63"/>
      <c r="AE23" s="63"/>
      <c r="AW23" s="836"/>
      <c r="AX23" s="836"/>
    </row>
    <row r="24" spans="2:50" ht="15" customHeight="1">
      <c r="B24" s="124"/>
      <c r="C24" s="60"/>
      <c r="D24" s="60"/>
      <c r="E24" s="60"/>
      <c r="F24" s="60"/>
      <c r="G24" s="567"/>
      <c r="H24" s="572"/>
      <c r="I24" s="573"/>
      <c r="J24" s="567"/>
      <c r="K24" s="202"/>
      <c r="L24" s="60"/>
      <c r="M24" s="60"/>
      <c r="N24" s="60"/>
      <c r="O24" s="125"/>
      <c r="P24" s="124"/>
      <c r="Q24" s="60"/>
      <c r="R24" s="455" t="s">
        <v>130</v>
      </c>
      <c r="S24" s="559"/>
      <c r="T24" s="575">
        <f>S10</f>
        <v>52.469135802469147</v>
      </c>
      <c r="U24" s="559">
        <v>0</v>
      </c>
      <c r="V24" s="63"/>
      <c r="W24" s="558" t="s">
        <v>127</v>
      </c>
      <c r="X24" s="558"/>
      <c r="Y24" s="63"/>
      <c r="Z24" s="558" t="s">
        <v>128</v>
      </c>
      <c r="AA24" s="558"/>
      <c r="AB24" s="63"/>
      <c r="AC24" s="63"/>
      <c r="AD24" s="63"/>
      <c r="AE24" s="63"/>
      <c r="AF24" s="1739" t="s">
        <v>182</v>
      </c>
      <c r="AG24" s="1740"/>
      <c r="AH24" s="1741"/>
      <c r="AI24" s="653">
        <v>0.5</v>
      </c>
      <c r="AW24" s="836"/>
      <c r="AX24" s="836"/>
    </row>
    <row r="25" spans="2:50" ht="15" customHeight="1">
      <c r="B25" s="576"/>
      <c r="C25" s="842">
        <f>S12</f>
        <v>0.9</v>
      </c>
      <c r="D25" s="60"/>
      <c r="E25" s="60"/>
      <c r="F25" s="60"/>
      <c r="G25" s="60"/>
      <c r="H25" s="578"/>
      <c r="I25" s="320"/>
      <c r="J25" s="579"/>
      <c r="K25" s="580"/>
      <c r="L25" s="517"/>
      <c r="M25" s="60"/>
      <c r="N25" s="60"/>
      <c r="O25" s="125"/>
      <c r="P25" s="124"/>
      <c r="Q25" s="60"/>
      <c r="R25" s="455" t="s">
        <v>131</v>
      </c>
      <c r="S25" s="559"/>
      <c r="T25" s="575">
        <f>S9</f>
        <v>51.19047619047619</v>
      </c>
      <c r="U25" s="559">
        <v>0</v>
      </c>
      <c r="V25" s="63"/>
      <c r="W25" s="559">
        <v>50</v>
      </c>
      <c r="X25" s="559">
        <v>50</v>
      </c>
      <c r="Y25" s="63"/>
      <c r="Z25" s="559">
        <v>0</v>
      </c>
      <c r="AA25" s="559">
        <v>100</v>
      </c>
      <c r="AB25" s="63"/>
      <c r="AC25" s="63"/>
      <c r="AD25" s="63"/>
      <c r="AE25" s="63"/>
      <c r="AF25" s="1739" t="s">
        <v>183</v>
      </c>
      <c r="AG25" s="1740"/>
      <c r="AH25" s="1741"/>
      <c r="AI25" s="652">
        <f>IF(AI24="N/A",0,IF(AI24=1,1,IF(AI24&lt;1.5,1,IF(AI24&lt;2.5,2,IF(AI24&lt;3.5,3,IF(AI24&lt;4.5,4,5)))))/5)</f>
        <v>0.2</v>
      </c>
      <c r="AR25" s="843"/>
      <c r="AW25" s="836"/>
      <c r="AX25" s="836"/>
    </row>
    <row r="26" spans="2:50" ht="10.199999999999999" customHeight="1">
      <c r="B26" s="124"/>
      <c r="C26" s="60"/>
      <c r="D26" s="60"/>
      <c r="E26" s="60"/>
      <c r="F26" s="60"/>
      <c r="G26" s="60"/>
      <c r="H26" s="578"/>
      <c r="I26" s="320"/>
      <c r="J26" s="579"/>
      <c r="K26" s="580"/>
      <c r="L26" s="517"/>
      <c r="M26" s="60"/>
      <c r="N26" s="60"/>
      <c r="O26" s="125"/>
      <c r="P26" s="124"/>
      <c r="Q26" s="60"/>
      <c r="R26" s="559">
        <v>0</v>
      </c>
      <c r="S26" s="558">
        <f>T24</f>
        <v>52.469135802469147</v>
      </c>
      <c r="T26" s="582">
        <f>T24</f>
        <v>52.469135802469147</v>
      </c>
      <c r="U26" s="558">
        <v>0.1</v>
      </c>
      <c r="V26" s="63"/>
      <c r="W26" s="559">
        <v>0</v>
      </c>
      <c r="X26" s="559">
        <v>100</v>
      </c>
      <c r="Y26" s="63"/>
      <c r="Z26" s="559">
        <v>50</v>
      </c>
      <c r="AA26" s="559">
        <v>50</v>
      </c>
      <c r="AB26" s="63"/>
      <c r="AC26" s="63"/>
      <c r="AD26" s="63"/>
      <c r="AE26" s="63"/>
      <c r="AF26" s="1742" t="s">
        <v>184</v>
      </c>
      <c r="AG26" s="1743"/>
      <c r="AH26" s="1744"/>
      <c r="AI26" s="652">
        <f>1-AI25</f>
        <v>0.8</v>
      </c>
      <c r="AW26" s="836"/>
      <c r="AX26" s="836"/>
    </row>
    <row r="27" spans="2:50" ht="13.2" customHeight="1">
      <c r="B27" s="583"/>
      <c r="C27" s="584"/>
      <c r="D27" s="584"/>
      <c r="E27" s="584"/>
      <c r="F27" s="584"/>
      <c r="G27" s="584"/>
      <c r="H27" s="844" t="s">
        <v>1046</v>
      </c>
      <c r="I27" s="845" t="s">
        <v>1047</v>
      </c>
      <c r="J27" s="845" t="s">
        <v>1048</v>
      </c>
      <c r="K27" s="846" t="s">
        <v>719</v>
      </c>
      <c r="L27" s="646"/>
      <c r="M27" s="646"/>
      <c r="N27" s="647"/>
      <c r="O27" s="648"/>
      <c r="P27" s="124"/>
      <c r="Q27" s="60"/>
      <c r="R27" s="559">
        <v>0</v>
      </c>
      <c r="S27" s="558">
        <v>0</v>
      </c>
      <c r="T27" s="558">
        <f>T25</f>
        <v>51.19047619047619</v>
      </c>
      <c r="U27" s="589">
        <f>T25</f>
        <v>51.19047619047619</v>
      </c>
      <c r="V27" s="63"/>
      <c r="W27" s="63"/>
      <c r="X27" s="63"/>
      <c r="Y27" s="63"/>
      <c r="Z27" s="63"/>
      <c r="AA27" s="63"/>
      <c r="AB27" s="63"/>
      <c r="AC27" s="63"/>
      <c r="AD27" s="63"/>
      <c r="AE27" s="63"/>
      <c r="AL27" s="791"/>
      <c r="AM27" s="791"/>
      <c r="AN27" s="791"/>
      <c r="AO27" s="791"/>
      <c r="AP27" s="791"/>
      <c r="AQ27" s="791"/>
      <c r="AR27" s="791"/>
      <c r="AS27" s="791"/>
      <c r="AT27" s="791"/>
      <c r="AU27" s="791"/>
      <c r="AV27" s="791"/>
    </row>
    <row r="28" spans="2:50" ht="12.9" customHeight="1">
      <c r="B28" s="124"/>
      <c r="C28" s="60"/>
      <c r="D28" s="60"/>
      <c r="E28" s="60"/>
      <c r="F28" s="60"/>
      <c r="G28" s="646"/>
      <c r="H28" s="847" t="s">
        <v>1049</v>
      </c>
      <c r="I28" s="848" t="s">
        <v>1050</v>
      </c>
      <c r="J28" s="1800" t="s">
        <v>1051</v>
      </c>
      <c r="K28" s="1803" t="s">
        <v>1052</v>
      </c>
      <c r="L28" s="60"/>
      <c r="M28" s="60"/>
      <c r="N28" s="60"/>
      <c r="O28" s="125"/>
      <c r="P28" s="124"/>
      <c r="Q28" s="60"/>
      <c r="S28" s="60"/>
      <c r="V28" s="63"/>
      <c r="W28" s="63"/>
      <c r="X28" s="63"/>
      <c r="Y28" s="63"/>
      <c r="Z28" s="63"/>
      <c r="AA28" s="63"/>
      <c r="AB28" s="63"/>
      <c r="AC28" s="63"/>
      <c r="AD28" s="63"/>
      <c r="AE28" s="63"/>
      <c r="AL28" s="781" t="s">
        <v>775</v>
      </c>
      <c r="AM28" s="781" t="s">
        <v>774</v>
      </c>
      <c r="AN28" s="781" t="s">
        <v>779</v>
      </c>
      <c r="AO28" s="782" t="s">
        <v>726</v>
      </c>
      <c r="AP28" s="783" t="s">
        <v>778</v>
      </c>
      <c r="AQ28" s="791"/>
      <c r="AR28" s="849" t="s">
        <v>780</v>
      </c>
      <c r="AS28" s="850" t="s">
        <v>815</v>
      </c>
      <c r="AT28" s="850" t="s">
        <v>779</v>
      </c>
      <c r="AU28" s="851" t="s">
        <v>726</v>
      </c>
      <c r="AV28" s="852" t="s">
        <v>778</v>
      </c>
    </row>
    <row r="29" spans="2:50" ht="12.9" customHeight="1">
      <c r="B29" s="124"/>
      <c r="C29" s="60"/>
      <c r="D29" s="60"/>
      <c r="E29" s="60"/>
      <c r="F29" s="60"/>
      <c r="G29" s="60"/>
      <c r="H29" s="847" t="s">
        <v>1053</v>
      </c>
      <c r="I29" s="853" t="s">
        <v>1054</v>
      </c>
      <c r="J29" s="1801"/>
      <c r="K29" s="1803"/>
      <c r="L29" s="768"/>
      <c r="M29" s="592"/>
      <c r="N29" s="593"/>
      <c r="O29" s="594"/>
      <c r="P29" s="124"/>
      <c r="Q29" s="60"/>
      <c r="R29" s="595" t="s">
        <v>100</v>
      </c>
      <c r="S29" s="558" t="s">
        <v>132</v>
      </c>
      <c r="T29" s="596">
        <v>0</v>
      </c>
      <c r="U29" s="596">
        <f>100/6</f>
        <v>16.666666666666668</v>
      </c>
      <c r="V29" s="597">
        <f>U29*2</f>
        <v>33.333333333333336</v>
      </c>
      <c r="W29" s="596">
        <f>U29*3</f>
        <v>50</v>
      </c>
      <c r="X29" s="596">
        <f>U29*4</f>
        <v>66.666666666666671</v>
      </c>
      <c r="Y29" s="596">
        <f>U29*5</f>
        <v>83.333333333333343</v>
      </c>
      <c r="Z29" s="596">
        <v>100</v>
      </c>
      <c r="AA29" s="63"/>
      <c r="AB29" s="63"/>
      <c r="AC29" s="63"/>
      <c r="AD29" s="63"/>
      <c r="AE29" s="63"/>
      <c r="AF29" s="650"/>
      <c r="AG29" s="651" t="s">
        <v>185</v>
      </c>
      <c r="AL29" s="792">
        <f>_xlfn.RANK.EQ(AN29,$AN$29:$AN$44,0)+COUNTIF($AN$29:AN29,AN29)-1</f>
        <v>9</v>
      </c>
      <c r="AM29" s="793" t="s">
        <v>798</v>
      </c>
      <c r="AN29" s="771">
        <f>採点LR3!$E$31</f>
        <v>10</v>
      </c>
      <c r="AO29" s="771">
        <f>採点LR3!$E$32</f>
        <v>5</v>
      </c>
      <c r="AP29" s="784">
        <f>採点LR3!$E$33</f>
        <v>-0.5</v>
      </c>
      <c r="AQ29" s="791"/>
      <c r="AR29" s="854">
        <v>1</v>
      </c>
      <c r="AS29" s="855" t="str">
        <f>VLOOKUP($AR29,$AL$29:$AP$44,2,FALSE)</f>
        <v>B6 ｴﾈﾙｷﾞｰ消費</v>
      </c>
      <c r="AT29" s="854">
        <f>VLOOKUP($AR$29,$AL$29:$AP$44,3,FALSE)</f>
        <v>70</v>
      </c>
      <c r="AU29" s="854">
        <f>VLOOKUP($AR$29,$AL$29:$AP$44,4,FALSE)</f>
        <v>5</v>
      </c>
      <c r="AV29" s="856">
        <f>VLOOKUP($AR$29,$AL$29:$AP$44,5,FALSE)</f>
        <v>-0.9285714285714286</v>
      </c>
    </row>
    <row r="30" spans="2:50" ht="12.9" customHeight="1">
      <c r="B30" s="124"/>
      <c r="C30" s="60"/>
      <c r="D30" s="60"/>
      <c r="E30" s="60"/>
      <c r="F30" s="60"/>
      <c r="G30" s="60"/>
      <c r="H30" s="847" t="s">
        <v>1055</v>
      </c>
      <c r="I30" s="848" t="s">
        <v>1056</v>
      </c>
      <c r="J30" s="1802"/>
      <c r="K30" s="1803"/>
      <c r="L30" s="774"/>
      <c r="M30" s="592"/>
      <c r="N30" s="593"/>
      <c r="O30" s="594"/>
      <c r="P30" s="124"/>
      <c r="Q30" s="60"/>
      <c r="R30" s="595"/>
      <c r="S30" s="558" t="s">
        <v>133</v>
      </c>
      <c r="T30" s="596">
        <v>100</v>
      </c>
      <c r="U30" s="596">
        <v>100</v>
      </c>
      <c r="V30" s="596">
        <v>100</v>
      </c>
      <c r="W30" s="596">
        <v>100</v>
      </c>
      <c r="X30" s="596">
        <v>100</v>
      </c>
      <c r="Y30" s="596">
        <v>100</v>
      </c>
      <c r="Z30" s="596">
        <v>100</v>
      </c>
      <c r="AA30" s="63"/>
      <c r="AB30" s="63"/>
      <c r="AC30" s="63"/>
      <c r="AD30" s="63"/>
      <c r="AE30" s="63"/>
      <c r="AF30" s="651" t="s">
        <v>186</v>
      </c>
      <c r="AG30" s="654">
        <v>3</v>
      </c>
      <c r="AL30" s="792">
        <f>_xlfn.RANK.EQ(AN30,$AN$29:$AN$44,0)+COUNTIF($AN$29:AN30,AN30)-1</f>
        <v>5</v>
      </c>
      <c r="AM30" s="793" t="s">
        <v>799</v>
      </c>
      <c r="AN30" s="771">
        <f>採点LR3!$F$31</f>
        <v>20</v>
      </c>
      <c r="AO30" s="771">
        <f>採点LR3!$F$32</f>
        <v>5</v>
      </c>
      <c r="AP30" s="784">
        <f>採点LR3!$F$33</f>
        <v>-0.75</v>
      </c>
      <c r="AQ30" s="791"/>
      <c r="AR30" s="854">
        <v>2</v>
      </c>
      <c r="AS30" s="855" t="str">
        <f>VLOOKUP($AR30,$AL$29:$AP$44,2,FALSE)</f>
        <v>B3 修繕</v>
      </c>
      <c r="AT30" s="854">
        <f>VLOOKUP($AR$30,$AL$29:$AP$44,3,FALSE)</f>
        <v>40</v>
      </c>
      <c r="AU30" s="854">
        <f>VLOOKUP($AR$30,$AL$29:$AP$44,4,FALSE)</f>
        <v>5</v>
      </c>
      <c r="AV30" s="856">
        <f>VLOOKUP($AR$30,$AL$29:$AP$44,5,FALSE)</f>
        <v>0.875</v>
      </c>
    </row>
    <row r="31" spans="2:50" ht="12.9" customHeight="1">
      <c r="B31" s="124"/>
      <c r="C31" s="60"/>
      <c r="D31" s="60"/>
      <c r="E31" s="60"/>
      <c r="F31" s="60"/>
      <c r="G31" s="60"/>
      <c r="H31" s="1804" t="s">
        <v>1057</v>
      </c>
      <c r="I31" s="1805"/>
      <c r="J31" s="1805"/>
      <c r="K31" s="1806"/>
      <c r="L31" s="774"/>
      <c r="M31" s="592"/>
      <c r="N31" s="593"/>
      <c r="O31" s="594"/>
      <c r="P31" s="124"/>
      <c r="Q31" s="60"/>
      <c r="R31" s="595">
        <v>3</v>
      </c>
      <c r="S31" s="558" t="s">
        <v>134</v>
      </c>
      <c r="T31" s="596">
        <v>50</v>
      </c>
      <c r="U31" s="596">
        <f t="shared" ref="U31:X34" si="0">U$29*$R31</f>
        <v>50</v>
      </c>
      <c r="V31" s="596">
        <f t="shared" si="0"/>
        <v>100</v>
      </c>
      <c r="W31" s="596">
        <v>100</v>
      </c>
      <c r="X31" s="596">
        <v>100</v>
      </c>
      <c r="Y31" s="596">
        <v>100</v>
      </c>
      <c r="Z31" s="596">
        <v>100</v>
      </c>
      <c r="AA31" s="63"/>
      <c r="AB31" s="63"/>
      <c r="AC31" s="63"/>
      <c r="AD31" s="63"/>
      <c r="AE31" s="63"/>
      <c r="AF31" s="651" t="s">
        <v>187</v>
      </c>
      <c r="AG31" s="654">
        <v>3</v>
      </c>
      <c r="AL31" s="792">
        <f>_xlfn.RANK.EQ(AN31,$AN$29:$AN$44,0)+COUNTIF($AN$29:AN31,AN31)-1</f>
        <v>10</v>
      </c>
      <c r="AM31" s="793" t="s">
        <v>800</v>
      </c>
      <c r="AN31" s="771">
        <f>採点LR3!$G$31</f>
        <v>10</v>
      </c>
      <c r="AO31" s="771">
        <f>採点LR3!$G$32</f>
        <v>5</v>
      </c>
      <c r="AP31" s="784">
        <f>採点LR3!$G$33</f>
        <v>-0.5</v>
      </c>
      <c r="AQ31" s="791"/>
      <c r="AR31" s="854">
        <v>3</v>
      </c>
      <c r="AS31" s="855" t="str">
        <f>VLOOKUP($AR31,$AL$29:$AP$44,2,FALSE)</f>
        <v>B7 水消費</v>
      </c>
      <c r="AT31" s="854">
        <f>VLOOKUP($AR$31,$AL$29:$AP$44,3,FALSE)</f>
        <v>35</v>
      </c>
      <c r="AU31" s="854">
        <f>VLOOKUP($AR$31,$AL$29:$AP$44,4,FALSE)</f>
        <v>5</v>
      </c>
      <c r="AV31" s="856">
        <f>VLOOKUP($AR$31,$AL$29:$AP$44,5,FALSE)</f>
        <v>-0.8571428571428571</v>
      </c>
    </row>
    <row r="32" spans="2:50" ht="12.9" customHeight="1">
      <c r="B32" s="124"/>
      <c r="C32" s="60"/>
      <c r="D32" s="60"/>
      <c r="E32" s="60"/>
      <c r="F32" s="60"/>
      <c r="G32" s="60"/>
      <c r="H32" s="1807" t="s">
        <v>1058</v>
      </c>
      <c r="I32" s="1808"/>
      <c r="J32" s="857" t="s">
        <v>816</v>
      </c>
      <c r="K32" s="858" t="s">
        <v>726</v>
      </c>
      <c r="L32" s="774"/>
      <c r="M32" s="592"/>
      <c r="N32" s="593"/>
      <c r="O32" s="594"/>
      <c r="P32" s="124"/>
      <c r="Q32" s="60"/>
      <c r="R32" s="595">
        <v>1.5</v>
      </c>
      <c r="S32" s="558" t="s">
        <v>136</v>
      </c>
      <c r="T32" s="596">
        <v>0</v>
      </c>
      <c r="U32" s="596">
        <f t="shared" si="0"/>
        <v>25</v>
      </c>
      <c r="V32" s="596">
        <f t="shared" si="0"/>
        <v>50</v>
      </c>
      <c r="W32" s="596">
        <f t="shared" si="0"/>
        <v>75</v>
      </c>
      <c r="X32" s="596">
        <f t="shared" si="0"/>
        <v>100</v>
      </c>
      <c r="Y32" s="596">
        <v>100</v>
      </c>
      <c r="Z32" s="596">
        <v>100</v>
      </c>
      <c r="AA32" s="63"/>
      <c r="AB32" s="63"/>
      <c r="AC32" s="63"/>
      <c r="AD32" s="63"/>
      <c r="AE32" s="63"/>
      <c r="AF32" s="651" t="s">
        <v>188</v>
      </c>
      <c r="AG32" s="654">
        <v>3</v>
      </c>
      <c r="AL32" s="792">
        <f>_xlfn.RANK.EQ(AN32,$AN$29:$AN$44,0)+COUNTIF($AN$29:AN32,AN32)-1</f>
        <v>14</v>
      </c>
      <c r="AM32" s="793" t="s">
        <v>801</v>
      </c>
      <c r="AN32" s="771">
        <f>採点LR3!$H$31</f>
        <v>5</v>
      </c>
      <c r="AO32" s="771">
        <f>採点LR3!$H$32</f>
        <v>5</v>
      </c>
      <c r="AP32" s="784">
        <f>採点LR3!$H$33</f>
        <v>0</v>
      </c>
      <c r="AQ32" s="791"/>
      <c r="AR32" s="854">
        <v>4</v>
      </c>
      <c r="AS32" s="855" t="str">
        <f>VLOOKUP($AR32,$AL$29:$AP$44,2,FALSE)</f>
        <v>B2 保全</v>
      </c>
      <c r="AT32" s="854">
        <f>VLOOKUP($AR$32,$AL$29:$AP$44,3,FALSE)</f>
        <v>30</v>
      </c>
      <c r="AU32" s="854">
        <f>VLOOKUP($AR$32,$AL$29:$AP$44,4,FALSE)</f>
        <v>5</v>
      </c>
      <c r="AV32" s="856">
        <f>VLOOKUP($AR$32,$AL$29:$AP$44,5,FALSE)</f>
        <v>-0.83333333333333337</v>
      </c>
    </row>
    <row r="33" spans="2:52" ht="12.9" customHeight="1">
      <c r="B33" s="124"/>
      <c r="C33" s="60"/>
      <c r="D33" s="60"/>
      <c r="E33" s="60"/>
      <c r="F33" s="60"/>
      <c r="G33" s="60"/>
      <c r="H33" s="1809" t="str">
        <f>VLOOKUP($AR29,$AL$29:$AP$44,2,FALSE)</f>
        <v>B6 ｴﾈﾙｷﾞｰ消費</v>
      </c>
      <c r="I33" s="1810"/>
      <c r="J33" s="1261">
        <f>VLOOKUP($AR$29,$AL$29:$AP$44,3,FALSE)</f>
        <v>70</v>
      </c>
      <c r="K33" s="1262">
        <f>VLOOKUP($AR$29,$AL$29:$AP$44,4,FALSE)</f>
        <v>5</v>
      </c>
      <c r="L33" s="768"/>
      <c r="M33" s="592"/>
      <c r="N33" s="593"/>
      <c r="O33" s="594"/>
      <c r="P33" s="124"/>
      <c r="Q33" s="60"/>
      <c r="R33" s="595">
        <v>1</v>
      </c>
      <c r="S33" s="558" t="s">
        <v>139</v>
      </c>
      <c r="T33" s="596">
        <v>0</v>
      </c>
      <c r="U33" s="596">
        <f t="shared" si="0"/>
        <v>16.666666666666668</v>
      </c>
      <c r="V33" s="596">
        <f t="shared" si="0"/>
        <v>33.333333333333336</v>
      </c>
      <c r="W33" s="596">
        <f t="shared" si="0"/>
        <v>50</v>
      </c>
      <c r="X33" s="596">
        <f t="shared" si="0"/>
        <v>66.666666666666671</v>
      </c>
      <c r="Y33" s="596">
        <f>Y$29*$R33</f>
        <v>83.333333333333343</v>
      </c>
      <c r="Z33" s="596">
        <f>Z$29*$R33</f>
        <v>100</v>
      </c>
      <c r="AA33" s="63"/>
      <c r="AB33" s="63"/>
      <c r="AC33" s="63"/>
      <c r="AD33" s="63"/>
      <c r="AE33" s="63"/>
      <c r="AF33" s="651" t="s">
        <v>189</v>
      </c>
      <c r="AG33" s="654">
        <v>3</v>
      </c>
      <c r="AL33" s="792">
        <f>_xlfn.RANK.EQ(AN33,$AN$29:$AN$44,0)+COUNTIF($AN$29:AN33,AN33)-1</f>
        <v>15</v>
      </c>
      <c r="AM33" s="793" t="s">
        <v>802</v>
      </c>
      <c r="AN33" s="771">
        <f>採点LR3!$I$31</f>
        <v>5</v>
      </c>
      <c r="AO33" s="771">
        <f>採点LR3!$I$32</f>
        <v>5</v>
      </c>
      <c r="AP33" s="784">
        <f>採点LR3!$I$33</f>
        <v>0</v>
      </c>
      <c r="AQ33" s="791"/>
      <c r="AR33" s="854">
        <v>5</v>
      </c>
      <c r="AS33" s="855" t="str">
        <f>VLOOKUP($AR33,$AL$29:$AP$44,2,FALSE)</f>
        <v>A2 工場輸送</v>
      </c>
      <c r="AT33" s="854">
        <f>VLOOKUP($AR$33,$AL$29:$AP$44,3,FALSE)</f>
        <v>20</v>
      </c>
      <c r="AU33" s="854">
        <f>VLOOKUP($AR$33,$AL$29:$AP$44,4,FALSE)</f>
        <v>5</v>
      </c>
      <c r="AV33" s="856">
        <f>VLOOKUP($AR$33,$AL$29:$AP$44,5,FALSE)</f>
        <v>-0.75</v>
      </c>
    </row>
    <row r="34" spans="2:52" ht="12.9" customHeight="1">
      <c r="B34" s="124"/>
      <c r="C34" s="60"/>
      <c r="D34" s="60"/>
      <c r="E34" s="60"/>
      <c r="F34" s="60"/>
      <c r="G34" s="60"/>
      <c r="H34" s="1809" t="str">
        <f>VLOOKUP($AR30,$AL$29:$AP$44,2,FALSE)</f>
        <v>B3 修繕</v>
      </c>
      <c r="I34" s="1810"/>
      <c r="J34" s="1261">
        <f>VLOOKUP($AR$30,$AL$29:$AP$44,3,FALSE)</f>
        <v>40</v>
      </c>
      <c r="K34" s="1262">
        <f>VLOOKUP($AR$30,$AL$29:$AP$44,4,FALSE)</f>
        <v>5</v>
      </c>
      <c r="L34" s="769"/>
      <c r="M34" s="592"/>
      <c r="N34" s="593"/>
      <c r="O34" s="594"/>
      <c r="P34" s="124"/>
      <c r="Q34" s="60"/>
      <c r="R34" s="595">
        <v>0.5</v>
      </c>
      <c r="S34" s="558" t="s">
        <v>143</v>
      </c>
      <c r="T34" s="596">
        <v>0</v>
      </c>
      <c r="U34" s="596">
        <f t="shared" si="0"/>
        <v>8.3333333333333339</v>
      </c>
      <c r="V34" s="596">
        <f t="shared" si="0"/>
        <v>16.666666666666668</v>
      </c>
      <c r="W34" s="596">
        <f t="shared" si="0"/>
        <v>25</v>
      </c>
      <c r="X34" s="596">
        <f t="shared" si="0"/>
        <v>33.333333333333336</v>
      </c>
      <c r="Y34" s="596">
        <f>Y$29*$R34</f>
        <v>41.666666666666671</v>
      </c>
      <c r="Z34" s="596">
        <f>Z$29*$R34</f>
        <v>50</v>
      </c>
      <c r="AA34" s="63"/>
      <c r="AB34" s="63"/>
      <c r="AC34" s="63"/>
      <c r="AD34" s="63"/>
      <c r="AE34" s="63"/>
      <c r="AF34" s="651" t="s">
        <v>190</v>
      </c>
      <c r="AG34" s="654">
        <v>3</v>
      </c>
      <c r="AL34" s="792">
        <f>_xlfn.RANK.EQ(AN34,$AN$29:$AN$44,0)+COUNTIF($AN$29:AN34,AN34)-1</f>
        <v>6</v>
      </c>
      <c r="AM34" s="793" t="s">
        <v>803</v>
      </c>
      <c r="AN34" s="785">
        <f>採点LR3!$E$36</f>
        <v>20</v>
      </c>
      <c r="AO34" s="785">
        <f>採点LR3!$E$37</f>
        <v>5</v>
      </c>
      <c r="AP34" s="786">
        <f>採点LR3!$E$38</f>
        <v>-0.75</v>
      </c>
      <c r="AQ34" s="791"/>
      <c r="AR34" s="843"/>
      <c r="AS34" s="843"/>
      <c r="AT34" s="843"/>
      <c r="AU34" s="859" t="s">
        <v>817</v>
      </c>
    </row>
    <row r="35" spans="2:52" ht="12.9" customHeight="1" thickBot="1">
      <c r="B35" s="124"/>
      <c r="C35" s="60"/>
      <c r="D35" s="60"/>
      <c r="E35" s="60"/>
      <c r="F35" s="60"/>
      <c r="G35" s="60"/>
      <c r="H35" s="1809" t="str">
        <f>VLOOKUP($AR31,$AL$29:$AP$44,2,FALSE)</f>
        <v>B7 水消費</v>
      </c>
      <c r="I35" s="1810"/>
      <c r="J35" s="1261">
        <f>VLOOKUP($AR$31,$AL$29:$AP$44,3,FALSE)</f>
        <v>35</v>
      </c>
      <c r="K35" s="1262">
        <f>VLOOKUP($AR$31,$AL$29:$AP$44,4,FALSE)</f>
        <v>5</v>
      </c>
      <c r="L35" s="770"/>
      <c r="M35" s="592"/>
      <c r="N35" s="593"/>
      <c r="O35" s="594"/>
      <c r="P35" s="124"/>
      <c r="Q35" s="60"/>
      <c r="R35" s="598"/>
      <c r="S35" s="141"/>
      <c r="T35" s="599"/>
      <c r="U35" s="599"/>
      <c r="V35" s="599"/>
      <c r="W35" s="599"/>
      <c r="X35" s="599"/>
      <c r="Y35" s="599"/>
      <c r="Z35" s="599"/>
      <c r="AA35" s="63"/>
      <c r="AB35" s="63"/>
      <c r="AC35" s="63"/>
      <c r="AD35" s="63"/>
      <c r="AE35" s="63"/>
      <c r="AF35" s="651" t="s">
        <v>191</v>
      </c>
      <c r="AG35" s="654">
        <v>3</v>
      </c>
      <c r="AL35" s="792">
        <f>_xlfn.RANK.EQ(AN35,$AN$29:$AN$44,0)+COUNTIF($AN$29:AN35,AN35)-1</f>
        <v>4</v>
      </c>
      <c r="AM35" s="793" t="s">
        <v>804</v>
      </c>
      <c r="AN35" s="785">
        <f>採点LR3!$F$36</f>
        <v>30</v>
      </c>
      <c r="AO35" s="785">
        <f>採点LR3!$F$37</f>
        <v>5</v>
      </c>
      <c r="AP35" s="786">
        <f>採点LR3!$F$38</f>
        <v>-0.83333333333333337</v>
      </c>
      <c r="AQ35" s="791"/>
      <c r="AR35" s="1811" t="s">
        <v>814</v>
      </c>
      <c r="AS35" s="1811"/>
      <c r="AT35" s="860"/>
      <c r="AU35" s="860"/>
      <c r="AV35" s="791"/>
    </row>
    <row r="36" spans="2:52" ht="12.9" customHeight="1" thickBot="1">
      <c r="B36" s="124"/>
      <c r="C36" s="60"/>
      <c r="D36" s="60"/>
      <c r="E36" s="60"/>
      <c r="F36" s="60"/>
      <c r="G36" s="60"/>
      <c r="H36" s="1809" t="str">
        <f>VLOOKUP($AR32,$AL$29:$AP$44,2,FALSE)</f>
        <v>B2 保全</v>
      </c>
      <c r="I36" s="1810"/>
      <c r="J36" s="1261">
        <f>VLOOKUP($AR$32,$AL$29:$AP$44,3,FALSE)</f>
        <v>30</v>
      </c>
      <c r="K36" s="1262">
        <f>VLOOKUP($AR$32,$AL$29:$AP$44,4,FALSE)</f>
        <v>5</v>
      </c>
      <c r="L36" s="770"/>
      <c r="M36" s="592"/>
      <c r="N36" s="593"/>
      <c r="O36" s="594"/>
      <c r="P36" s="124"/>
      <c r="Q36" s="60"/>
      <c r="R36" s="455" t="s">
        <v>192</v>
      </c>
      <c r="S36" s="746">
        <f>T37/5</f>
        <v>0.4</v>
      </c>
      <c r="T36" s="599">
        <f>IF(U36=W36,X42,X43)</f>
        <v>5</v>
      </c>
      <c r="U36" s="603" t="s">
        <v>193</v>
      </c>
      <c r="V36" s="604" t="s">
        <v>194</v>
      </c>
      <c r="W36" s="730" t="s">
        <v>193</v>
      </c>
      <c r="X36" t="s">
        <v>195</v>
      </c>
      <c r="Y36" s="599"/>
      <c r="Z36" s="599"/>
      <c r="AA36" s="63"/>
      <c r="AB36" s="63"/>
      <c r="AC36" s="63"/>
      <c r="AD36" s="63"/>
      <c r="AE36" s="63"/>
      <c r="AF36" s="651" t="s">
        <v>196</v>
      </c>
      <c r="AG36" s="654">
        <v>3</v>
      </c>
      <c r="AL36" s="792">
        <f>_xlfn.RANK.EQ(AN36,$AN$29:$AN$44,0)+COUNTIF($AN$29:AN36,AN36)-1</f>
        <v>2</v>
      </c>
      <c r="AM36" s="793" t="s">
        <v>805</v>
      </c>
      <c r="AN36" s="785">
        <f>採点LR3!$G$36</f>
        <v>40</v>
      </c>
      <c r="AO36" s="785">
        <f>採点LR3!$G$37</f>
        <v>5</v>
      </c>
      <c r="AP36" s="786">
        <f>採点LR3!$G$38</f>
        <v>0.875</v>
      </c>
      <c r="AQ36" s="791"/>
      <c r="AR36" s="861" t="str">
        <f>採点LR3!$E$61</f>
        <v>〇</v>
      </c>
      <c r="AS36" s="862" t="s">
        <v>1059</v>
      </c>
      <c r="AT36" s="769"/>
      <c r="AU36" s="769"/>
      <c r="AV36" s="791"/>
    </row>
    <row r="37" spans="2:52" ht="12.9" customHeight="1" thickBot="1">
      <c r="B37" s="124"/>
      <c r="C37" s="60"/>
      <c r="D37" s="60"/>
      <c r="E37" s="60"/>
      <c r="F37" s="60"/>
      <c r="G37" s="60"/>
      <c r="H37" s="1809" t="str">
        <f>VLOOKUP($AR33,$AL$29:$AP$44,2,FALSE)</f>
        <v>A2 工場輸送</v>
      </c>
      <c r="I37" s="1810"/>
      <c r="J37" s="1261">
        <f>VLOOKUP($AR$33,$AL$29:$AP$44,3,FALSE)</f>
        <v>20</v>
      </c>
      <c r="K37" s="1262">
        <f>VLOOKUP($AR$33,$AL$29:$AP$44,4,FALSE)</f>
        <v>5</v>
      </c>
      <c r="L37" s="770"/>
      <c r="M37" s="60"/>
      <c r="N37" s="60"/>
      <c r="O37" s="125"/>
      <c r="P37" s="124"/>
      <c r="Q37" s="60"/>
      <c r="R37" s="455" t="s">
        <v>113</v>
      </c>
      <c r="S37" s="563">
        <f>1-S36</f>
        <v>0.6</v>
      </c>
      <c r="T37" s="747">
        <f>Y60</f>
        <v>2</v>
      </c>
      <c r="U37" s="603" t="s">
        <v>197</v>
      </c>
      <c r="V37" s="599" t="str">
        <f>IF(U36=W37,V36,"")</f>
        <v/>
      </c>
      <c r="W37" s="603" t="s">
        <v>198</v>
      </c>
      <c r="X37" t="s">
        <v>199</v>
      </c>
      <c r="Y37" s="599"/>
      <c r="Z37" s="599"/>
      <c r="AA37" s="63"/>
      <c r="AB37" s="63"/>
      <c r="AC37" s="63"/>
      <c r="AD37" s="63"/>
      <c r="AE37" s="63"/>
      <c r="AF37" s="651" t="s">
        <v>200</v>
      </c>
      <c r="AG37" s="654">
        <v>3</v>
      </c>
      <c r="AL37" s="792">
        <f>_xlfn.RANK.EQ(AN37,$AN$29:$AN$44,0)+COUNTIF($AN$29:AN37,AN37)-1</f>
        <v>7</v>
      </c>
      <c r="AM37" s="793" t="s">
        <v>806</v>
      </c>
      <c r="AN37" s="787">
        <f>採点LR3!$H$36</f>
        <v>20</v>
      </c>
      <c r="AO37" s="787">
        <f>採点LR3!$H$37</f>
        <v>5</v>
      </c>
      <c r="AP37" s="788">
        <f>採点LR3!$H$38</f>
        <v>-0.75</v>
      </c>
      <c r="AQ37" s="791"/>
      <c r="AR37" s="861" t="str">
        <f>採点LR3!$E$62</f>
        <v>-</v>
      </c>
      <c r="AS37" s="862" t="s">
        <v>1060</v>
      </c>
      <c r="AT37" s="769"/>
      <c r="AU37" s="769"/>
      <c r="AV37" s="791"/>
    </row>
    <row r="38" spans="2:52" ht="12.9" customHeight="1" thickBot="1">
      <c r="B38" s="124"/>
      <c r="C38" s="60"/>
      <c r="D38" s="60"/>
      <c r="E38" s="60"/>
      <c r="F38" s="60"/>
      <c r="G38" s="60"/>
      <c r="H38" s="1804" t="s">
        <v>1061</v>
      </c>
      <c r="I38" s="1805"/>
      <c r="J38" s="1805"/>
      <c r="K38" s="1806"/>
      <c r="L38" s="770"/>
      <c r="M38" s="60"/>
      <c r="N38" s="181"/>
      <c r="O38" s="125"/>
      <c r="P38" s="124"/>
      <c r="Q38" s="60"/>
      <c r="S38" s="60"/>
      <c r="AA38" s="63"/>
      <c r="AB38" s="63"/>
      <c r="AC38" s="63"/>
      <c r="AD38" s="63"/>
      <c r="AE38" s="63"/>
      <c r="AF38" s="651" t="s">
        <v>201</v>
      </c>
      <c r="AG38" s="654">
        <v>3</v>
      </c>
      <c r="AL38" s="792">
        <f>_xlfn.RANK.EQ(AN38,$AN$29:$AN$44,0)+COUNTIF($AN$29:AN38,AN38)-1</f>
        <v>11</v>
      </c>
      <c r="AM38" s="793" t="s">
        <v>807</v>
      </c>
      <c r="AN38" s="789">
        <f>採点LR3!$I$36</f>
        <v>10</v>
      </c>
      <c r="AO38" s="789">
        <f>採点LR3!$I$37</f>
        <v>5</v>
      </c>
      <c r="AP38" s="790">
        <f>採点LR3!$I$38</f>
        <v>-0.5</v>
      </c>
      <c r="AQ38" s="791"/>
      <c r="AR38" s="861" t="str">
        <f>採点LR3!$E$63</f>
        <v>-</v>
      </c>
      <c r="AS38" s="862" t="s">
        <v>1062</v>
      </c>
      <c r="AT38" s="791"/>
      <c r="AU38" s="791"/>
      <c r="AV38" s="791"/>
    </row>
    <row r="39" spans="2:52" ht="12.9" customHeight="1" thickBot="1">
      <c r="B39" s="124"/>
      <c r="C39" s="60"/>
      <c r="D39" s="60"/>
      <c r="E39" s="60"/>
      <c r="F39" s="60"/>
      <c r="G39" s="60"/>
      <c r="H39" s="863" t="str">
        <f>IF(AR36="〇","þ","¨")</f>
        <v>þ</v>
      </c>
      <c r="I39" s="864" t="str">
        <f>IF(AR37="〇","þ","¨")</f>
        <v>¨</v>
      </c>
      <c r="J39" s="864" t="str">
        <f>IF(AS38="〇","þ","¨")</f>
        <v>¨</v>
      </c>
      <c r="K39" s="865" t="str">
        <f>IF(AT39="〇","þ","¨")</f>
        <v>¨</v>
      </c>
      <c r="L39" s="770"/>
      <c r="M39" s="60"/>
      <c r="N39" s="605"/>
      <c r="O39" s="125"/>
      <c r="P39" s="124"/>
      <c r="Q39" s="60"/>
      <c r="R39" s="608" t="s">
        <v>737</v>
      </c>
      <c r="S39" s="609" t="s">
        <v>721</v>
      </c>
      <c r="T39" s="609" t="s">
        <v>722</v>
      </c>
      <c r="U39" s="609" t="s">
        <v>723</v>
      </c>
      <c r="V39" s="609" t="s">
        <v>724</v>
      </c>
      <c r="W39" s="609" t="s">
        <v>725</v>
      </c>
      <c r="X39" s="609" t="s">
        <v>735</v>
      </c>
      <c r="Y39" s="557" t="s">
        <v>727</v>
      </c>
      <c r="Z39" s="557" t="s">
        <v>729</v>
      </c>
      <c r="AA39" s="557" t="s">
        <v>730</v>
      </c>
      <c r="AB39" s="557" t="s">
        <v>731</v>
      </c>
      <c r="AC39" s="557" t="s">
        <v>732</v>
      </c>
      <c r="AD39" s="557" t="s">
        <v>734</v>
      </c>
      <c r="AF39" s="651" t="s">
        <v>211</v>
      </c>
      <c r="AG39" s="654">
        <v>3</v>
      </c>
      <c r="AL39" s="792">
        <f>_xlfn.RANK.EQ(AN39,$AN$29:$AN$44,0)+COUNTIF($AN$29:AN39,AN39)-1</f>
        <v>1</v>
      </c>
      <c r="AM39" s="793" t="s">
        <v>808</v>
      </c>
      <c r="AN39" s="789">
        <f>採点LR3!$E$41</f>
        <v>70</v>
      </c>
      <c r="AO39" s="789">
        <f>採点LR3!$E$42</f>
        <v>5</v>
      </c>
      <c r="AP39" s="790">
        <f>採点LR3!$E$43</f>
        <v>-0.9285714285714286</v>
      </c>
      <c r="AQ39" s="791"/>
      <c r="AR39" s="861" t="str">
        <f>採点LR3!$E$64</f>
        <v>-</v>
      </c>
      <c r="AS39" s="862" t="s">
        <v>1063</v>
      </c>
    </row>
    <row r="40" spans="2:52" ht="12.9" customHeight="1" thickBot="1">
      <c r="B40" s="124"/>
      <c r="C40" s="423"/>
      <c r="D40" s="60"/>
      <c r="E40" s="60"/>
      <c r="F40" s="60"/>
      <c r="G40" s="60"/>
      <c r="H40" s="863" t="str">
        <f>IF(AR44="〇","þ","¨")</f>
        <v>þ</v>
      </c>
      <c r="I40" s="864" t="str">
        <f>IF(AR45="〇","þ","¨")</f>
        <v>¨</v>
      </c>
      <c r="J40" s="864"/>
      <c r="K40" s="775"/>
      <c r="L40" s="60"/>
      <c r="M40" s="606"/>
      <c r="N40" s="60"/>
      <c r="O40" s="125"/>
      <c r="P40" s="124"/>
      <c r="Q40" s="60"/>
      <c r="R40" s="557" t="s">
        <v>734</v>
      </c>
      <c r="S40" s="340"/>
      <c r="T40" s="340"/>
      <c r="U40" s="340"/>
      <c r="V40" s="340"/>
      <c r="W40" s="340"/>
      <c r="X40" s="340"/>
      <c r="Y40" s="340"/>
      <c r="Z40" s="340"/>
      <c r="AA40" s="340"/>
      <c r="AB40" s="340"/>
      <c r="AC40" s="340"/>
      <c r="AD40" s="745" t="e">
        <f>採点LR3!#REF!</f>
        <v>#REF!</v>
      </c>
      <c r="AF40" s="651" t="s">
        <v>214</v>
      </c>
      <c r="AG40" s="654">
        <v>3</v>
      </c>
      <c r="AL40" s="792">
        <f>_xlfn.RANK.EQ(AN40,$AN$29:$AN$44,0)+COUNTIF($AN$29:AN40,AN40)-1</f>
        <v>3</v>
      </c>
      <c r="AM40" s="793" t="s">
        <v>809</v>
      </c>
      <c r="AN40" s="789">
        <f>採点LR3!$F$41</f>
        <v>35</v>
      </c>
      <c r="AO40" s="789">
        <f>採点LR3!$F$42</f>
        <v>5</v>
      </c>
      <c r="AP40" s="790">
        <f>採点LR3!$F$43</f>
        <v>-0.8571428571428571</v>
      </c>
      <c r="AQ40" s="791"/>
      <c r="AR40" s="861" t="str">
        <f>採点LR3!$E$65</f>
        <v>〇</v>
      </c>
      <c r="AS40" s="862" t="s">
        <v>1064</v>
      </c>
    </row>
    <row r="41" spans="2:52" ht="12.9" customHeight="1" thickBot="1">
      <c r="B41" s="182"/>
      <c r="C41" s="123"/>
      <c r="D41" s="123"/>
      <c r="E41" s="123"/>
      <c r="F41" s="123"/>
      <c r="G41" s="123"/>
      <c r="H41" s="866" t="str">
        <f>IF(AR40="〇","þ","¨")</f>
        <v>þ</v>
      </c>
      <c r="I41" s="867" t="str">
        <f>IF(AR41="〇","þ","¨")</f>
        <v>þ</v>
      </c>
      <c r="J41" s="867" t="str">
        <f>IF(AR42="〇","þ","¨")</f>
        <v>þ</v>
      </c>
      <c r="K41" s="868" t="str">
        <f>IF(AR43="〇","þ","¨")</f>
        <v>¨</v>
      </c>
      <c r="L41" s="95" t="s">
        <v>202</v>
      </c>
      <c r="M41" s="607"/>
      <c r="N41" s="123"/>
      <c r="O41" s="126"/>
      <c r="P41" s="124"/>
      <c r="Q41" s="60"/>
      <c r="R41" s="744" t="s">
        <v>733</v>
      </c>
      <c r="S41" s="340"/>
      <c r="T41" s="340"/>
      <c r="U41" s="340"/>
      <c r="V41" s="340"/>
      <c r="W41" s="340"/>
      <c r="X41" s="340"/>
      <c r="Y41" s="340"/>
      <c r="Z41" s="745">
        <f>採点LR3!E47</f>
        <v>5</v>
      </c>
      <c r="AA41" s="745">
        <f>採点LR3!F47</f>
        <v>5</v>
      </c>
      <c r="AB41" s="745">
        <f>採点LR3!G47</f>
        <v>5</v>
      </c>
      <c r="AC41" s="745">
        <f>採点LR3!H47</f>
        <v>5</v>
      </c>
      <c r="AD41" s="340"/>
      <c r="AF41" s="651" t="s">
        <v>220</v>
      </c>
      <c r="AG41" s="654">
        <v>3</v>
      </c>
      <c r="AL41" s="792">
        <f>_xlfn.RANK.EQ(AN41,$AN$29:$AN$44,0)+COUNTIF($AN$29:AN41,AN41)-1</f>
        <v>12</v>
      </c>
      <c r="AM41" s="793" t="s">
        <v>810</v>
      </c>
      <c r="AN41" s="789">
        <f>採点LR3!$E$46</f>
        <v>10</v>
      </c>
      <c r="AO41" s="789">
        <f>採点LR3!$E$47</f>
        <v>5</v>
      </c>
      <c r="AP41" s="790">
        <f>採点LR3!$E$48</f>
        <v>-0.5</v>
      </c>
      <c r="AQ41" s="791"/>
      <c r="AR41" s="861" t="str">
        <f>採点LR3!$E$66</f>
        <v>〇</v>
      </c>
      <c r="AS41" s="862" t="s">
        <v>1065</v>
      </c>
    </row>
    <row r="42" spans="2:52" ht="15" customHeight="1" thickBot="1">
      <c r="B42" s="98" t="s">
        <v>212</v>
      </c>
      <c r="C42" s="99"/>
      <c r="D42" s="100"/>
      <c r="E42" s="99"/>
      <c r="F42" s="99"/>
      <c r="G42" s="99"/>
      <c r="H42" s="1002"/>
      <c r="I42" s="1002"/>
      <c r="J42" s="1003"/>
      <c r="K42" s="1003"/>
      <c r="L42" s="99"/>
      <c r="M42" s="221" t="s">
        <v>1212</v>
      </c>
      <c r="N42" s="103"/>
      <c r="O42" s="1004"/>
      <c r="R42" s="744" t="s">
        <v>728</v>
      </c>
      <c r="S42" s="340"/>
      <c r="T42" s="340"/>
      <c r="U42" s="340"/>
      <c r="V42" s="340"/>
      <c r="W42" s="340"/>
      <c r="X42" s="745">
        <f>採点LR3!E37</f>
        <v>5</v>
      </c>
      <c r="Y42" s="745">
        <f>採点LR3!F37</f>
        <v>5</v>
      </c>
      <c r="Z42" s="340"/>
      <c r="AA42" s="340"/>
      <c r="AB42" s="340"/>
      <c r="AC42" s="340"/>
      <c r="AD42" s="340"/>
      <c r="AL42" s="792">
        <f>_xlfn.RANK.EQ(AN42,$AN$29:$AN$44,0)+COUNTIF($AN$29:AN42,AN42)-1</f>
        <v>13</v>
      </c>
      <c r="AM42" s="793" t="s">
        <v>811</v>
      </c>
      <c r="AN42" s="787">
        <f>採点LR3!$F$46</f>
        <v>10</v>
      </c>
      <c r="AO42" s="787">
        <f>採点LR3!$F$47</f>
        <v>5</v>
      </c>
      <c r="AP42" s="788">
        <f>採点LR3!$F$48</f>
        <v>-0.5</v>
      </c>
      <c r="AQ42" s="791"/>
      <c r="AR42" s="861" t="str">
        <f>採点LR3!$E$67</f>
        <v>〇</v>
      </c>
      <c r="AS42" s="862" t="s">
        <v>1066</v>
      </c>
    </row>
    <row r="43" spans="2:52" ht="15" customHeight="1" thickBot="1">
      <c r="B43" s="1005" t="s">
        <v>1091</v>
      </c>
      <c r="C43" s="634"/>
      <c r="D43" s="634"/>
      <c r="E43" s="1006"/>
      <c r="F43" s="634"/>
      <c r="G43" s="634"/>
      <c r="H43" s="634"/>
      <c r="I43" s="634"/>
      <c r="J43" s="634"/>
      <c r="K43" s="1007" t="s">
        <v>1089</v>
      </c>
      <c r="L43" s="1008">
        <f>スコア!R7</f>
        <v>3</v>
      </c>
      <c r="M43" s="1009" t="s">
        <v>1213</v>
      </c>
      <c r="N43" s="634"/>
      <c r="O43" s="1001"/>
      <c r="R43" s="744" t="s">
        <v>720</v>
      </c>
      <c r="S43" s="745">
        <f>採点LR3!E32</f>
        <v>5</v>
      </c>
      <c r="T43" s="745">
        <f>採点LR3!F32</f>
        <v>5</v>
      </c>
      <c r="U43" s="745">
        <f>採点LR3!G32</f>
        <v>5</v>
      </c>
      <c r="V43" s="745">
        <f>採点LR3!H32</f>
        <v>5</v>
      </c>
      <c r="W43" s="745">
        <f>採点LR3!I32</f>
        <v>5</v>
      </c>
      <c r="X43" s="340"/>
      <c r="Y43" s="340"/>
      <c r="Z43" s="340"/>
      <c r="AA43" s="340"/>
      <c r="AB43" s="340"/>
      <c r="AC43" s="340"/>
      <c r="AD43" s="340"/>
      <c r="AH43"/>
      <c r="AL43" s="792">
        <f>_xlfn.RANK.EQ(AN43,$AN$29:$AN$44,0)+COUNTIF($AN$29:AN43,AN43)-1</f>
        <v>8</v>
      </c>
      <c r="AM43" s="793" t="s">
        <v>812</v>
      </c>
      <c r="AN43" s="789">
        <f>採点LR3!$G$46</f>
        <v>20</v>
      </c>
      <c r="AO43" s="789">
        <f>採点LR3!$G$47</f>
        <v>5</v>
      </c>
      <c r="AP43" s="790">
        <f>採点LR3!$G$48</f>
        <v>-0.75</v>
      </c>
      <c r="AQ43" s="791"/>
      <c r="AR43" s="861" t="str">
        <f>採点LR3!$E$68</f>
        <v>-</v>
      </c>
      <c r="AS43" s="862" t="s">
        <v>1067</v>
      </c>
    </row>
    <row r="44" spans="2:52" ht="15" customHeight="1" thickBot="1">
      <c r="B44" s="124"/>
      <c r="C44" s="553" t="str">
        <f>配慮!B7</f>
        <v>Q-1 環境</v>
      </c>
      <c r="D44" s="617"/>
      <c r="E44" s="617"/>
      <c r="F44" s="617"/>
      <c r="G44" s="694" t="str">
        <f>配慮!B8</f>
        <v>Q-2 社会</v>
      </c>
      <c r="J44" s="63"/>
      <c r="K44" s="657" t="str">
        <f>配慮!B9</f>
        <v>Q-3 経済</v>
      </c>
      <c r="M44" s="662"/>
      <c r="N44" s="63"/>
      <c r="O44" s="620">
        <f>AG46</f>
        <v>12</v>
      </c>
      <c r="S44" s="60"/>
      <c r="AA44" s="63"/>
      <c r="AB44" s="63"/>
      <c r="AC44" s="63"/>
      <c r="AD44" s="63"/>
      <c r="AE44" s="63"/>
      <c r="AH44"/>
      <c r="AI44" s="622"/>
      <c r="AJ44" s="622"/>
      <c r="AL44" s="792">
        <f>_xlfn.RANK.EQ(AN44,$AN$29:$AN$44,0)+COUNTIF($AN$29:AN44,AN44)-1</f>
        <v>16</v>
      </c>
      <c r="AM44" s="793" t="s">
        <v>813</v>
      </c>
      <c r="AN44" s="789">
        <f>採点LR3!$H$46</f>
        <v>5</v>
      </c>
      <c r="AO44" s="789">
        <f>採点LR3!$H$47</f>
        <v>5</v>
      </c>
      <c r="AP44" s="790">
        <f>採点LR3!$H$48</f>
        <v>0</v>
      </c>
      <c r="AQ44" s="791"/>
      <c r="AR44" s="861" t="str">
        <f>採点LR3!$E$69</f>
        <v>〇</v>
      </c>
      <c r="AS44" s="862" t="s">
        <v>1068</v>
      </c>
    </row>
    <row r="45" spans="2:52" ht="15" customHeight="1" thickBot="1">
      <c r="B45" s="124"/>
      <c r="C45" s="75"/>
      <c r="D45" s="76"/>
      <c r="E45" s="659">
        <f>S46</f>
        <v>3</v>
      </c>
      <c r="F45" s="60"/>
      <c r="H45" s="60"/>
      <c r="I45" s="60"/>
      <c r="J45" s="617">
        <f>V46</f>
        <v>3</v>
      </c>
      <c r="K45" s="617"/>
      <c r="L45" s="659">
        <f>Y46</f>
        <v>3.1</v>
      </c>
      <c r="M45" s="663"/>
      <c r="N45" s="619"/>
      <c r="O45" s="620"/>
      <c r="R45" s="455"/>
      <c r="S45" s="455" t="s">
        <v>144</v>
      </c>
      <c r="T45" s="455" t="s">
        <v>223</v>
      </c>
      <c r="U45" s="455"/>
      <c r="V45" s="455" t="s">
        <v>144</v>
      </c>
      <c r="W45" s="455" t="s">
        <v>223</v>
      </c>
      <c r="X45" s="455"/>
      <c r="Y45" s="455" t="s">
        <v>144</v>
      </c>
      <c r="Z45" s="455" t="s">
        <v>223</v>
      </c>
      <c r="AA45" s="63"/>
      <c r="AB45" s="63"/>
      <c r="AC45" s="63"/>
      <c r="AD45" s="63"/>
      <c r="AE45" s="63"/>
      <c r="AF45" s="455"/>
      <c r="AG45" s="455" t="s">
        <v>224</v>
      </c>
      <c r="AH45"/>
      <c r="AL45" s="792" t="e">
        <f>_xlfn.RANK.EQ(AN45,$AN$29:$AN$44,0)+COUNTIF($AN$29:AN45,AN45)-1</f>
        <v>#N/A</v>
      </c>
      <c r="AM45" s="794" t="s">
        <v>797</v>
      </c>
      <c r="AN45" s="789">
        <f>採点LR3!$H$51</f>
        <v>0</v>
      </c>
      <c r="AO45" s="789">
        <f>採点LR3!$H$52</f>
        <v>0</v>
      </c>
      <c r="AP45" s="790">
        <f>採点LR3!$H$53</f>
        <v>0</v>
      </c>
      <c r="AQ45" s="791"/>
      <c r="AR45" s="861" t="str">
        <f>採点LR3!$E$70</f>
        <v>-</v>
      </c>
      <c r="AS45" s="862" t="s">
        <v>1069</v>
      </c>
    </row>
    <row r="46" spans="2:52" ht="15" customHeight="1">
      <c r="B46" s="124"/>
      <c r="C46" s="60"/>
      <c r="D46" s="60"/>
      <c r="E46" s="60"/>
      <c r="F46" s="60"/>
      <c r="L46" s="63"/>
      <c r="M46" s="664"/>
      <c r="N46" s="63"/>
      <c r="O46" s="564"/>
      <c r="R46" s="623" t="str">
        <f>C44</f>
        <v>Q-1 環境</v>
      </c>
      <c r="S46" s="716">
        <f>スコア!R8</f>
        <v>3</v>
      </c>
      <c r="T46" s="715">
        <f>スコア!V8</f>
        <v>3</v>
      </c>
      <c r="U46" s="658" t="str">
        <f>G44</f>
        <v>Q-2 社会</v>
      </c>
      <c r="V46" s="625">
        <f>スコア!R41</f>
        <v>3</v>
      </c>
      <c r="W46" s="715">
        <f>スコア!V41</f>
        <v>3</v>
      </c>
      <c r="X46" s="623" t="e">
        <f>#REF!</f>
        <v>#REF!</v>
      </c>
      <c r="Y46" s="625">
        <f>スコア!R74</f>
        <v>3.1</v>
      </c>
      <c r="Z46" s="715">
        <f>スコア!V74</f>
        <v>3.1428571428571428</v>
      </c>
      <c r="AA46" s="63"/>
      <c r="AB46" s="63"/>
      <c r="AC46" s="63"/>
      <c r="AD46" s="63"/>
      <c r="AE46" s="63"/>
      <c r="AF46" s="558">
        <f>'結果(2-3ﾚｰﾀﾞｰ)'!M44</f>
        <v>0</v>
      </c>
      <c r="AG46" s="718">
        <f>スコア!J152</f>
        <v>12</v>
      </c>
      <c r="AH46"/>
      <c r="AT46"/>
      <c r="AU46"/>
      <c r="AV46"/>
      <c r="AW46"/>
      <c r="AX46"/>
      <c r="AY46"/>
      <c r="AZ46"/>
    </row>
    <row r="47" spans="2:52" ht="15" customHeight="1" thickBot="1">
      <c r="B47" s="124"/>
      <c r="C47" s="60"/>
      <c r="D47" s="60"/>
      <c r="E47" s="60"/>
      <c r="F47" s="60"/>
      <c r="L47" s="63"/>
      <c r="M47" s="664"/>
      <c r="N47" s="63"/>
      <c r="O47" s="564"/>
      <c r="S47" s="60"/>
      <c r="AA47" s="63"/>
      <c r="AB47" s="63"/>
      <c r="AC47" s="63"/>
      <c r="AD47" s="63"/>
      <c r="AE47" s="63"/>
      <c r="AH47"/>
      <c r="AR47" s="1798" t="s">
        <v>1070</v>
      </c>
      <c r="AS47" s="1799"/>
      <c r="AT47"/>
      <c r="AU47"/>
      <c r="AV47"/>
      <c r="AW47"/>
      <c r="AX47"/>
      <c r="AY47"/>
      <c r="AZ47"/>
    </row>
    <row r="48" spans="2:52" ht="15" customHeight="1" thickBot="1">
      <c r="B48" s="124"/>
      <c r="C48" s="60"/>
      <c r="D48" s="60"/>
      <c r="E48" s="60"/>
      <c r="F48" s="60"/>
      <c r="L48" s="63"/>
      <c r="M48" s="664"/>
      <c r="N48" s="63"/>
      <c r="O48" s="564"/>
      <c r="R48" s="455"/>
      <c r="S48" s="455" t="s">
        <v>144</v>
      </c>
      <c r="T48" s="455" t="s">
        <v>225</v>
      </c>
      <c r="U48" s="455"/>
      <c r="V48" s="455" t="s">
        <v>144</v>
      </c>
      <c r="W48" s="455" t="s">
        <v>225</v>
      </c>
      <c r="X48" s="455"/>
      <c r="Y48" s="626" t="s">
        <v>144</v>
      </c>
      <c r="Z48" s="455" t="s">
        <v>225</v>
      </c>
      <c r="AA48" s="63"/>
      <c r="AB48" s="63"/>
      <c r="AC48" s="63"/>
      <c r="AD48" s="63"/>
      <c r="AE48" s="63"/>
      <c r="AF48" s="455"/>
      <c r="AG48" s="455" t="s">
        <v>224</v>
      </c>
      <c r="AH48"/>
      <c r="AR48" s="1011" t="str">
        <f>採点LR3!$E$21</f>
        <v>〇</v>
      </c>
      <c r="AS48" s="1012" t="s">
        <v>1071</v>
      </c>
      <c r="AT48"/>
      <c r="AU48"/>
      <c r="AV48"/>
      <c r="AW48"/>
      <c r="AX48"/>
      <c r="AY48"/>
      <c r="AZ48"/>
    </row>
    <row r="49" spans="1:52" ht="15" customHeight="1" thickBot="1">
      <c r="B49" s="124"/>
      <c r="C49" s="60"/>
      <c r="D49" s="60"/>
      <c r="E49" s="60"/>
      <c r="F49" s="60"/>
      <c r="L49" s="63"/>
      <c r="M49" s="664"/>
      <c r="N49" s="63"/>
      <c r="O49" s="564"/>
      <c r="R49" s="628" t="s">
        <v>226</v>
      </c>
      <c r="S49" s="624">
        <f>スコア!R9</f>
        <v>3</v>
      </c>
      <c r="T49" s="455" t="str">
        <f>IF(S49=0,"N.A.","")</f>
        <v/>
      </c>
      <c r="U49" s="558" t="s">
        <v>227</v>
      </c>
      <c r="V49" s="625">
        <f>スコア!R42</f>
        <v>3</v>
      </c>
      <c r="W49" s="455" t="str">
        <f>IF(V49=0,"N.A.","")</f>
        <v/>
      </c>
      <c r="X49" s="628" t="s">
        <v>228</v>
      </c>
      <c r="Y49" s="625">
        <f>スコア!R75</f>
        <v>3</v>
      </c>
      <c r="Z49" s="455" t="str">
        <f>IF(Y49=0,"N.A.","")</f>
        <v/>
      </c>
      <c r="AA49" s="63"/>
      <c r="AB49" s="63"/>
      <c r="AC49" s="63"/>
      <c r="AD49" s="63"/>
      <c r="AE49" s="63"/>
      <c r="AF49" s="640" t="str">
        <f>スコア!C153</f>
        <v>エリアマネジメント</v>
      </c>
      <c r="AG49" s="719">
        <f>スコア!J153</f>
        <v>3</v>
      </c>
      <c r="AH49"/>
      <c r="AR49" s="1011" t="str">
        <f>採点LR3!$E$22</f>
        <v>-</v>
      </c>
      <c r="AS49" s="1012" t="s">
        <v>1072</v>
      </c>
      <c r="AT49"/>
      <c r="AU49"/>
      <c r="AV49"/>
      <c r="AW49"/>
      <c r="AX49"/>
      <c r="AY49"/>
      <c r="AZ49"/>
    </row>
    <row r="50" spans="1:52" ht="15" customHeight="1" thickBot="1">
      <c r="B50" s="124"/>
      <c r="C50" s="60"/>
      <c r="D50" s="60"/>
      <c r="E50" s="60"/>
      <c r="F50" s="60"/>
      <c r="L50" s="63"/>
      <c r="M50" s="664"/>
      <c r="N50" s="63"/>
      <c r="O50" s="564"/>
      <c r="R50" s="628" t="s">
        <v>229</v>
      </c>
      <c r="S50" s="624">
        <f>スコア!R25</f>
        <v>3</v>
      </c>
      <c r="T50" s="455" t="str">
        <f>IF(S50=0,"N.A.","")</f>
        <v/>
      </c>
      <c r="U50" s="558" t="s">
        <v>230</v>
      </c>
      <c r="V50" s="625">
        <f>スコア!R50</f>
        <v>3</v>
      </c>
      <c r="W50" s="455" t="str">
        <f>IF(V50=0,"N.A.","")</f>
        <v/>
      </c>
      <c r="X50" s="692" t="s">
        <v>231</v>
      </c>
      <c r="Y50" s="625">
        <f>スコア!R85</f>
        <v>3.5</v>
      </c>
      <c r="Z50" s="455" t="str">
        <f>IF(Y50=0,"N.A.","")</f>
        <v/>
      </c>
      <c r="AA50" s="63"/>
      <c r="AB50" s="63"/>
      <c r="AC50" s="63"/>
      <c r="AD50" s="63"/>
      <c r="AE50" s="63"/>
      <c r="AF50" s="640" t="str">
        <f>スコア!L153</f>
        <v>エネルギーマネジメント</v>
      </c>
      <c r="AG50" s="719">
        <f>スコア!R153</f>
        <v>3</v>
      </c>
      <c r="AH50"/>
      <c r="AR50" s="1011" t="str">
        <f>採点LR3!$E$23</f>
        <v>-</v>
      </c>
      <c r="AS50" s="1012" t="s">
        <v>1073</v>
      </c>
      <c r="AT50"/>
      <c r="AU50"/>
      <c r="AV50"/>
      <c r="AW50"/>
      <c r="AX50"/>
      <c r="AY50"/>
      <c r="AZ50"/>
    </row>
    <row r="51" spans="1:52" ht="15" customHeight="1" thickBot="1">
      <c r="B51" s="124"/>
      <c r="C51" s="60"/>
      <c r="D51" s="60"/>
      <c r="E51" s="60"/>
      <c r="F51" s="60"/>
      <c r="G51" s="627"/>
      <c r="H51" s="627"/>
      <c r="I51" s="627"/>
      <c r="L51" s="63"/>
      <c r="M51" s="664"/>
      <c r="N51" s="63"/>
      <c r="O51" s="564"/>
      <c r="R51" s="692" t="s">
        <v>232</v>
      </c>
      <c r="S51" s="624">
        <f>スコア!R39</f>
        <v>3</v>
      </c>
      <c r="T51" s="455" t="str">
        <f>IF(S51=0,"N.A.","")</f>
        <v/>
      </c>
      <c r="U51" s="558" t="s">
        <v>233</v>
      </c>
      <c r="V51" s="625">
        <f>スコア!R55</f>
        <v>3</v>
      </c>
      <c r="W51" s="455" t="str">
        <f>IF(V51=0,"N.A.","")</f>
        <v/>
      </c>
      <c r="X51" s="628" t="s">
        <v>234</v>
      </c>
      <c r="Y51" s="625">
        <f>スコア!R90</f>
        <v>3</v>
      </c>
      <c r="Z51" s="455" t="str">
        <f>IF(Y51=0,"N.A.","")</f>
        <v/>
      </c>
      <c r="AA51" s="63"/>
      <c r="AB51" s="63"/>
      <c r="AC51" s="63"/>
      <c r="AD51" s="63"/>
      <c r="AE51" s="63"/>
      <c r="AF51" s="640" t="str">
        <f>スコア!C158</f>
        <v>交通マネジメント</v>
      </c>
      <c r="AG51" s="719">
        <f>スコア!J158</f>
        <v>3</v>
      </c>
      <c r="AH51"/>
      <c r="AR51" s="1011" t="str">
        <f>採点LR3!$E$24</f>
        <v>-</v>
      </c>
      <c r="AS51" s="1012" t="s">
        <v>1074</v>
      </c>
      <c r="AT51"/>
      <c r="AU51"/>
      <c r="AV51"/>
      <c r="AW51"/>
      <c r="AX51"/>
      <c r="AY51"/>
      <c r="AZ51"/>
    </row>
    <row r="52" spans="1:52" ht="15" customHeight="1" thickBot="1">
      <c r="B52" s="124"/>
      <c r="C52" s="60"/>
      <c r="D52" s="60"/>
      <c r="E52" s="60"/>
      <c r="F52" s="60"/>
      <c r="G52" s="627"/>
      <c r="H52" s="627"/>
      <c r="I52" s="627"/>
      <c r="L52" s="63"/>
      <c r="M52" s="664"/>
      <c r="N52" s="63"/>
      <c r="O52" s="564"/>
      <c r="R52" s="692" t="s">
        <v>237</v>
      </c>
      <c r="S52" s="624">
        <f>スコア!R40</f>
        <v>3</v>
      </c>
      <c r="T52" s="455" t="str">
        <f>IF(S52=0,"N.A.","")</f>
        <v/>
      </c>
      <c r="U52" s="558" t="s">
        <v>238</v>
      </c>
      <c r="V52" s="625">
        <f>スコア!R60</f>
        <v>3</v>
      </c>
      <c r="W52" s="455" t="str">
        <f t="shared" ref="W52:W54" si="1">IF(V52=0,"N.A.","")</f>
        <v/>
      </c>
      <c r="X52" s="692" t="s">
        <v>239</v>
      </c>
      <c r="Y52" s="625">
        <f>スコア!R98</f>
        <v>3</v>
      </c>
      <c r="Z52" s="455" t="str">
        <f>IF(Y52=0,"N.A.","")</f>
        <v/>
      </c>
      <c r="AA52" s="63"/>
      <c r="AB52" s="63"/>
      <c r="AC52" s="63"/>
      <c r="AD52" s="63"/>
      <c r="AE52" s="63"/>
      <c r="AF52" s="640" t="str">
        <f>スコア!L158</f>
        <v>発展的マネジメント</v>
      </c>
      <c r="AG52" s="719">
        <f>スコア!R168</f>
        <v>3</v>
      </c>
      <c r="AH52"/>
      <c r="AR52" s="1011" t="str">
        <f>採点LR3!$E$25</f>
        <v>-</v>
      </c>
      <c r="AS52" s="1013" t="s">
        <v>1075</v>
      </c>
      <c r="AT52"/>
      <c r="AU52"/>
      <c r="AV52"/>
      <c r="AW52"/>
      <c r="AX52"/>
      <c r="AY52"/>
      <c r="AZ52"/>
    </row>
    <row r="53" spans="1:52" ht="15" customHeight="1" thickBot="1">
      <c r="B53" s="124"/>
      <c r="C53" s="60"/>
      <c r="D53" s="60"/>
      <c r="E53" s="60"/>
      <c r="F53" s="60"/>
      <c r="G53" s="81"/>
      <c r="H53" s="560"/>
      <c r="I53" s="560"/>
      <c r="J53" s="629"/>
      <c r="K53" s="629"/>
      <c r="L53" s="631"/>
      <c r="M53" s="664"/>
      <c r="N53" s="63"/>
      <c r="O53" s="564"/>
      <c r="R53"/>
      <c r="S53"/>
      <c r="T53"/>
      <c r="U53" s="558" t="s">
        <v>240</v>
      </c>
      <c r="V53" s="625">
        <f>スコア!R68</f>
        <v>3</v>
      </c>
      <c r="W53" s="455" t="str">
        <f t="shared" si="1"/>
        <v/>
      </c>
      <c r="X53" s="63"/>
      <c r="Y53" s="63"/>
      <c r="Z53" s="63"/>
      <c r="AA53" s="63"/>
      <c r="AB53" s="63"/>
      <c r="AC53" s="63"/>
      <c r="AD53" s="63"/>
      <c r="AE53" s="63"/>
      <c r="AH53"/>
      <c r="AR53" s="1011" t="str">
        <f>採点LR3!$E$26</f>
        <v>-</v>
      </c>
      <c r="AS53" s="1013" t="s">
        <v>821</v>
      </c>
      <c r="AT53"/>
      <c r="AU53"/>
      <c r="AV53"/>
      <c r="AW53"/>
      <c r="AX53"/>
      <c r="AY53"/>
      <c r="AZ53"/>
    </row>
    <row r="54" spans="1:52" ht="15" customHeight="1">
      <c r="A54" s="632"/>
      <c r="B54" s="633" t="s">
        <v>1092</v>
      </c>
      <c r="C54" s="634"/>
      <c r="D54" s="635"/>
      <c r="E54" s="634"/>
      <c r="F54" s="634"/>
      <c r="G54" s="634"/>
      <c r="H54" s="614"/>
      <c r="I54" s="614"/>
      <c r="J54" s="614"/>
      <c r="K54" s="616" t="s">
        <v>1090</v>
      </c>
      <c r="L54" s="723">
        <f>スコア!R99</f>
        <v>2.9</v>
      </c>
      <c r="M54" s="1009" t="s">
        <v>1214</v>
      </c>
      <c r="N54" s="634"/>
      <c r="O54" s="1001"/>
      <c r="R54"/>
      <c r="S54"/>
      <c r="T54"/>
      <c r="U54" s="693" t="s">
        <v>241</v>
      </c>
      <c r="V54" s="625">
        <f>スコア!R72</f>
        <v>3</v>
      </c>
      <c r="W54" s="455" t="str">
        <f t="shared" si="1"/>
        <v/>
      </c>
      <c r="X54" s="63"/>
      <c r="Y54" s="63"/>
      <c r="Z54" s="63"/>
      <c r="AA54" s="63"/>
      <c r="AB54" s="63"/>
      <c r="AC54" s="63"/>
      <c r="AD54" s="63"/>
      <c r="AE54" s="63"/>
      <c r="AH54"/>
      <c r="AT54"/>
      <c r="AU54"/>
      <c r="AV54"/>
      <c r="AW54"/>
      <c r="AX54"/>
      <c r="AY54"/>
      <c r="AZ54"/>
    </row>
    <row r="55" spans="1:52" ht="15" customHeight="1">
      <c r="B55" s="71"/>
      <c r="C55" s="72" t="str">
        <f>配慮!B10</f>
        <v>LR-1 エネルギー</v>
      </c>
      <c r="D55" s="72"/>
      <c r="E55" s="636"/>
      <c r="F55" s="72"/>
      <c r="G55" s="72" t="str">
        <f>配慮!B11</f>
        <v>LR-2 資源</v>
      </c>
      <c r="J55" s="72"/>
      <c r="K55" s="721" t="str">
        <f>配慮!B12</f>
        <v>LR-3 周辺環境</v>
      </c>
      <c r="L55" s="657"/>
      <c r="M55" s="662"/>
      <c r="N55" s="63"/>
      <c r="O55" s="620">
        <f>AG57</f>
        <v>9</v>
      </c>
      <c r="S55" s="60"/>
      <c r="AA55" s="63"/>
      <c r="AB55" s="63"/>
      <c r="AC55" s="63"/>
      <c r="AD55" s="63"/>
      <c r="AE55" s="63"/>
      <c r="AH55"/>
      <c r="AT55"/>
      <c r="AU55"/>
      <c r="AV55"/>
      <c r="AW55"/>
      <c r="AX55"/>
      <c r="AY55"/>
      <c r="AZ55"/>
    </row>
    <row r="56" spans="1:52" ht="15" customHeight="1">
      <c r="B56" s="74"/>
      <c r="C56" s="75"/>
      <c r="D56" s="76"/>
      <c r="E56" s="619"/>
      <c r="F56" s="617">
        <f>S57</f>
        <v>3</v>
      </c>
      <c r="H56" s="60"/>
      <c r="I56" s="60"/>
      <c r="J56" s="617">
        <f>V57</f>
        <v>3</v>
      </c>
      <c r="K56" s="617"/>
      <c r="L56" s="659">
        <f>Y57</f>
        <v>2.6</v>
      </c>
      <c r="M56" s="664"/>
      <c r="N56" s="63"/>
      <c r="O56" s="620"/>
      <c r="R56" s="455"/>
      <c r="S56" s="455" t="s">
        <v>144</v>
      </c>
      <c r="T56" s="455" t="s">
        <v>223</v>
      </c>
      <c r="U56" s="455"/>
      <c r="V56" s="455" t="s">
        <v>144</v>
      </c>
      <c r="W56" s="455" t="s">
        <v>223</v>
      </c>
      <c r="X56" s="455"/>
      <c r="Y56" s="455" t="s">
        <v>144</v>
      </c>
      <c r="Z56" s="455" t="s">
        <v>223</v>
      </c>
      <c r="AA56" s="63"/>
      <c r="AB56" s="63"/>
      <c r="AC56" s="63"/>
      <c r="AD56" s="63"/>
      <c r="AE56" s="63"/>
      <c r="AF56" s="455"/>
      <c r="AG56" s="455" t="s">
        <v>224</v>
      </c>
      <c r="AH56"/>
    </row>
    <row r="57" spans="1:52" ht="15" customHeight="1">
      <c r="B57" s="74"/>
      <c r="C57" s="79"/>
      <c r="D57" s="79"/>
      <c r="E57" s="80"/>
      <c r="F57" s="81"/>
      <c r="G57" s="81"/>
      <c r="H57" s="81"/>
      <c r="I57" s="81"/>
      <c r="M57" s="664"/>
      <c r="N57" s="63"/>
      <c r="O57" s="564"/>
      <c r="R57" s="558" t="str">
        <f>C55</f>
        <v>LR-1 エネルギー</v>
      </c>
      <c r="S57" s="625">
        <f>スコア!R100</f>
        <v>3</v>
      </c>
      <c r="T57" s="715">
        <f>スコア!V100</f>
        <v>3</v>
      </c>
      <c r="U57" s="558" t="str">
        <f>G55</f>
        <v>LR-2 資源</v>
      </c>
      <c r="V57" s="637">
        <f>スコア!R107</f>
        <v>3</v>
      </c>
      <c r="W57" s="715">
        <f>スコア!V107</f>
        <v>3.0555555555555554</v>
      </c>
      <c r="X57" s="558">
        <f>L55</f>
        <v>0</v>
      </c>
      <c r="Y57" s="625">
        <f>スコア!R127</f>
        <v>2.6</v>
      </c>
      <c r="Z57" s="715">
        <f>スコア!V127</f>
        <v>2.6481481481481479</v>
      </c>
      <c r="AA57" s="63"/>
      <c r="AB57" s="63"/>
      <c r="AC57" s="63"/>
      <c r="AD57" s="63"/>
      <c r="AE57" s="63"/>
      <c r="AF57" s="558">
        <f>'結果(2-3ﾚｰﾀﾞｰ)'!M55</f>
        <v>0</v>
      </c>
      <c r="AG57" s="718">
        <f>スコア!J167</f>
        <v>9</v>
      </c>
      <c r="AH57"/>
    </row>
    <row r="58" spans="1:52" ht="15" customHeight="1">
      <c r="B58" s="74"/>
      <c r="C58" s="64"/>
      <c r="D58" s="83"/>
      <c r="M58" s="664"/>
      <c r="N58" s="63"/>
      <c r="O58" s="564"/>
      <c r="S58" s="60"/>
      <c r="Y58" s="638"/>
      <c r="AA58" s="63"/>
      <c r="AB58" s="63"/>
      <c r="AC58" s="63"/>
      <c r="AD58" s="63"/>
      <c r="AE58" s="63"/>
      <c r="AH58"/>
    </row>
    <row r="59" spans="1:52" ht="15" customHeight="1">
      <c r="B59" s="74"/>
      <c r="M59" s="74"/>
      <c r="O59" s="564"/>
      <c r="R59" s="455"/>
      <c r="S59" s="455" t="s">
        <v>144</v>
      </c>
      <c r="T59" s="455" t="s">
        <v>225</v>
      </c>
      <c r="U59" s="455"/>
      <c r="V59" s="455" t="s">
        <v>144</v>
      </c>
      <c r="W59" s="455" t="s">
        <v>225</v>
      </c>
      <c r="X59" s="455"/>
      <c r="Y59" s="626" t="s">
        <v>144</v>
      </c>
      <c r="Z59" s="455" t="s">
        <v>225</v>
      </c>
      <c r="AA59" s="63"/>
      <c r="AB59" s="63"/>
      <c r="AC59" s="63"/>
      <c r="AD59" s="63"/>
      <c r="AE59" s="63"/>
      <c r="AF59" s="455"/>
      <c r="AG59" s="455" t="s">
        <v>224</v>
      </c>
      <c r="AH59"/>
    </row>
    <row r="60" spans="1:52" ht="15" customHeight="1">
      <c r="B60" s="88"/>
      <c r="M60" s="74"/>
      <c r="O60" s="65"/>
      <c r="R60" s="693" t="s">
        <v>242</v>
      </c>
      <c r="S60" s="639">
        <f>スコア!R101</f>
        <v>3</v>
      </c>
      <c r="T60" s="455" t="str">
        <f>IF(S60=0,"N.A.","")</f>
        <v/>
      </c>
      <c r="U60" s="640" t="s">
        <v>243</v>
      </c>
      <c r="V60" s="625">
        <f>スコア!R108</f>
        <v>3</v>
      </c>
      <c r="W60" s="455" t="str">
        <f>IF(V60=0,"N.A.","")</f>
        <v/>
      </c>
      <c r="X60" s="693" t="s">
        <v>751</v>
      </c>
      <c r="Y60" s="625">
        <f>スコア!R128</f>
        <v>2</v>
      </c>
      <c r="Z60" s="455" t="str">
        <f>IF(Y60=0,"N.A.","")</f>
        <v/>
      </c>
      <c r="AA60" s="63"/>
      <c r="AB60" s="63"/>
      <c r="AC60" s="63"/>
      <c r="AD60" s="63"/>
      <c r="AE60" s="63"/>
      <c r="AF60" s="640" t="str">
        <f>スコア!C168</f>
        <v>環境のスマート化</v>
      </c>
      <c r="AG60" s="719">
        <f>スコア!J168</f>
        <v>3</v>
      </c>
      <c r="AH60"/>
    </row>
    <row r="61" spans="1:52" ht="15" customHeight="1">
      <c r="B61" s="88"/>
      <c r="M61" s="74"/>
      <c r="O61" s="65"/>
      <c r="R61" s="693" t="s">
        <v>245</v>
      </c>
      <c r="S61" s="639">
        <f>スコア!R102</f>
        <v>3</v>
      </c>
      <c r="T61" s="455" t="str">
        <f>IF(S61=0,"N.A.","")</f>
        <v/>
      </c>
      <c r="U61" s="640" t="s">
        <v>246</v>
      </c>
      <c r="V61" s="625">
        <f>スコア!R111</f>
        <v>3.1</v>
      </c>
      <c r="W61" s="455" t="str">
        <f>IF(V61=0,"N.A.","")</f>
        <v/>
      </c>
      <c r="X61" s="693" t="s">
        <v>247</v>
      </c>
      <c r="Y61" s="625">
        <f>スコア!R129</f>
        <v>3</v>
      </c>
      <c r="Z61" s="455" t="str">
        <f>IF(Y61=0,"N.A.","")</f>
        <v/>
      </c>
      <c r="AA61" s="63"/>
      <c r="AB61" s="63"/>
      <c r="AC61" s="63"/>
      <c r="AD61" s="63"/>
      <c r="AE61" s="63"/>
      <c r="AF61" s="640" t="str">
        <f>スコア!C170</f>
        <v>社会のスマート化</v>
      </c>
      <c r="AG61" s="719">
        <f>スコア!J170</f>
        <v>3</v>
      </c>
      <c r="AH61"/>
    </row>
    <row r="62" spans="1:52" ht="15" customHeight="1">
      <c r="B62" s="88"/>
      <c r="M62" s="74"/>
      <c r="O62" s="65"/>
      <c r="R62" s="693" t="s">
        <v>248</v>
      </c>
      <c r="S62" s="639">
        <f>スコア!R103</f>
        <v>3</v>
      </c>
      <c r="T62" s="455" t="str">
        <f>IF(S62=0,"N.A.","")</f>
        <v/>
      </c>
      <c r="U62" s="447" t="s">
        <v>249</v>
      </c>
      <c r="V62" s="625">
        <f>スコア!R119</f>
        <v>3</v>
      </c>
      <c r="W62" s="455" t="str">
        <f>IF(V62=0,"N.A.","")</f>
        <v/>
      </c>
      <c r="X62" s="693" t="s">
        <v>250</v>
      </c>
      <c r="Y62" s="625">
        <f>スコア!R136</f>
        <v>2.9</v>
      </c>
      <c r="Z62" s="455" t="str">
        <f>IF(Y62=0,"N.A.","")</f>
        <v/>
      </c>
      <c r="AA62" s="63"/>
      <c r="AB62" s="63"/>
      <c r="AC62" s="63"/>
      <c r="AD62" s="63"/>
      <c r="AE62" s="63"/>
      <c r="AF62" s="640" t="str">
        <f>スコア!L168</f>
        <v>経済のスマート化</v>
      </c>
      <c r="AG62" s="719">
        <f>スコア!R168</f>
        <v>3</v>
      </c>
      <c r="AH62"/>
    </row>
    <row r="63" spans="1:52" ht="15" customHeight="1">
      <c r="B63" s="88"/>
      <c r="M63" s="74"/>
      <c r="O63" s="65"/>
      <c r="R63" s="693" t="s">
        <v>251</v>
      </c>
      <c r="S63" s="639">
        <f>スコア!R104</f>
        <v>3</v>
      </c>
      <c r="T63" s="455" t="str">
        <f>IF(S63=0,"N.A.","")</f>
        <v/>
      </c>
      <c r="U63" s="63"/>
      <c r="V63" s="643"/>
      <c r="W63" s="643"/>
      <c r="X63" s="643"/>
      <c r="Y63" s="643"/>
      <c r="Z63" s="643"/>
      <c r="AA63" s="63"/>
      <c r="AB63" s="63"/>
      <c r="AC63" s="63"/>
      <c r="AD63" s="63"/>
      <c r="AE63" s="63"/>
      <c r="AH63"/>
    </row>
    <row r="64" spans="1:52" ht="15" customHeight="1" thickBot="1">
      <c r="B64" s="89"/>
      <c r="C64" s="90"/>
      <c r="D64" s="91"/>
      <c r="E64" s="90"/>
      <c r="F64" s="92"/>
      <c r="G64" s="92"/>
      <c r="H64" s="92"/>
      <c r="I64" s="92"/>
      <c r="J64" s="94"/>
      <c r="K64" s="94"/>
      <c r="L64" s="94"/>
      <c r="M64" s="649"/>
      <c r="N64" s="95"/>
      <c r="O64" s="96"/>
      <c r="R64"/>
      <c r="S64"/>
      <c r="T64"/>
      <c r="U64"/>
      <c r="V64"/>
      <c r="W64"/>
      <c r="X64"/>
      <c r="Y64"/>
      <c r="Z64"/>
      <c r="AA64"/>
      <c r="AB64"/>
      <c r="AC64"/>
      <c r="AD64"/>
      <c r="AE64"/>
      <c r="AF64"/>
      <c r="AG64"/>
      <c r="AH64"/>
      <c r="AI64"/>
      <c r="AJ64"/>
      <c r="AK64"/>
      <c r="AL64"/>
      <c r="AM64"/>
      <c r="AN64"/>
      <c r="AO64"/>
      <c r="AP64"/>
      <c r="AQ64"/>
      <c r="AR64"/>
      <c r="AS64"/>
      <c r="AT64"/>
      <c r="AU64"/>
      <c r="AV64"/>
    </row>
    <row r="65" spans="2:48" ht="3.6" customHeight="1" thickBot="1">
      <c r="B65" s="641"/>
      <c r="C65" s="85"/>
      <c r="D65" s="642"/>
      <c r="R65"/>
      <c r="S65"/>
      <c r="T65"/>
      <c r="U65"/>
      <c r="V65"/>
      <c r="W65"/>
      <c r="X65"/>
      <c r="Y65"/>
      <c r="Z65"/>
      <c r="AA65"/>
      <c r="AB65"/>
      <c r="AC65"/>
      <c r="AD65"/>
      <c r="AE65"/>
      <c r="AF65"/>
      <c r="AG65"/>
      <c r="AH65"/>
      <c r="AI65"/>
      <c r="AJ65"/>
      <c r="AK65"/>
      <c r="AL65"/>
      <c r="AM65"/>
      <c r="AN65"/>
      <c r="AO65"/>
      <c r="AP65"/>
      <c r="AQ65"/>
      <c r="AR65"/>
      <c r="AS65"/>
      <c r="AT65"/>
      <c r="AU65"/>
      <c r="AV65"/>
    </row>
    <row r="66" spans="2:48" customFormat="1" ht="15" customHeight="1">
      <c r="B66" s="98" t="s">
        <v>164</v>
      </c>
      <c r="C66" s="99"/>
      <c r="D66" s="100"/>
      <c r="E66" s="99"/>
      <c r="F66" s="99"/>
      <c r="G66" s="99"/>
      <c r="H66" s="101"/>
      <c r="I66" s="101"/>
      <c r="J66" s="99"/>
      <c r="K66" s="99"/>
      <c r="L66" s="99"/>
      <c r="M66" s="103"/>
      <c r="N66" s="103"/>
      <c r="O66" s="183"/>
    </row>
    <row r="67" spans="2:48" customFormat="1" ht="15" customHeight="1">
      <c r="B67" s="184" t="str">
        <f>配慮!B6</f>
        <v>総合</v>
      </c>
      <c r="C67" s="185"/>
      <c r="D67" s="186"/>
      <c r="E67" s="185"/>
      <c r="F67" s="185"/>
      <c r="G67" s="185"/>
      <c r="H67" s="185"/>
      <c r="I67" s="185"/>
      <c r="J67" s="185"/>
      <c r="K67" s="185"/>
      <c r="L67" s="818" t="str">
        <f>配慮!B13</f>
        <v>その他</v>
      </c>
      <c r="M67" s="189"/>
      <c r="N67" s="189"/>
      <c r="O67" s="190"/>
    </row>
    <row r="68" spans="2:48" customFormat="1" ht="28.2" customHeight="1">
      <c r="B68" s="1754" t="str">
        <f>IF(配慮!C6="","",配慮!C6)</f>
        <v/>
      </c>
      <c r="C68" s="1755"/>
      <c r="D68" s="1755"/>
      <c r="E68" s="1755"/>
      <c r="F68" s="1755"/>
      <c r="G68" s="1755"/>
      <c r="H68" s="1755"/>
      <c r="I68" s="1755"/>
      <c r="J68" s="1755"/>
      <c r="K68" s="1755"/>
      <c r="L68" s="1767" t="str">
        <f>IF(配慮!C13="","",配慮!C13)</f>
        <v/>
      </c>
      <c r="M68" s="1757"/>
      <c r="N68" s="1757"/>
      <c r="O68" s="1758"/>
    </row>
    <row r="69" spans="2:48" customFormat="1" ht="15" customHeight="1">
      <c r="B69" s="191" t="str">
        <f>配慮!B7</f>
        <v>Q-1 環境</v>
      </c>
      <c r="C69" s="189"/>
      <c r="D69" s="189"/>
      <c r="E69" s="189"/>
      <c r="F69" s="189"/>
      <c r="G69" s="192"/>
      <c r="H69" s="276" t="str">
        <f>配慮!B8</f>
        <v>Q-2 社会</v>
      </c>
      <c r="I69" s="278"/>
      <c r="J69" s="193"/>
      <c r="K69" s="193"/>
      <c r="L69" s="277" t="str">
        <f>配慮!B9</f>
        <v>Q-3 経済</v>
      </c>
      <c r="M69" s="195"/>
      <c r="N69" s="196"/>
      <c r="O69" s="197"/>
    </row>
    <row r="70" spans="2:48" customFormat="1" ht="29.4" customHeight="1">
      <c r="B70" s="1765" t="str">
        <f>IF(配慮!C7="","",配慮!C7)</f>
        <v/>
      </c>
      <c r="C70" s="1757"/>
      <c r="D70" s="1757"/>
      <c r="E70" s="1757"/>
      <c r="F70" s="1757"/>
      <c r="G70" s="1766"/>
      <c r="H70" s="1767" t="str">
        <f>IF(配慮!C8="","",配慮!C8)</f>
        <v/>
      </c>
      <c r="I70" s="1757"/>
      <c r="J70" s="1757"/>
      <c r="K70" s="1757"/>
      <c r="L70" s="1767" t="str">
        <f>IF(配慮!C9="","",配慮!C9)</f>
        <v/>
      </c>
      <c r="M70" s="1757"/>
      <c r="N70" s="1757"/>
      <c r="O70" s="1758"/>
    </row>
    <row r="71" spans="2:48" customFormat="1" ht="15" customHeight="1">
      <c r="B71" s="191" t="str">
        <f>配慮!B10</f>
        <v>LR-1 エネルギー</v>
      </c>
      <c r="C71" s="198"/>
      <c r="D71" s="186"/>
      <c r="E71" s="186"/>
      <c r="F71" s="186"/>
      <c r="G71" s="199"/>
      <c r="H71" s="278" t="str">
        <f>配慮!B11</f>
        <v>LR-2 資源</v>
      </c>
      <c r="I71" s="278"/>
      <c r="J71" s="189"/>
      <c r="K71" s="189"/>
      <c r="L71" s="277" t="str">
        <f>配慮!B12</f>
        <v>LR-3 周辺環境</v>
      </c>
      <c r="M71" s="198"/>
      <c r="N71" s="186"/>
      <c r="O71" s="200"/>
    </row>
    <row r="72" spans="2:48" customFormat="1" ht="28.95" customHeight="1" thickBot="1">
      <c r="B72" s="1768" t="str">
        <f>IF(配慮!C10="","",配慮!C10)</f>
        <v/>
      </c>
      <c r="C72" s="1769"/>
      <c r="D72" s="1769"/>
      <c r="E72" s="1769"/>
      <c r="F72" s="1769"/>
      <c r="G72" s="1770"/>
      <c r="H72" s="1771" t="str">
        <f>IF(配慮!C11="","",配慮!C11)</f>
        <v/>
      </c>
      <c r="I72" s="1769"/>
      <c r="J72" s="1769"/>
      <c r="K72" s="1769"/>
      <c r="L72" s="1771" t="str">
        <f>IF(配慮!C12="","",配慮!C12)</f>
        <v/>
      </c>
      <c r="M72" s="1769"/>
      <c r="N72" s="1769"/>
      <c r="O72" s="1772"/>
    </row>
    <row r="73" spans="2:48" customFormat="1" ht="7.2" customHeight="1" thickBot="1"/>
    <row r="74" spans="2:48" customFormat="1" ht="15" customHeight="1">
      <c r="B74" s="98" t="s">
        <v>171</v>
      </c>
      <c r="C74" s="99"/>
      <c r="D74" s="100"/>
      <c r="E74" s="99"/>
      <c r="F74" s="99"/>
      <c r="G74" s="99"/>
      <c r="H74" s="101"/>
      <c r="I74" s="101"/>
      <c r="J74" s="99"/>
      <c r="K74" s="99"/>
      <c r="L74" s="99"/>
      <c r="M74" s="103"/>
      <c r="N74" s="103"/>
      <c r="O74" s="183"/>
    </row>
    <row r="75" spans="2:48" customFormat="1" ht="15" customHeight="1">
      <c r="B75" s="1751" t="s">
        <v>172</v>
      </c>
      <c r="C75" s="1752"/>
      <c r="D75" s="1752"/>
      <c r="E75" s="1752"/>
      <c r="F75" s="1752"/>
      <c r="G75" s="1752"/>
      <c r="H75" s="1752"/>
      <c r="I75" s="1752"/>
      <c r="J75" s="1752"/>
      <c r="K75" s="1752"/>
      <c r="L75" s="1752"/>
      <c r="M75" s="1752"/>
      <c r="N75" s="1752"/>
      <c r="O75" s="1753"/>
    </row>
    <row r="76" spans="2:48" customFormat="1" ht="13.95" customHeight="1">
      <c r="B76" s="1759" t="str">
        <f>IF(メイン!C37="","",メイン!C37)</f>
        <v>○○○</v>
      </c>
      <c r="C76" s="1760"/>
      <c r="D76" s="1760"/>
      <c r="E76" s="1760"/>
      <c r="F76" s="1760"/>
      <c r="G76" s="1760"/>
      <c r="H76" s="1760"/>
      <c r="I76" s="1760"/>
      <c r="J76" s="1760"/>
      <c r="K76" s="1760"/>
      <c r="L76" s="1760"/>
      <c r="M76" s="1760"/>
      <c r="N76" s="1760"/>
      <c r="O76" s="1761"/>
    </row>
    <row r="77" spans="2:48" customFormat="1" ht="13.95" customHeight="1" thickBot="1">
      <c r="B77" s="1762" t="str">
        <f>IF(メイン!C38="","",メイン!C38)</f>
        <v>○○○</v>
      </c>
      <c r="C77" s="1763"/>
      <c r="D77" s="1763"/>
      <c r="E77" s="1763"/>
      <c r="F77" s="1763"/>
      <c r="G77" s="1763"/>
      <c r="H77" s="1763"/>
      <c r="I77" s="1763"/>
      <c r="J77" s="1763"/>
      <c r="K77" s="1763"/>
      <c r="L77" s="1763"/>
      <c r="M77" s="1763"/>
      <c r="N77" s="1763"/>
      <c r="O77" s="1764"/>
    </row>
    <row r="78" spans="2:48" customFormat="1" ht="6" customHeight="1"/>
    <row r="79" spans="2:48" customFormat="1" ht="13.95" customHeight="1">
      <c r="B79" s="307" t="s">
        <v>252</v>
      </c>
    </row>
    <row r="80" spans="2:48" customFormat="1" ht="13.95" customHeight="1">
      <c r="B80" s="307" t="s">
        <v>1225</v>
      </c>
    </row>
    <row r="81" spans="2:48" customFormat="1" ht="13.95" customHeight="1">
      <c r="B81" s="307"/>
    </row>
    <row r="82" spans="2:48" customFormat="1" ht="13.95" customHeight="1"/>
    <row r="83" spans="2:48" customFormat="1" ht="13.95" customHeight="1"/>
    <row r="84" spans="2:48" customFormat="1" ht="13.95" customHeight="1"/>
    <row r="85" spans="2:48" customFormat="1" ht="13.95" customHeight="1"/>
    <row r="86" spans="2:48" customFormat="1" ht="13.95" customHeight="1"/>
    <row r="87" spans="2:48" customFormat="1" ht="13.95" customHeight="1"/>
    <row r="88" spans="2:48" customFormat="1" ht="13.95" customHeight="1"/>
    <row r="89" spans="2:48" customFormat="1" ht="13.95" customHeight="1"/>
    <row r="90" spans="2:48" customFormat="1" ht="13.95" customHeight="1"/>
    <row r="91" spans="2:48" customFormat="1" ht="13.95" customHeight="1"/>
    <row r="92" spans="2:48" customFormat="1" ht="13.95" customHeight="1"/>
    <row r="93" spans="2:48" customFormat="1" ht="13.95" customHeight="1"/>
    <row r="94" spans="2:48" customFormat="1" ht="13.95" customHeight="1"/>
    <row r="95" spans="2:48" customFormat="1" ht="13.95" customHeight="1">
      <c r="R95" s="60"/>
      <c r="S95" s="644"/>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row>
    <row r="96" spans="2:48" customFormat="1" ht="13.95" customHeight="1">
      <c r="R96" s="60"/>
      <c r="S96" s="644"/>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row>
    <row r="97" spans="2:48" ht="13.95" customHeight="1">
      <c r="G97" s="133"/>
      <c r="L97" s="133"/>
      <c r="AF97" s="63"/>
      <c r="AG97" s="63"/>
      <c r="AH97" s="63"/>
      <c r="AI97" s="63"/>
      <c r="AJ97" s="63"/>
      <c r="AK97" s="63"/>
      <c r="AL97" s="63"/>
      <c r="AM97" s="63"/>
      <c r="AN97" s="63"/>
      <c r="AO97" s="63"/>
      <c r="AP97" s="63"/>
      <c r="AQ97" s="63"/>
      <c r="AR97" s="63"/>
      <c r="AS97" s="63"/>
      <c r="AT97" s="63"/>
      <c r="AU97" s="63"/>
      <c r="AV97" s="63"/>
    </row>
    <row r="98" spans="2:48" ht="13.95" customHeight="1">
      <c r="E98" s="64"/>
      <c r="F98" s="133"/>
      <c r="G98" s="133"/>
      <c r="H98" s="133"/>
      <c r="I98" s="133"/>
      <c r="L98" s="133"/>
      <c r="AF98" s="63"/>
      <c r="AG98" s="63"/>
      <c r="AH98" s="63"/>
      <c r="AI98" s="63"/>
      <c r="AJ98" s="63"/>
      <c r="AK98" s="63"/>
      <c r="AL98" s="63"/>
      <c r="AM98" s="63"/>
      <c r="AN98" s="63"/>
      <c r="AO98" s="63"/>
      <c r="AP98" s="63"/>
      <c r="AQ98" s="63"/>
      <c r="AR98" s="63"/>
      <c r="AS98" s="63"/>
      <c r="AT98" s="63"/>
      <c r="AU98" s="63"/>
      <c r="AV98" s="63"/>
    </row>
    <row r="99" spans="2:48" s="63" customFormat="1" ht="13.95" customHeight="1">
      <c r="B99" s="86"/>
      <c r="C99" s="122"/>
      <c r="D99" s="83"/>
      <c r="E99" s="64"/>
      <c r="F99" s="133"/>
      <c r="G99" s="133"/>
      <c r="H99" s="133"/>
      <c r="I99" s="133"/>
      <c r="J99" s="67"/>
      <c r="K99" s="67"/>
      <c r="L99" s="133"/>
      <c r="M99" s="64"/>
      <c r="N99" s="64"/>
      <c r="O99" s="64"/>
      <c r="R99" s="60"/>
      <c r="S99" s="644"/>
      <c r="T99" s="60"/>
      <c r="U99" s="60"/>
      <c r="V99" s="60"/>
      <c r="W99" s="60"/>
      <c r="X99" s="60"/>
      <c r="Y99" s="60"/>
      <c r="Z99" s="60"/>
      <c r="AA99" s="60"/>
      <c r="AB99" s="60"/>
      <c r="AC99" s="60"/>
      <c r="AD99" s="60"/>
      <c r="AE99" s="60"/>
    </row>
    <row r="100" spans="2:48" s="63" customFormat="1" ht="13.95" customHeight="1">
      <c r="B100" s="134"/>
      <c r="C100" s="135"/>
      <c r="D100" s="136"/>
      <c r="E100" s="64"/>
      <c r="F100" s="133"/>
      <c r="G100" s="131"/>
      <c r="H100" s="131"/>
      <c r="I100" s="131"/>
      <c r="J100" s="132"/>
      <c r="K100" s="132"/>
      <c r="L100" s="67"/>
      <c r="M100" s="64"/>
      <c r="N100" s="64"/>
      <c r="O100" s="64"/>
      <c r="R100" s="60"/>
      <c r="S100" s="644"/>
      <c r="T100" s="60"/>
      <c r="U100" s="60"/>
      <c r="V100" s="60"/>
      <c r="W100" s="60"/>
      <c r="X100" s="60"/>
      <c r="Y100" s="60"/>
      <c r="Z100" s="60"/>
      <c r="AA100" s="60"/>
      <c r="AB100" s="60"/>
      <c r="AC100" s="60"/>
      <c r="AD100" s="60"/>
      <c r="AE100" s="60"/>
    </row>
    <row r="101" spans="2:48" s="63" customFormat="1" ht="13.95" customHeight="1">
      <c r="B101" s="134"/>
      <c r="C101" s="134"/>
      <c r="D101" s="137"/>
      <c r="E101" s="84"/>
      <c r="F101" s="66"/>
      <c r="G101" s="131"/>
      <c r="H101" s="131"/>
      <c r="I101" s="131"/>
      <c r="J101" s="132"/>
      <c r="K101" s="132"/>
      <c r="L101" s="67"/>
      <c r="M101" s="64"/>
      <c r="N101" s="64"/>
      <c r="O101" s="64"/>
      <c r="R101" s="60"/>
      <c r="S101" s="644"/>
      <c r="T101" s="60"/>
      <c r="U101" s="60"/>
      <c r="V101" s="60"/>
      <c r="W101" s="60"/>
      <c r="X101" s="60"/>
      <c r="Y101" s="60"/>
      <c r="Z101" s="60"/>
      <c r="AA101" s="60"/>
      <c r="AB101" s="60"/>
      <c r="AC101" s="60"/>
      <c r="AD101" s="60"/>
      <c r="AE101" s="60"/>
    </row>
    <row r="102" spans="2:48" s="63" customFormat="1" ht="13.95" customHeight="1">
      <c r="B102" s="86"/>
      <c r="C102" s="86"/>
      <c r="D102" s="87"/>
      <c r="E102" s="84"/>
      <c r="F102" s="66"/>
      <c r="G102" s="66"/>
      <c r="H102" s="66"/>
      <c r="I102" s="66"/>
      <c r="J102" s="82"/>
      <c r="K102" s="82"/>
      <c r="L102" s="66"/>
      <c r="M102" s="64"/>
      <c r="N102" s="64"/>
      <c r="O102" s="64"/>
      <c r="R102" s="60"/>
      <c r="S102" s="644"/>
      <c r="T102" s="60"/>
      <c r="U102" s="60"/>
      <c r="V102" s="60"/>
      <c r="W102" s="60"/>
      <c r="X102" s="60"/>
      <c r="Y102" s="60"/>
      <c r="Z102" s="60"/>
      <c r="AA102" s="60"/>
      <c r="AB102" s="60"/>
      <c r="AC102" s="60"/>
      <c r="AD102" s="60"/>
      <c r="AE102" s="60"/>
    </row>
    <row r="103" spans="2:48" s="63" customFormat="1" ht="13.95" customHeight="1">
      <c r="B103" s="86"/>
      <c r="C103" s="86"/>
      <c r="D103" s="87"/>
      <c r="E103" s="84"/>
      <c r="F103" s="66"/>
      <c r="G103" s="66"/>
      <c r="H103" s="66"/>
      <c r="I103" s="66"/>
      <c r="J103" s="82"/>
      <c r="K103" s="82"/>
      <c r="L103" s="66"/>
      <c r="M103" s="64"/>
      <c r="N103" s="64"/>
      <c r="O103" s="64"/>
      <c r="R103" s="60"/>
      <c r="S103" s="644"/>
      <c r="T103" s="60"/>
      <c r="U103" s="60"/>
      <c r="V103" s="60"/>
      <c r="W103" s="60"/>
      <c r="X103" s="60"/>
      <c r="Y103" s="60"/>
      <c r="Z103" s="60"/>
      <c r="AA103" s="60"/>
      <c r="AB103" s="60"/>
      <c r="AC103" s="60"/>
      <c r="AD103" s="60"/>
      <c r="AE103" s="60"/>
    </row>
    <row r="104" spans="2:48" s="63" customFormat="1" ht="13.95" customHeight="1">
      <c r="B104" s="86"/>
      <c r="C104" s="86"/>
      <c r="D104" s="87"/>
      <c r="E104" s="84"/>
      <c r="F104" s="66"/>
      <c r="G104" s="66"/>
      <c r="H104" s="66"/>
      <c r="I104" s="66"/>
      <c r="J104" s="82"/>
      <c r="K104" s="82"/>
      <c r="L104" s="66"/>
      <c r="M104" s="64"/>
      <c r="N104" s="64"/>
      <c r="O104" s="64"/>
      <c r="R104" s="60"/>
      <c r="S104" s="644"/>
      <c r="T104" s="60"/>
      <c r="U104" s="60"/>
      <c r="V104" s="60"/>
      <c r="W104" s="60"/>
      <c r="X104" s="60"/>
      <c r="Y104" s="60"/>
      <c r="Z104" s="60"/>
      <c r="AA104" s="60"/>
      <c r="AB104" s="60"/>
      <c r="AC104" s="60"/>
      <c r="AD104" s="60"/>
      <c r="AE104" s="60"/>
    </row>
    <row r="105" spans="2:48" s="63" customFormat="1" ht="13.95" customHeight="1">
      <c r="B105" s="86"/>
      <c r="C105" s="86"/>
      <c r="D105" s="87"/>
      <c r="E105" s="84"/>
      <c r="F105" s="66"/>
      <c r="G105" s="66"/>
      <c r="H105" s="66"/>
      <c r="I105" s="66"/>
      <c r="J105" s="82"/>
      <c r="K105" s="82"/>
      <c r="L105" s="66"/>
      <c r="M105" s="64"/>
      <c r="N105" s="64"/>
      <c r="O105" s="64"/>
      <c r="R105" s="60"/>
      <c r="S105" s="644"/>
      <c r="T105" s="60"/>
      <c r="U105" s="60"/>
      <c r="V105" s="60"/>
      <c r="W105" s="60"/>
      <c r="X105" s="60"/>
      <c r="Y105" s="60"/>
      <c r="Z105" s="60"/>
      <c r="AA105" s="60"/>
      <c r="AB105" s="60"/>
      <c r="AC105" s="60"/>
      <c r="AD105" s="60"/>
      <c r="AE105" s="60"/>
    </row>
    <row r="106" spans="2:48" s="63" customFormat="1" ht="13.95" customHeight="1">
      <c r="B106" s="86"/>
      <c r="C106" s="86"/>
      <c r="D106" s="87"/>
      <c r="E106" s="84"/>
      <c r="F106" s="66"/>
      <c r="G106" s="66"/>
      <c r="H106" s="66"/>
      <c r="I106" s="66"/>
      <c r="J106" s="82"/>
      <c r="K106" s="82"/>
      <c r="L106" s="66"/>
      <c r="M106" s="64"/>
      <c r="N106" s="64"/>
      <c r="O106" s="64"/>
      <c r="R106" s="60"/>
      <c r="S106" s="644"/>
      <c r="T106" s="60"/>
      <c r="U106" s="60"/>
      <c r="V106" s="60"/>
      <c r="W106" s="60"/>
      <c r="X106" s="60"/>
      <c r="Y106" s="60"/>
      <c r="Z106" s="60"/>
      <c r="AA106" s="60"/>
      <c r="AB106" s="60"/>
      <c r="AC106" s="60"/>
      <c r="AD106" s="60"/>
      <c r="AE106" s="60"/>
    </row>
    <row r="107" spans="2:48" s="63" customFormat="1" ht="13.95" customHeight="1">
      <c r="B107" s="86"/>
      <c r="C107" s="86"/>
      <c r="D107" s="87"/>
      <c r="E107" s="84"/>
      <c r="F107" s="66"/>
      <c r="G107" s="66"/>
      <c r="H107" s="66"/>
      <c r="I107" s="66"/>
      <c r="J107" s="82"/>
      <c r="K107" s="82"/>
      <c r="L107" s="66"/>
      <c r="M107" s="64"/>
      <c r="N107" s="64"/>
      <c r="O107" s="64"/>
      <c r="R107" s="60"/>
      <c r="S107" s="644"/>
      <c r="T107" s="60"/>
      <c r="U107" s="60"/>
      <c r="V107" s="60"/>
      <c r="W107" s="60"/>
      <c r="X107" s="60"/>
      <c r="Y107" s="60"/>
      <c r="Z107" s="60"/>
      <c r="AA107" s="60"/>
      <c r="AB107" s="60"/>
      <c r="AC107" s="60"/>
      <c r="AD107" s="60"/>
      <c r="AE107" s="60"/>
    </row>
    <row r="108" spans="2:48" s="63" customFormat="1" ht="13.95" customHeight="1">
      <c r="B108" s="86"/>
      <c r="C108" s="86"/>
      <c r="D108" s="87"/>
      <c r="E108" s="84"/>
      <c r="F108" s="66"/>
      <c r="G108" s="66"/>
      <c r="H108" s="66"/>
      <c r="I108" s="66"/>
      <c r="J108" s="82"/>
      <c r="K108" s="82"/>
      <c r="L108" s="66"/>
      <c r="M108" s="64"/>
      <c r="N108" s="64"/>
      <c r="O108" s="64"/>
      <c r="R108" s="60"/>
      <c r="S108" s="644"/>
      <c r="T108" s="60"/>
      <c r="U108" s="60"/>
      <c r="V108" s="60"/>
      <c r="W108" s="60"/>
      <c r="X108" s="60"/>
      <c r="Y108" s="60"/>
      <c r="Z108" s="60"/>
      <c r="AA108" s="60"/>
      <c r="AB108" s="60"/>
      <c r="AC108" s="60"/>
      <c r="AD108" s="60"/>
      <c r="AE108" s="60"/>
    </row>
    <row r="109" spans="2:48" s="63" customFormat="1" ht="13.95" customHeight="1">
      <c r="B109" s="86"/>
      <c r="C109" s="86"/>
      <c r="D109" s="87"/>
      <c r="E109" s="84"/>
      <c r="F109" s="66"/>
      <c r="G109" s="66"/>
      <c r="H109" s="66"/>
      <c r="I109" s="66"/>
      <c r="J109" s="82"/>
      <c r="K109" s="82"/>
      <c r="L109" s="66"/>
      <c r="M109" s="64"/>
      <c r="N109" s="64"/>
      <c r="O109" s="64"/>
      <c r="R109" s="60"/>
      <c r="S109" s="644"/>
      <c r="T109" s="60"/>
      <c r="U109" s="60"/>
      <c r="V109" s="60"/>
      <c r="W109" s="60"/>
      <c r="X109" s="60"/>
      <c r="Y109" s="60"/>
      <c r="Z109" s="60"/>
      <c r="AA109" s="60"/>
      <c r="AB109" s="60"/>
      <c r="AC109" s="60"/>
      <c r="AD109" s="60"/>
      <c r="AE109" s="60"/>
    </row>
    <row r="110" spans="2:48" s="63" customFormat="1" ht="13.95" customHeight="1">
      <c r="B110" s="86"/>
      <c r="C110" s="86"/>
      <c r="D110" s="87"/>
      <c r="E110" s="84"/>
      <c r="F110" s="66"/>
      <c r="G110" s="66"/>
      <c r="H110" s="66"/>
      <c r="I110" s="66"/>
      <c r="J110" s="82"/>
      <c r="K110" s="82"/>
      <c r="L110" s="66"/>
      <c r="M110" s="64"/>
      <c r="N110" s="64"/>
      <c r="O110" s="64"/>
      <c r="R110" s="60"/>
      <c r="S110" s="644"/>
      <c r="T110" s="60"/>
      <c r="U110" s="60"/>
      <c r="V110" s="60"/>
      <c r="W110" s="60"/>
      <c r="X110" s="60"/>
      <c r="Y110" s="60"/>
      <c r="Z110" s="60"/>
      <c r="AA110" s="60"/>
      <c r="AB110" s="60"/>
      <c r="AC110" s="60"/>
      <c r="AD110" s="60"/>
      <c r="AE110" s="60"/>
    </row>
    <row r="111" spans="2:48" s="63" customFormat="1" ht="13.95" customHeight="1">
      <c r="B111" s="86"/>
      <c r="C111" s="86"/>
      <c r="D111" s="87"/>
      <c r="E111" s="84"/>
      <c r="F111" s="66"/>
      <c r="G111" s="66"/>
      <c r="H111" s="66"/>
      <c r="I111" s="66"/>
      <c r="J111" s="82"/>
      <c r="K111" s="82"/>
      <c r="L111" s="66"/>
      <c r="M111" s="64"/>
      <c r="N111" s="64"/>
      <c r="O111" s="64"/>
      <c r="R111" s="60"/>
      <c r="S111" s="644"/>
      <c r="T111" s="60"/>
      <c r="U111" s="60"/>
      <c r="V111" s="60"/>
      <c r="W111" s="60"/>
      <c r="X111" s="60"/>
      <c r="Y111" s="60"/>
      <c r="Z111" s="60"/>
      <c r="AA111" s="60"/>
      <c r="AB111" s="60"/>
      <c r="AC111" s="60"/>
      <c r="AD111" s="60"/>
      <c r="AE111" s="60"/>
    </row>
    <row r="112" spans="2:48" s="63" customFormat="1" ht="13.95" customHeight="1">
      <c r="B112" s="86"/>
      <c r="C112" s="86"/>
      <c r="D112" s="87"/>
      <c r="E112" s="84"/>
      <c r="F112" s="66"/>
      <c r="G112" s="66"/>
      <c r="H112" s="66"/>
      <c r="I112" s="66"/>
      <c r="J112" s="82"/>
      <c r="K112" s="82"/>
      <c r="L112" s="66"/>
      <c r="M112" s="64"/>
      <c r="N112" s="64"/>
      <c r="O112" s="64"/>
      <c r="R112" s="60"/>
      <c r="S112" s="644"/>
      <c r="T112" s="60"/>
      <c r="U112" s="60"/>
      <c r="V112" s="60"/>
      <c r="W112" s="60"/>
      <c r="X112" s="60"/>
      <c r="Y112" s="60"/>
      <c r="Z112" s="60"/>
      <c r="AA112" s="60"/>
      <c r="AB112" s="60"/>
      <c r="AC112" s="60"/>
      <c r="AD112" s="60"/>
      <c r="AE112" s="60"/>
    </row>
    <row r="113" spans="2:31" s="63" customFormat="1" ht="13.95" customHeight="1">
      <c r="B113" s="86"/>
      <c r="C113" s="86"/>
      <c r="D113" s="87"/>
      <c r="E113" s="84"/>
      <c r="F113" s="66"/>
      <c r="G113" s="66"/>
      <c r="H113" s="66"/>
      <c r="I113" s="66"/>
      <c r="J113" s="82"/>
      <c r="K113" s="82"/>
      <c r="L113" s="66"/>
      <c r="M113" s="64"/>
      <c r="N113" s="64"/>
      <c r="O113" s="64"/>
      <c r="R113" s="60"/>
      <c r="S113" s="644"/>
      <c r="T113" s="60"/>
      <c r="U113" s="60"/>
      <c r="V113" s="60"/>
      <c r="W113" s="60"/>
      <c r="X113" s="60"/>
      <c r="Y113" s="60"/>
      <c r="Z113" s="60"/>
      <c r="AA113" s="60"/>
      <c r="AB113" s="60"/>
      <c r="AC113" s="60"/>
      <c r="AD113" s="60"/>
      <c r="AE113" s="60"/>
    </row>
    <row r="114" spans="2:31" s="63" customFormat="1" ht="13.95" customHeight="1">
      <c r="B114" s="86"/>
      <c r="C114" s="86"/>
      <c r="D114" s="87"/>
      <c r="E114" s="84"/>
      <c r="F114" s="66"/>
      <c r="G114" s="66"/>
      <c r="H114" s="66"/>
      <c r="I114" s="66"/>
      <c r="J114" s="82"/>
      <c r="K114" s="82"/>
      <c r="L114" s="66"/>
      <c r="M114" s="64"/>
      <c r="N114" s="64"/>
      <c r="O114" s="64"/>
      <c r="R114" s="60"/>
      <c r="S114" s="644"/>
      <c r="T114" s="60"/>
      <c r="U114" s="60"/>
      <c r="V114" s="60"/>
      <c r="W114" s="60"/>
      <c r="X114" s="60"/>
      <c r="Y114" s="60"/>
      <c r="Z114" s="60"/>
      <c r="AA114" s="60"/>
      <c r="AB114" s="60"/>
      <c r="AC114" s="60"/>
      <c r="AD114" s="60"/>
      <c r="AE114" s="60"/>
    </row>
    <row r="115" spans="2:31" s="63" customFormat="1" ht="13.95" customHeight="1">
      <c r="B115" s="86"/>
      <c r="C115" s="86"/>
      <c r="D115" s="87"/>
      <c r="E115" s="84"/>
      <c r="F115" s="66"/>
      <c r="G115" s="66"/>
      <c r="H115" s="66"/>
      <c r="I115" s="66"/>
      <c r="J115" s="82"/>
      <c r="K115" s="82"/>
      <c r="L115" s="66"/>
      <c r="M115" s="64"/>
      <c r="N115" s="64"/>
      <c r="O115" s="64"/>
      <c r="R115" s="60"/>
      <c r="S115" s="644"/>
      <c r="T115" s="60"/>
      <c r="U115" s="60"/>
      <c r="V115" s="60"/>
      <c r="W115" s="60"/>
      <c r="X115" s="60"/>
      <c r="Y115" s="60"/>
      <c r="Z115" s="60"/>
      <c r="AA115" s="60"/>
      <c r="AB115" s="60"/>
      <c r="AC115" s="60"/>
      <c r="AD115" s="60"/>
      <c r="AE115" s="60"/>
    </row>
    <row r="116" spans="2:31" s="63" customFormat="1" ht="13.95" customHeight="1">
      <c r="B116" s="86"/>
      <c r="C116" s="86"/>
      <c r="D116" s="87"/>
      <c r="E116" s="84"/>
      <c r="F116" s="66"/>
      <c r="G116" s="66"/>
      <c r="H116" s="66"/>
      <c r="I116" s="66"/>
      <c r="J116" s="82"/>
      <c r="K116" s="82"/>
      <c r="L116" s="66"/>
      <c r="M116" s="64"/>
      <c r="N116" s="64"/>
      <c r="O116" s="64"/>
      <c r="R116" s="60"/>
      <c r="S116" s="644"/>
      <c r="T116" s="60"/>
      <c r="U116" s="60"/>
      <c r="V116" s="60"/>
      <c r="W116" s="60"/>
      <c r="X116" s="60"/>
      <c r="Y116" s="60"/>
      <c r="Z116" s="60"/>
      <c r="AA116" s="60"/>
      <c r="AB116" s="60"/>
      <c r="AC116" s="60"/>
      <c r="AD116" s="60"/>
      <c r="AE116" s="60"/>
    </row>
    <row r="117" spans="2:31" s="63" customFormat="1" ht="13.95" customHeight="1">
      <c r="B117" s="86"/>
      <c r="C117" s="86"/>
      <c r="D117" s="87"/>
      <c r="E117" s="84"/>
      <c r="F117" s="66"/>
      <c r="G117" s="66"/>
      <c r="H117" s="66"/>
      <c r="I117" s="66"/>
      <c r="J117" s="82"/>
      <c r="K117" s="82"/>
      <c r="L117" s="66"/>
      <c r="M117" s="64"/>
      <c r="N117" s="64"/>
      <c r="O117" s="64"/>
      <c r="R117" s="60"/>
      <c r="S117" s="644"/>
      <c r="T117" s="60"/>
      <c r="U117" s="60"/>
      <c r="V117" s="60"/>
      <c r="W117" s="60"/>
      <c r="X117" s="60"/>
      <c r="Y117" s="60"/>
      <c r="Z117" s="60"/>
      <c r="AA117" s="60"/>
      <c r="AB117" s="60"/>
      <c r="AC117" s="60"/>
      <c r="AD117" s="60"/>
      <c r="AE117" s="60"/>
    </row>
    <row r="118" spans="2:31" s="63" customFormat="1" ht="13.95" customHeight="1">
      <c r="B118" s="86"/>
      <c r="C118" s="86"/>
      <c r="D118" s="87"/>
      <c r="E118" s="84"/>
      <c r="F118" s="66"/>
      <c r="G118" s="66"/>
      <c r="H118" s="66"/>
      <c r="I118" s="66"/>
      <c r="J118" s="82"/>
      <c r="K118" s="82"/>
      <c r="L118" s="66"/>
      <c r="M118" s="64"/>
      <c r="N118" s="64"/>
      <c r="O118" s="64"/>
      <c r="R118" s="60"/>
      <c r="S118" s="644"/>
      <c r="T118" s="60"/>
      <c r="U118" s="60"/>
      <c r="V118" s="60"/>
      <c r="W118" s="60"/>
      <c r="X118" s="60"/>
      <c r="Y118" s="60"/>
      <c r="Z118" s="60"/>
      <c r="AA118" s="60"/>
      <c r="AB118" s="60"/>
      <c r="AC118" s="60"/>
      <c r="AD118" s="60"/>
      <c r="AE118" s="60"/>
    </row>
    <row r="119" spans="2:31" s="63" customFormat="1" ht="13.95" customHeight="1">
      <c r="B119" s="86"/>
      <c r="C119" s="86"/>
      <c r="D119" s="87"/>
      <c r="E119" s="84"/>
      <c r="F119" s="66"/>
      <c r="G119" s="66"/>
      <c r="H119" s="66"/>
      <c r="I119" s="66"/>
      <c r="J119" s="82"/>
      <c r="K119" s="82"/>
      <c r="L119" s="66"/>
      <c r="M119" s="64"/>
      <c r="N119" s="64"/>
      <c r="O119" s="64"/>
      <c r="R119" s="60"/>
      <c r="S119" s="644"/>
      <c r="T119" s="60"/>
      <c r="U119" s="60"/>
      <c r="V119" s="60"/>
      <c r="W119" s="60"/>
      <c r="X119" s="60"/>
      <c r="Y119" s="60"/>
      <c r="Z119" s="60"/>
      <c r="AA119" s="60"/>
      <c r="AB119" s="60"/>
      <c r="AC119" s="60"/>
      <c r="AD119" s="60"/>
      <c r="AE119" s="60"/>
    </row>
    <row r="120" spans="2:31" s="63" customFormat="1" ht="13.95" customHeight="1">
      <c r="B120" s="86"/>
      <c r="C120" s="86"/>
      <c r="D120" s="87"/>
      <c r="E120" s="84"/>
      <c r="F120" s="66"/>
      <c r="G120" s="66"/>
      <c r="H120" s="66"/>
      <c r="I120" s="66"/>
      <c r="J120" s="82"/>
      <c r="K120" s="82"/>
      <c r="L120" s="66"/>
      <c r="M120" s="64"/>
      <c r="N120" s="64"/>
      <c r="O120" s="64"/>
      <c r="R120" s="60"/>
      <c r="S120" s="644"/>
      <c r="T120" s="60"/>
      <c r="U120" s="60"/>
      <c r="V120" s="60"/>
      <c r="W120" s="60"/>
      <c r="X120" s="60"/>
      <c r="Y120" s="60"/>
      <c r="Z120" s="60"/>
      <c r="AA120" s="60"/>
      <c r="AB120" s="60"/>
      <c r="AC120" s="60"/>
      <c r="AD120" s="60"/>
      <c r="AE120" s="60"/>
    </row>
    <row r="121" spans="2:31" s="63" customFormat="1" ht="13.95" customHeight="1">
      <c r="B121" s="86"/>
      <c r="C121" s="86"/>
      <c r="D121" s="87"/>
      <c r="E121" s="84"/>
      <c r="F121" s="66"/>
      <c r="G121" s="66"/>
      <c r="H121" s="66"/>
      <c r="I121" s="66"/>
      <c r="J121" s="82"/>
      <c r="K121" s="82"/>
      <c r="L121" s="66"/>
      <c r="M121" s="64"/>
      <c r="N121" s="64"/>
      <c r="O121" s="64"/>
      <c r="R121" s="60"/>
      <c r="S121" s="644"/>
      <c r="T121" s="60"/>
      <c r="U121" s="60"/>
      <c r="V121" s="60"/>
      <c r="W121" s="60"/>
      <c r="X121" s="60"/>
      <c r="Y121" s="60"/>
      <c r="Z121" s="60"/>
      <c r="AA121" s="60"/>
      <c r="AB121" s="60"/>
      <c r="AC121" s="60"/>
      <c r="AD121" s="60"/>
      <c r="AE121" s="60"/>
    </row>
    <row r="122" spans="2:31" s="63" customFormat="1" ht="13.95" customHeight="1">
      <c r="B122" s="86"/>
      <c r="C122" s="86"/>
      <c r="D122" s="87"/>
      <c r="E122" s="84"/>
      <c r="F122" s="66"/>
      <c r="G122" s="66"/>
      <c r="H122" s="66"/>
      <c r="I122" s="66"/>
      <c r="J122" s="82"/>
      <c r="K122" s="82"/>
      <c r="L122" s="66"/>
      <c r="M122" s="64"/>
      <c r="N122" s="64"/>
      <c r="O122" s="64"/>
      <c r="R122" s="60"/>
      <c r="S122" s="644"/>
      <c r="T122" s="60"/>
      <c r="U122" s="60"/>
      <c r="V122" s="60"/>
      <c r="W122" s="60"/>
      <c r="X122" s="60"/>
      <c r="Y122" s="60"/>
      <c r="Z122" s="60"/>
      <c r="AA122" s="60"/>
      <c r="AB122" s="60"/>
      <c r="AC122" s="60"/>
      <c r="AD122" s="60"/>
      <c r="AE122" s="60"/>
    </row>
    <row r="123" spans="2:31" s="63" customFormat="1" ht="13.95" customHeight="1">
      <c r="B123" s="86"/>
      <c r="C123" s="86"/>
      <c r="D123" s="87"/>
      <c r="E123" s="84"/>
      <c r="F123" s="66"/>
      <c r="G123" s="66"/>
      <c r="H123" s="66"/>
      <c r="I123" s="66"/>
      <c r="J123" s="82"/>
      <c r="K123" s="82"/>
      <c r="L123" s="66"/>
      <c r="M123" s="64"/>
      <c r="N123" s="64"/>
      <c r="O123" s="64"/>
      <c r="R123" s="60"/>
      <c r="S123" s="644"/>
      <c r="T123" s="60"/>
      <c r="U123" s="60"/>
      <c r="V123" s="60"/>
      <c r="W123" s="60"/>
      <c r="X123" s="60"/>
      <c r="Y123" s="60"/>
      <c r="Z123" s="60"/>
      <c r="AA123" s="60"/>
      <c r="AB123" s="60"/>
      <c r="AC123" s="60"/>
      <c r="AD123" s="60"/>
      <c r="AE123" s="60"/>
    </row>
    <row r="124" spans="2:31" s="63" customFormat="1" ht="13.95" customHeight="1">
      <c r="B124" s="86"/>
      <c r="C124" s="86"/>
      <c r="D124" s="87"/>
      <c r="E124" s="84"/>
      <c r="F124" s="66"/>
      <c r="G124" s="66"/>
      <c r="H124" s="66"/>
      <c r="I124" s="66"/>
      <c r="J124" s="82"/>
      <c r="K124" s="82"/>
      <c r="L124" s="66"/>
      <c r="M124" s="64"/>
      <c r="N124" s="64"/>
      <c r="O124" s="64"/>
      <c r="R124" s="60"/>
      <c r="S124" s="644"/>
      <c r="T124" s="60"/>
      <c r="U124" s="60"/>
      <c r="V124" s="60"/>
      <c r="W124" s="60"/>
      <c r="X124" s="60"/>
      <c r="Y124" s="60"/>
      <c r="Z124" s="60"/>
      <c r="AA124" s="60"/>
      <c r="AB124" s="60"/>
      <c r="AC124" s="60"/>
      <c r="AD124" s="60"/>
      <c r="AE124" s="60"/>
    </row>
    <row r="125" spans="2:31" s="63" customFormat="1" ht="13.95" customHeight="1">
      <c r="B125" s="86"/>
      <c r="C125" s="86"/>
      <c r="D125" s="87"/>
      <c r="E125" s="84"/>
      <c r="F125" s="66"/>
      <c r="G125" s="66"/>
      <c r="H125" s="66"/>
      <c r="I125" s="66"/>
      <c r="J125" s="82"/>
      <c r="K125" s="82"/>
      <c r="L125" s="66"/>
      <c r="M125" s="64"/>
      <c r="N125" s="64"/>
      <c r="O125" s="64"/>
      <c r="R125" s="60"/>
      <c r="S125" s="644"/>
      <c r="T125" s="60"/>
      <c r="U125" s="60"/>
      <c r="V125" s="60"/>
      <c r="W125" s="60"/>
      <c r="X125" s="60"/>
      <c r="Y125" s="60"/>
      <c r="Z125" s="60"/>
      <c r="AA125" s="60"/>
      <c r="AB125" s="60"/>
      <c r="AC125" s="60"/>
      <c r="AD125" s="60"/>
      <c r="AE125" s="60"/>
    </row>
    <row r="126" spans="2:31" s="63" customFormat="1" ht="13.95" customHeight="1">
      <c r="B126" s="86"/>
      <c r="C126" s="86"/>
      <c r="D126" s="87"/>
      <c r="E126" s="84"/>
      <c r="F126" s="66"/>
      <c r="G126" s="66"/>
      <c r="H126" s="66"/>
      <c r="I126" s="66"/>
      <c r="J126" s="82"/>
      <c r="K126" s="82"/>
      <c r="L126" s="66"/>
      <c r="M126" s="64"/>
      <c r="N126" s="64"/>
      <c r="O126" s="64"/>
      <c r="R126" s="60"/>
      <c r="S126" s="644"/>
      <c r="T126" s="60"/>
      <c r="U126" s="60"/>
      <c r="V126" s="60"/>
      <c r="W126" s="60"/>
      <c r="X126" s="60"/>
      <c r="Y126" s="60"/>
      <c r="Z126" s="60"/>
      <c r="AA126" s="60"/>
      <c r="AB126" s="60"/>
      <c r="AC126" s="60"/>
      <c r="AD126" s="60"/>
      <c r="AE126" s="60"/>
    </row>
    <row r="127" spans="2:31" s="63" customFormat="1" ht="13.95" customHeight="1">
      <c r="B127" s="86"/>
      <c r="C127" s="86"/>
      <c r="D127" s="87"/>
      <c r="E127" s="84"/>
      <c r="F127" s="66"/>
      <c r="G127" s="66"/>
      <c r="H127" s="66"/>
      <c r="I127" s="66"/>
      <c r="J127" s="82"/>
      <c r="K127" s="82"/>
      <c r="L127" s="66"/>
      <c r="M127" s="64"/>
      <c r="N127" s="64"/>
      <c r="O127" s="64"/>
      <c r="R127" s="60"/>
      <c r="S127" s="644"/>
      <c r="T127" s="60"/>
      <c r="U127" s="60"/>
      <c r="V127" s="60"/>
      <c r="W127" s="60"/>
      <c r="X127" s="60"/>
      <c r="Y127" s="60"/>
      <c r="Z127" s="60"/>
      <c r="AA127" s="60"/>
      <c r="AB127" s="60"/>
      <c r="AC127" s="60"/>
      <c r="AD127" s="60"/>
      <c r="AE127" s="60"/>
    </row>
    <row r="128" spans="2:31" s="63" customFormat="1" ht="13.95" customHeight="1">
      <c r="B128" s="86"/>
      <c r="C128" s="86"/>
      <c r="D128" s="87"/>
      <c r="E128" s="84"/>
      <c r="F128" s="66"/>
      <c r="G128" s="66"/>
      <c r="H128" s="66"/>
      <c r="I128" s="66"/>
      <c r="J128" s="82"/>
      <c r="K128" s="82"/>
      <c r="L128" s="66"/>
      <c r="M128" s="64"/>
      <c r="N128" s="64"/>
      <c r="O128" s="64"/>
      <c r="R128" s="60"/>
      <c r="S128" s="644"/>
      <c r="T128" s="60"/>
      <c r="U128" s="60"/>
      <c r="V128" s="60"/>
      <c r="W128" s="60"/>
      <c r="X128" s="60"/>
      <c r="Y128" s="60"/>
      <c r="Z128" s="60"/>
      <c r="AA128" s="60"/>
      <c r="AB128" s="60"/>
      <c r="AC128" s="60"/>
      <c r="AD128" s="60"/>
      <c r="AE128" s="60"/>
    </row>
    <row r="129" spans="2:31" s="63" customFormat="1" ht="13.95" customHeight="1">
      <c r="B129" s="86"/>
      <c r="C129" s="86"/>
      <c r="D129" s="87"/>
      <c r="E129" s="84"/>
      <c r="F129" s="66"/>
      <c r="G129" s="66"/>
      <c r="H129" s="66"/>
      <c r="I129" s="66"/>
      <c r="J129" s="82"/>
      <c r="K129" s="82"/>
      <c r="L129" s="66"/>
      <c r="M129" s="64"/>
      <c r="N129" s="64"/>
      <c r="O129" s="64"/>
      <c r="R129" s="60"/>
      <c r="S129" s="644"/>
      <c r="T129" s="60"/>
      <c r="U129" s="60"/>
      <c r="V129" s="60"/>
      <c r="W129" s="60"/>
      <c r="X129" s="60"/>
      <c r="Y129" s="60"/>
      <c r="Z129" s="60"/>
      <c r="AA129" s="60"/>
      <c r="AB129" s="60"/>
      <c r="AC129" s="60"/>
      <c r="AD129" s="60"/>
      <c r="AE129" s="60"/>
    </row>
    <row r="130" spans="2:31" s="63" customFormat="1" ht="13.95" customHeight="1">
      <c r="B130" s="86"/>
      <c r="C130" s="86"/>
      <c r="D130" s="87"/>
      <c r="E130" s="84"/>
      <c r="F130" s="66"/>
      <c r="G130" s="66"/>
      <c r="H130" s="66"/>
      <c r="I130" s="66"/>
      <c r="J130" s="82"/>
      <c r="K130" s="82"/>
      <c r="L130" s="66"/>
      <c r="M130" s="64"/>
      <c r="N130" s="64"/>
      <c r="O130" s="64"/>
      <c r="R130" s="60"/>
      <c r="S130" s="644"/>
      <c r="T130" s="60"/>
      <c r="U130" s="60"/>
      <c r="V130" s="60"/>
      <c r="W130" s="60"/>
      <c r="X130" s="60"/>
      <c r="Y130" s="60"/>
      <c r="Z130" s="60"/>
      <c r="AA130" s="60"/>
      <c r="AB130" s="60"/>
      <c r="AC130" s="60"/>
      <c r="AD130" s="60"/>
      <c r="AE130" s="60"/>
    </row>
    <row r="131" spans="2:31" s="63" customFormat="1" ht="13.95" customHeight="1">
      <c r="B131" s="86"/>
      <c r="C131" s="86"/>
      <c r="D131" s="87"/>
      <c r="E131" s="84"/>
      <c r="F131" s="66"/>
      <c r="G131" s="66"/>
      <c r="H131" s="66"/>
      <c r="I131" s="66"/>
      <c r="J131" s="82"/>
      <c r="K131" s="82"/>
      <c r="L131" s="66"/>
      <c r="M131" s="64"/>
      <c r="N131" s="64"/>
      <c r="O131" s="64"/>
      <c r="R131" s="60"/>
      <c r="S131" s="644"/>
      <c r="T131" s="60"/>
      <c r="U131" s="60"/>
      <c r="V131" s="60"/>
      <c r="W131" s="60"/>
      <c r="X131" s="60"/>
      <c r="Y131" s="60"/>
      <c r="Z131" s="60"/>
      <c r="AA131" s="60"/>
      <c r="AB131" s="60"/>
      <c r="AC131" s="60"/>
      <c r="AD131" s="60"/>
      <c r="AE131" s="60"/>
    </row>
    <row r="132" spans="2:31" s="63" customFormat="1" ht="13.95" customHeight="1">
      <c r="B132" s="86"/>
      <c r="C132" s="86"/>
      <c r="D132" s="87"/>
      <c r="E132" s="84"/>
      <c r="F132" s="66"/>
      <c r="G132" s="66"/>
      <c r="H132" s="66"/>
      <c r="I132" s="66"/>
      <c r="J132" s="82"/>
      <c r="K132" s="82"/>
      <c r="L132" s="66"/>
      <c r="M132" s="64"/>
      <c r="N132" s="64"/>
      <c r="O132" s="64"/>
      <c r="R132" s="60"/>
      <c r="S132" s="644"/>
      <c r="T132" s="60"/>
      <c r="U132" s="60"/>
      <c r="V132" s="60"/>
      <c r="W132" s="60"/>
      <c r="X132" s="60"/>
      <c r="Y132" s="60"/>
      <c r="Z132" s="60"/>
      <c r="AA132" s="60"/>
      <c r="AB132" s="60"/>
      <c r="AC132" s="60"/>
      <c r="AD132" s="60"/>
      <c r="AE132" s="60"/>
    </row>
    <row r="133" spans="2:31" s="63" customFormat="1" ht="13.95" customHeight="1">
      <c r="B133" s="86"/>
      <c r="C133" s="86"/>
      <c r="D133" s="87"/>
      <c r="E133" s="84"/>
      <c r="F133" s="66"/>
      <c r="G133" s="66"/>
      <c r="H133" s="66"/>
      <c r="I133" s="66"/>
      <c r="J133" s="82"/>
      <c r="K133" s="82"/>
      <c r="L133" s="66"/>
      <c r="M133" s="64"/>
      <c r="N133" s="64"/>
      <c r="O133" s="64"/>
      <c r="R133" s="60"/>
      <c r="S133" s="644"/>
      <c r="T133" s="60"/>
      <c r="U133" s="60"/>
      <c r="V133" s="60"/>
      <c r="W133" s="60"/>
      <c r="X133" s="60"/>
      <c r="Y133" s="60"/>
      <c r="Z133" s="60"/>
      <c r="AA133" s="60"/>
      <c r="AB133" s="60"/>
      <c r="AC133" s="60"/>
      <c r="AD133" s="60"/>
      <c r="AE133" s="60"/>
    </row>
    <row r="134" spans="2:31" s="63" customFormat="1" ht="13.95" customHeight="1">
      <c r="B134" s="86"/>
      <c r="C134" s="86"/>
      <c r="D134" s="87"/>
      <c r="E134" s="84"/>
      <c r="F134" s="66"/>
      <c r="G134" s="66"/>
      <c r="H134" s="66"/>
      <c r="I134" s="66"/>
      <c r="J134" s="82"/>
      <c r="K134" s="82"/>
      <c r="L134" s="66"/>
      <c r="M134" s="64"/>
      <c r="N134" s="64"/>
      <c r="O134" s="64"/>
      <c r="R134" s="60"/>
      <c r="S134" s="644"/>
      <c r="T134" s="60"/>
      <c r="U134" s="60"/>
      <c r="V134" s="60"/>
      <c r="W134" s="60"/>
      <c r="X134" s="60"/>
      <c r="Y134" s="60"/>
      <c r="Z134" s="60"/>
      <c r="AA134" s="60"/>
      <c r="AB134" s="60"/>
      <c r="AC134" s="60"/>
      <c r="AD134" s="60"/>
      <c r="AE134" s="60"/>
    </row>
    <row r="135" spans="2:31" s="63" customFormat="1" ht="13.95" customHeight="1">
      <c r="B135" s="86"/>
      <c r="C135" s="86"/>
      <c r="D135" s="87"/>
      <c r="E135" s="84"/>
      <c r="F135" s="66"/>
      <c r="G135" s="66"/>
      <c r="H135" s="66"/>
      <c r="I135" s="66"/>
      <c r="J135" s="82"/>
      <c r="K135" s="82"/>
      <c r="L135" s="66"/>
      <c r="M135" s="64"/>
      <c r="N135" s="64"/>
      <c r="O135" s="64"/>
      <c r="R135" s="60"/>
      <c r="S135" s="644"/>
      <c r="T135" s="60"/>
      <c r="U135" s="60"/>
      <c r="V135" s="60"/>
      <c r="W135" s="60"/>
      <c r="X135" s="60"/>
      <c r="Y135" s="60"/>
      <c r="Z135" s="60"/>
      <c r="AA135" s="60"/>
      <c r="AB135" s="60"/>
      <c r="AC135" s="60"/>
      <c r="AD135" s="60"/>
      <c r="AE135" s="60"/>
    </row>
    <row r="136" spans="2:31" s="63" customFormat="1" ht="13.95" customHeight="1">
      <c r="B136" s="86"/>
      <c r="C136" s="86"/>
      <c r="D136" s="87"/>
      <c r="E136" s="84"/>
      <c r="F136" s="66"/>
      <c r="G136" s="66"/>
      <c r="H136" s="66"/>
      <c r="I136" s="66"/>
      <c r="J136" s="82"/>
      <c r="K136" s="82"/>
      <c r="L136" s="66"/>
      <c r="M136" s="64"/>
      <c r="N136" s="64"/>
      <c r="O136" s="64"/>
      <c r="R136" s="60"/>
      <c r="S136" s="644"/>
      <c r="T136" s="60"/>
      <c r="U136" s="60"/>
      <c r="V136" s="60"/>
      <c r="W136" s="60"/>
      <c r="X136" s="60"/>
      <c r="Y136" s="60"/>
      <c r="Z136" s="60"/>
      <c r="AA136" s="60"/>
      <c r="AB136" s="60"/>
      <c r="AC136" s="60"/>
      <c r="AD136" s="60"/>
      <c r="AE136" s="60"/>
    </row>
    <row r="137" spans="2:31" s="63" customFormat="1" ht="13.95" customHeight="1">
      <c r="B137" s="86"/>
      <c r="C137" s="86"/>
      <c r="D137" s="87"/>
      <c r="E137" s="84"/>
      <c r="F137" s="66"/>
      <c r="G137" s="66"/>
      <c r="H137" s="66"/>
      <c r="I137" s="66"/>
      <c r="J137" s="82"/>
      <c r="K137" s="82"/>
      <c r="L137" s="66"/>
      <c r="M137" s="64"/>
      <c r="N137" s="64"/>
      <c r="O137" s="64"/>
      <c r="R137" s="60"/>
      <c r="S137" s="644"/>
      <c r="T137" s="60"/>
      <c r="U137" s="60"/>
      <c r="V137" s="60"/>
      <c r="W137" s="60"/>
      <c r="X137" s="60"/>
      <c r="Y137" s="60"/>
      <c r="Z137" s="60"/>
      <c r="AA137" s="60"/>
      <c r="AB137" s="60"/>
      <c r="AC137" s="60"/>
      <c r="AD137" s="60"/>
      <c r="AE137" s="60"/>
    </row>
    <row r="138" spans="2:31" s="63" customFormat="1" ht="13.95" customHeight="1">
      <c r="B138" s="86"/>
      <c r="C138" s="86"/>
      <c r="D138" s="87"/>
      <c r="E138" s="84"/>
      <c r="F138" s="66"/>
      <c r="G138" s="66"/>
      <c r="H138" s="66"/>
      <c r="I138" s="66"/>
      <c r="J138" s="82"/>
      <c r="K138" s="82"/>
      <c r="L138" s="66"/>
      <c r="M138" s="64"/>
      <c r="N138" s="64"/>
      <c r="O138" s="64"/>
      <c r="R138" s="60"/>
      <c r="S138" s="644"/>
      <c r="T138" s="60"/>
      <c r="U138" s="60"/>
      <c r="V138" s="60"/>
      <c r="W138" s="60"/>
      <c r="X138" s="60"/>
      <c r="Y138" s="60"/>
      <c r="Z138" s="60"/>
      <c r="AA138" s="60"/>
      <c r="AB138" s="60"/>
      <c r="AC138" s="60"/>
      <c r="AD138" s="60"/>
      <c r="AE138" s="60"/>
    </row>
    <row r="139" spans="2:31" s="63" customFormat="1" ht="13.95" customHeight="1">
      <c r="B139" s="86"/>
      <c r="C139" s="86"/>
      <c r="D139" s="87"/>
      <c r="E139" s="84"/>
      <c r="F139" s="66"/>
      <c r="G139" s="66"/>
      <c r="H139" s="66"/>
      <c r="I139" s="66"/>
      <c r="J139" s="82"/>
      <c r="K139" s="82"/>
      <c r="L139" s="66"/>
      <c r="M139" s="64"/>
      <c r="N139" s="64"/>
      <c r="O139" s="64"/>
      <c r="R139" s="60"/>
      <c r="S139" s="644"/>
      <c r="T139" s="60"/>
      <c r="U139" s="60"/>
      <c r="V139" s="60"/>
      <c r="W139" s="60"/>
      <c r="X139" s="60"/>
      <c r="Y139" s="60"/>
      <c r="Z139" s="60"/>
      <c r="AA139" s="60"/>
      <c r="AB139" s="60"/>
      <c r="AC139" s="60"/>
      <c r="AD139" s="60"/>
      <c r="AE139" s="60"/>
    </row>
    <row r="140" spans="2:31" s="63" customFormat="1" ht="13.95" customHeight="1">
      <c r="B140" s="86"/>
      <c r="C140" s="86"/>
      <c r="D140" s="87"/>
      <c r="E140" s="84"/>
      <c r="F140" s="66"/>
      <c r="G140" s="66"/>
      <c r="H140" s="66"/>
      <c r="I140" s="66"/>
      <c r="J140" s="82"/>
      <c r="K140" s="82"/>
      <c r="L140" s="66"/>
      <c r="M140" s="64"/>
      <c r="N140" s="64"/>
      <c r="O140" s="64"/>
      <c r="R140" s="60"/>
      <c r="S140" s="644"/>
      <c r="T140" s="60"/>
      <c r="U140" s="60"/>
      <c r="V140" s="60"/>
      <c r="W140" s="60"/>
      <c r="X140" s="60"/>
      <c r="Y140" s="60"/>
      <c r="Z140" s="60"/>
      <c r="AA140" s="60"/>
      <c r="AB140" s="60"/>
      <c r="AC140" s="60"/>
      <c r="AD140" s="60"/>
      <c r="AE140" s="60"/>
    </row>
    <row r="141" spans="2:31" s="63" customFormat="1" ht="13.95" customHeight="1">
      <c r="B141" s="86"/>
      <c r="C141" s="86"/>
      <c r="D141" s="87"/>
      <c r="E141" s="84"/>
      <c r="F141" s="66"/>
      <c r="G141" s="66"/>
      <c r="H141" s="66"/>
      <c r="I141" s="66"/>
      <c r="J141" s="82"/>
      <c r="K141" s="82"/>
      <c r="L141" s="66"/>
      <c r="M141" s="64"/>
      <c r="N141" s="64"/>
      <c r="O141" s="64"/>
      <c r="R141" s="60"/>
      <c r="S141" s="644"/>
      <c r="T141" s="60"/>
      <c r="U141" s="60"/>
      <c r="V141" s="60"/>
      <c r="W141" s="60"/>
      <c r="X141" s="60"/>
      <c r="Y141" s="60"/>
      <c r="Z141" s="60"/>
      <c r="AA141" s="60"/>
      <c r="AB141" s="60"/>
      <c r="AC141" s="60"/>
      <c r="AD141" s="60"/>
      <c r="AE141" s="60"/>
    </row>
    <row r="142" spans="2:31" s="63" customFormat="1" ht="13.95" customHeight="1">
      <c r="B142" s="86"/>
      <c r="C142" s="86"/>
      <c r="D142" s="87"/>
      <c r="E142" s="84"/>
      <c r="F142" s="66"/>
      <c r="G142" s="66"/>
      <c r="H142" s="66"/>
      <c r="I142" s="66"/>
      <c r="J142" s="82"/>
      <c r="K142" s="82"/>
      <c r="L142" s="66"/>
      <c r="M142" s="64"/>
      <c r="N142" s="64"/>
      <c r="O142" s="64"/>
      <c r="R142" s="60"/>
      <c r="S142" s="644"/>
      <c r="T142" s="60"/>
      <c r="U142" s="60"/>
      <c r="V142" s="60"/>
      <c r="W142" s="60"/>
      <c r="X142" s="60"/>
      <c r="Y142" s="60"/>
      <c r="Z142" s="60"/>
      <c r="AA142" s="60"/>
      <c r="AB142" s="60"/>
      <c r="AC142" s="60"/>
      <c r="AD142" s="60"/>
      <c r="AE142" s="60"/>
    </row>
    <row r="143" spans="2:31" s="63" customFormat="1" ht="13.95" customHeight="1">
      <c r="B143" s="86"/>
      <c r="C143" s="86"/>
      <c r="D143" s="87"/>
      <c r="E143" s="84"/>
      <c r="F143" s="66"/>
      <c r="G143" s="66"/>
      <c r="H143" s="66"/>
      <c r="I143" s="66"/>
      <c r="J143" s="82"/>
      <c r="K143" s="82"/>
      <c r="L143" s="66"/>
      <c r="M143" s="64"/>
      <c r="N143" s="64"/>
      <c r="O143" s="64"/>
      <c r="R143" s="60"/>
      <c r="S143" s="644"/>
      <c r="T143" s="60"/>
      <c r="U143" s="60"/>
      <c r="V143" s="60"/>
      <c r="W143" s="60"/>
      <c r="X143" s="60"/>
      <c r="Y143" s="60"/>
      <c r="Z143" s="60"/>
      <c r="AA143" s="60"/>
      <c r="AB143" s="60"/>
      <c r="AC143" s="60"/>
      <c r="AD143" s="60"/>
      <c r="AE143" s="60"/>
    </row>
    <row r="144" spans="2:31" s="63" customFormat="1" ht="13.95" customHeight="1">
      <c r="B144" s="86"/>
      <c r="C144" s="86"/>
      <c r="D144" s="87"/>
      <c r="E144" s="84"/>
      <c r="F144" s="66"/>
      <c r="G144" s="66"/>
      <c r="H144" s="66"/>
      <c r="I144" s="66"/>
      <c r="J144" s="82"/>
      <c r="K144" s="82"/>
      <c r="L144" s="66"/>
      <c r="M144" s="64"/>
      <c r="N144" s="64"/>
      <c r="O144" s="64"/>
      <c r="R144" s="60"/>
      <c r="S144" s="644"/>
      <c r="T144" s="60"/>
      <c r="U144" s="60"/>
      <c r="V144" s="60"/>
      <c r="W144" s="60"/>
      <c r="X144" s="60"/>
      <c r="Y144" s="60"/>
      <c r="Z144" s="60"/>
      <c r="AA144" s="60"/>
      <c r="AB144" s="60"/>
      <c r="AC144" s="60"/>
      <c r="AD144" s="60"/>
      <c r="AE144" s="60"/>
    </row>
    <row r="145" spans="2:31" s="63" customFormat="1" ht="13.95" customHeight="1">
      <c r="B145" s="86"/>
      <c r="C145" s="86"/>
      <c r="D145" s="87"/>
      <c r="E145" s="84"/>
      <c r="F145" s="66"/>
      <c r="G145" s="66"/>
      <c r="H145" s="66"/>
      <c r="I145" s="66"/>
      <c r="J145" s="82"/>
      <c r="K145" s="82"/>
      <c r="L145" s="66"/>
      <c r="M145" s="64"/>
      <c r="N145" s="64"/>
      <c r="O145" s="64"/>
      <c r="R145" s="60"/>
      <c r="S145" s="644"/>
      <c r="T145" s="60"/>
      <c r="U145" s="60"/>
      <c r="V145" s="60"/>
      <c r="W145" s="60"/>
      <c r="X145" s="60"/>
      <c r="Y145" s="60"/>
      <c r="Z145" s="60"/>
      <c r="AA145" s="60"/>
      <c r="AB145" s="60"/>
      <c r="AC145" s="60"/>
      <c r="AD145" s="60"/>
      <c r="AE145" s="60"/>
    </row>
    <row r="146" spans="2:31" s="63" customFormat="1" ht="13.95" customHeight="1">
      <c r="B146" s="86"/>
      <c r="C146" s="86"/>
      <c r="D146" s="87"/>
      <c r="E146" s="84"/>
      <c r="F146" s="66"/>
      <c r="G146" s="66"/>
      <c r="H146" s="66"/>
      <c r="I146" s="66"/>
      <c r="J146" s="82"/>
      <c r="K146" s="82"/>
      <c r="L146" s="66"/>
      <c r="M146" s="64"/>
      <c r="N146" s="64"/>
      <c r="O146" s="64"/>
      <c r="R146" s="60"/>
      <c r="S146" s="644"/>
      <c r="T146" s="60"/>
      <c r="U146" s="60"/>
      <c r="V146" s="60"/>
      <c r="W146" s="60"/>
      <c r="X146" s="60"/>
      <c r="Y146" s="60"/>
      <c r="Z146" s="60"/>
      <c r="AA146" s="60"/>
      <c r="AB146" s="60"/>
      <c r="AC146" s="60"/>
      <c r="AD146" s="60"/>
      <c r="AE146" s="60"/>
    </row>
    <row r="147" spans="2:31" s="63" customFormat="1" ht="13.95" customHeight="1">
      <c r="B147" s="86"/>
      <c r="C147" s="86"/>
      <c r="D147" s="87"/>
      <c r="E147" s="84"/>
      <c r="F147" s="66"/>
      <c r="G147" s="66"/>
      <c r="H147" s="66"/>
      <c r="I147" s="66"/>
      <c r="J147" s="82"/>
      <c r="K147" s="82"/>
      <c r="L147" s="66"/>
      <c r="M147" s="64"/>
      <c r="N147" s="64"/>
      <c r="O147" s="64"/>
      <c r="R147" s="60"/>
      <c r="S147" s="644"/>
      <c r="T147" s="60"/>
      <c r="U147" s="60"/>
      <c r="V147" s="60"/>
      <c r="W147" s="60"/>
      <c r="X147" s="60"/>
      <c r="Y147" s="60"/>
      <c r="Z147" s="60"/>
      <c r="AA147" s="60"/>
      <c r="AB147" s="60"/>
      <c r="AC147" s="60"/>
      <c r="AD147" s="60"/>
      <c r="AE147" s="60"/>
    </row>
    <row r="148" spans="2:31" s="63" customFormat="1" ht="13.95" customHeight="1">
      <c r="B148" s="86"/>
      <c r="C148" s="86"/>
      <c r="D148" s="87"/>
      <c r="E148" s="84"/>
      <c r="F148" s="66"/>
      <c r="G148" s="66"/>
      <c r="H148" s="66"/>
      <c r="I148" s="66"/>
      <c r="J148" s="82"/>
      <c r="K148" s="82"/>
      <c r="L148" s="66"/>
      <c r="M148" s="64"/>
      <c r="N148" s="64"/>
      <c r="O148" s="64"/>
      <c r="R148" s="60"/>
      <c r="S148" s="644"/>
      <c r="T148" s="60"/>
      <c r="U148" s="60"/>
      <c r="V148" s="60"/>
      <c r="W148" s="60"/>
      <c r="X148" s="60"/>
      <c r="Y148" s="60"/>
      <c r="Z148" s="60"/>
      <c r="AA148" s="60"/>
      <c r="AB148" s="60"/>
      <c r="AC148" s="60"/>
      <c r="AD148" s="60"/>
      <c r="AE148" s="60"/>
    </row>
    <row r="149" spans="2:31" s="63" customFormat="1" ht="13.95" customHeight="1">
      <c r="B149" s="86"/>
      <c r="C149" s="86"/>
      <c r="D149" s="87"/>
      <c r="E149" s="84"/>
      <c r="F149" s="66"/>
      <c r="G149" s="66"/>
      <c r="H149" s="66"/>
      <c r="I149" s="66"/>
      <c r="J149" s="82"/>
      <c r="K149" s="82"/>
      <c r="L149" s="66"/>
      <c r="M149" s="64"/>
      <c r="N149" s="64"/>
      <c r="O149" s="64"/>
      <c r="R149" s="60"/>
      <c r="S149" s="644"/>
      <c r="T149" s="60"/>
      <c r="U149" s="60"/>
      <c r="V149" s="60"/>
      <c r="W149" s="60"/>
      <c r="X149" s="60"/>
      <c r="Y149" s="60"/>
      <c r="Z149" s="60"/>
      <c r="AA149" s="60"/>
      <c r="AB149" s="60"/>
      <c r="AC149" s="60"/>
      <c r="AD149" s="60"/>
      <c r="AE149" s="60"/>
    </row>
    <row r="150" spans="2:31" s="63" customFormat="1" ht="13.95" customHeight="1">
      <c r="B150" s="86"/>
      <c r="C150" s="86"/>
      <c r="D150" s="87"/>
      <c r="E150" s="84"/>
      <c r="F150" s="66"/>
      <c r="G150" s="66"/>
      <c r="H150" s="66"/>
      <c r="I150" s="66"/>
      <c r="J150" s="82"/>
      <c r="K150" s="82"/>
      <c r="L150" s="66"/>
      <c r="M150" s="64"/>
      <c r="N150" s="64"/>
      <c r="O150" s="64"/>
      <c r="R150" s="60"/>
      <c r="S150" s="644"/>
      <c r="T150" s="60"/>
      <c r="U150" s="60"/>
      <c r="V150" s="60"/>
      <c r="W150" s="60"/>
      <c r="X150" s="60"/>
      <c r="Y150" s="60"/>
      <c r="Z150" s="60"/>
      <c r="AA150" s="60"/>
      <c r="AB150" s="60"/>
      <c r="AC150" s="60"/>
      <c r="AD150" s="60"/>
      <c r="AE150" s="60"/>
    </row>
    <row r="151" spans="2:31" s="63" customFormat="1" ht="13.95" customHeight="1">
      <c r="B151" s="86"/>
      <c r="C151" s="86"/>
      <c r="D151" s="87"/>
      <c r="E151" s="84"/>
      <c r="F151" s="66"/>
      <c r="G151" s="66"/>
      <c r="H151" s="66"/>
      <c r="I151" s="66"/>
      <c r="J151" s="82"/>
      <c r="K151" s="82"/>
      <c r="L151" s="66"/>
      <c r="M151" s="64"/>
      <c r="N151" s="64"/>
      <c r="O151" s="64"/>
      <c r="R151" s="60"/>
      <c r="S151" s="644"/>
      <c r="T151" s="60"/>
      <c r="U151" s="60"/>
      <c r="V151" s="60"/>
      <c r="W151" s="60"/>
      <c r="X151" s="60"/>
      <c r="Y151" s="60"/>
      <c r="Z151" s="60"/>
      <c r="AA151" s="60"/>
      <c r="AB151" s="60"/>
      <c r="AC151" s="60"/>
      <c r="AD151" s="60"/>
      <c r="AE151" s="60"/>
    </row>
    <row r="152" spans="2:31" s="63" customFormat="1" ht="13.95" customHeight="1">
      <c r="B152" s="86"/>
      <c r="C152" s="86"/>
      <c r="D152" s="87"/>
      <c r="E152" s="84"/>
      <c r="F152" s="66"/>
      <c r="G152" s="66"/>
      <c r="H152" s="66"/>
      <c r="I152" s="66"/>
      <c r="J152" s="82"/>
      <c r="K152" s="82"/>
      <c r="L152" s="66"/>
      <c r="M152" s="64"/>
      <c r="N152" s="64"/>
      <c r="O152" s="64"/>
      <c r="R152" s="60"/>
      <c r="S152" s="644"/>
      <c r="T152" s="60"/>
      <c r="U152" s="60"/>
      <c r="V152" s="60"/>
      <c r="W152" s="60"/>
      <c r="X152" s="60"/>
      <c r="Y152" s="60"/>
      <c r="Z152" s="60"/>
      <c r="AA152" s="60"/>
      <c r="AB152" s="60"/>
      <c r="AC152" s="60"/>
      <c r="AD152" s="60"/>
      <c r="AE152" s="60"/>
    </row>
    <row r="153" spans="2:31" s="63" customFormat="1" ht="13.95" customHeight="1">
      <c r="B153" s="86"/>
      <c r="C153" s="86"/>
      <c r="D153" s="87"/>
      <c r="E153" s="84"/>
      <c r="F153" s="66"/>
      <c r="G153" s="66"/>
      <c r="H153" s="66"/>
      <c r="I153" s="66"/>
      <c r="J153" s="82"/>
      <c r="K153" s="82"/>
      <c r="L153" s="66"/>
      <c r="M153" s="64"/>
      <c r="N153" s="64"/>
      <c r="O153" s="64"/>
      <c r="R153" s="60"/>
      <c r="S153" s="644"/>
      <c r="T153" s="60"/>
      <c r="U153" s="60"/>
      <c r="V153" s="60"/>
      <c r="W153" s="60"/>
      <c r="X153" s="60"/>
      <c r="Y153" s="60"/>
      <c r="Z153" s="60"/>
      <c r="AA153" s="60"/>
      <c r="AB153" s="60"/>
      <c r="AC153" s="60"/>
      <c r="AD153" s="60"/>
      <c r="AE153" s="60"/>
    </row>
    <row r="154" spans="2:31" s="63" customFormat="1" ht="13.95" customHeight="1">
      <c r="B154" s="86"/>
      <c r="C154" s="86"/>
      <c r="D154" s="87"/>
      <c r="E154" s="84"/>
      <c r="F154" s="66"/>
      <c r="G154" s="66"/>
      <c r="H154" s="66"/>
      <c r="I154" s="66"/>
      <c r="J154" s="82"/>
      <c r="K154" s="82"/>
      <c r="L154" s="66"/>
      <c r="M154" s="64"/>
      <c r="N154" s="64"/>
      <c r="O154" s="64"/>
      <c r="R154" s="60"/>
      <c r="S154" s="644"/>
      <c r="T154" s="60"/>
      <c r="U154" s="60"/>
      <c r="V154" s="60"/>
      <c r="W154" s="60"/>
      <c r="X154" s="60"/>
      <c r="Y154" s="60"/>
      <c r="Z154" s="60"/>
      <c r="AA154" s="60"/>
      <c r="AB154" s="60"/>
      <c r="AC154" s="60"/>
      <c r="AD154" s="60"/>
      <c r="AE154" s="60"/>
    </row>
    <row r="155" spans="2:31" s="63" customFormat="1" ht="13.95" customHeight="1">
      <c r="B155" s="86"/>
      <c r="C155" s="86"/>
      <c r="D155" s="87"/>
      <c r="E155" s="84"/>
      <c r="F155" s="66"/>
      <c r="G155" s="66"/>
      <c r="H155" s="66"/>
      <c r="I155" s="66"/>
      <c r="J155" s="82"/>
      <c r="K155" s="82"/>
      <c r="L155" s="66"/>
      <c r="M155" s="64"/>
      <c r="N155" s="64"/>
      <c r="O155" s="64"/>
      <c r="R155" s="60"/>
      <c r="S155" s="644"/>
      <c r="T155" s="60"/>
      <c r="U155" s="60"/>
      <c r="V155" s="60"/>
      <c r="W155" s="60"/>
      <c r="X155" s="60"/>
      <c r="Y155" s="60"/>
      <c r="Z155" s="60"/>
      <c r="AA155" s="60"/>
      <c r="AB155" s="60"/>
      <c r="AC155" s="60"/>
      <c r="AD155" s="60"/>
      <c r="AE155" s="60"/>
    </row>
    <row r="156" spans="2:31" s="63" customFormat="1" ht="13.95" customHeight="1">
      <c r="B156" s="86"/>
      <c r="C156" s="86"/>
      <c r="D156" s="87"/>
      <c r="E156" s="84"/>
      <c r="F156" s="66"/>
      <c r="G156" s="66"/>
      <c r="H156" s="66"/>
      <c r="I156" s="66"/>
      <c r="J156" s="82"/>
      <c r="K156" s="82"/>
      <c r="L156" s="66"/>
      <c r="M156" s="64"/>
      <c r="N156" s="64"/>
      <c r="O156" s="64"/>
      <c r="R156" s="60"/>
      <c r="S156" s="644"/>
      <c r="T156" s="60"/>
      <c r="U156" s="60"/>
      <c r="V156" s="60"/>
      <c r="W156" s="60"/>
      <c r="X156" s="60"/>
      <c r="Y156" s="60"/>
      <c r="Z156" s="60"/>
      <c r="AA156" s="60"/>
      <c r="AB156" s="60"/>
      <c r="AC156" s="60"/>
      <c r="AD156" s="60"/>
      <c r="AE156" s="60"/>
    </row>
    <row r="157" spans="2:31" s="63" customFormat="1" ht="13.95" customHeight="1">
      <c r="B157" s="86"/>
      <c r="C157" s="86"/>
      <c r="D157" s="87"/>
      <c r="E157" s="84"/>
      <c r="F157" s="66"/>
      <c r="G157" s="66"/>
      <c r="H157" s="66"/>
      <c r="I157" s="66"/>
      <c r="J157" s="82"/>
      <c r="K157" s="82"/>
      <c r="L157" s="66"/>
      <c r="M157" s="64"/>
      <c r="N157" s="64"/>
      <c r="O157" s="64"/>
      <c r="R157" s="60"/>
      <c r="S157" s="644"/>
      <c r="T157" s="60"/>
      <c r="U157" s="60"/>
      <c r="V157" s="60"/>
      <c r="W157" s="60"/>
      <c r="X157" s="60"/>
      <c r="Y157" s="60"/>
      <c r="Z157" s="60"/>
      <c r="AA157" s="60"/>
      <c r="AB157" s="60"/>
      <c r="AC157" s="60"/>
      <c r="AD157" s="60"/>
      <c r="AE157" s="60"/>
    </row>
    <row r="158" spans="2:31" s="63" customFormat="1" ht="13.95" customHeight="1">
      <c r="B158" s="86"/>
      <c r="C158" s="86"/>
      <c r="D158" s="87"/>
      <c r="E158" s="84"/>
      <c r="F158" s="66"/>
      <c r="G158" s="66"/>
      <c r="H158" s="66"/>
      <c r="I158" s="66"/>
      <c r="J158" s="82"/>
      <c r="K158" s="82"/>
      <c r="L158" s="66"/>
      <c r="M158" s="64"/>
      <c r="N158" s="64"/>
      <c r="O158" s="64"/>
      <c r="R158" s="60"/>
      <c r="S158" s="644"/>
      <c r="T158" s="60"/>
      <c r="U158" s="60"/>
      <c r="V158" s="60"/>
      <c r="W158" s="60"/>
      <c r="X158" s="60"/>
      <c r="Y158" s="60"/>
      <c r="Z158" s="60"/>
      <c r="AA158" s="60"/>
      <c r="AB158" s="60"/>
      <c r="AC158" s="60"/>
      <c r="AD158" s="60"/>
      <c r="AE158" s="60"/>
    </row>
    <row r="159" spans="2:31" s="63" customFormat="1" ht="13.95" customHeight="1">
      <c r="B159" s="86"/>
      <c r="C159" s="86"/>
      <c r="D159" s="87"/>
      <c r="E159" s="84"/>
      <c r="F159" s="66"/>
      <c r="G159" s="66"/>
      <c r="H159" s="66"/>
      <c r="I159" s="66"/>
      <c r="J159" s="82"/>
      <c r="K159" s="82"/>
      <c r="L159" s="66"/>
      <c r="M159" s="64"/>
      <c r="N159" s="64"/>
      <c r="O159" s="64"/>
      <c r="R159" s="60"/>
      <c r="S159" s="644"/>
      <c r="T159" s="60"/>
      <c r="U159" s="60"/>
      <c r="V159" s="60"/>
      <c r="W159" s="60"/>
      <c r="X159" s="60"/>
      <c r="Y159" s="60"/>
      <c r="Z159" s="60"/>
      <c r="AA159" s="60"/>
      <c r="AB159" s="60"/>
      <c r="AC159" s="60"/>
      <c r="AD159" s="60"/>
      <c r="AE159" s="60"/>
    </row>
    <row r="160" spans="2:31" s="63" customFormat="1" ht="13.95" customHeight="1">
      <c r="B160" s="86"/>
      <c r="C160" s="86"/>
      <c r="D160" s="87"/>
      <c r="E160" s="84"/>
      <c r="F160" s="66"/>
      <c r="G160" s="66"/>
      <c r="H160" s="66"/>
      <c r="I160" s="66"/>
      <c r="J160" s="82"/>
      <c r="K160" s="82"/>
      <c r="L160" s="66"/>
      <c r="M160" s="64"/>
      <c r="N160" s="64"/>
      <c r="O160" s="64"/>
      <c r="R160" s="60"/>
      <c r="S160" s="644"/>
      <c r="T160" s="60"/>
      <c r="U160" s="60"/>
      <c r="V160" s="60"/>
      <c r="W160" s="60"/>
      <c r="X160" s="60"/>
      <c r="Y160" s="60"/>
      <c r="Z160" s="60"/>
      <c r="AA160" s="60"/>
      <c r="AB160" s="60"/>
      <c r="AC160" s="60"/>
      <c r="AD160" s="60"/>
      <c r="AE160" s="60"/>
    </row>
    <row r="161" spans="2:31" s="63" customFormat="1" ht="13.95" customHeight="1">
      <c r="B161" s="86"/>
      <c r="C161" s="86"/>
      <c r="D161" s="87"/>
      <c r="E161" s="84"/>
      <c r="F161" s="66"/>
      <c r="G161" s="66"/>
      <c r="H161" s="66"/>
      <c r="I161" s="66"/>
      <c r="J161" s="82"/>
      <c r="K161" s="82"/>
      <c r="L161" s="66"/>
      <c r="M161" s="64"/>
      <c r="N161" s="64"/>
      <c r="O161" s="64"/>
      <c r="R161" s="60"/>
      <c r="S161" s="644"/>
      <c r="T161" s="60"/>
      <c r="U161" s="60"/>
      <c r="V161" s="60"/>
      <c r="W161" s="60"/>
      <c r="X161" s="60"/>
      <c r="Y161" s="60"/>
      <c r="Z161" s="60"/>
      <c r="AA161" s="60"/>
      <c r="AB161" s="60"/>
      <c r="AC161" s="60"/>
      <c r="AD161" s="60"/>
      <c r="AE161" s="60"/>
    </row>
    <row r="162" spans="2:31" s="63" customFormat="1" ht="13.95" customHeight="1">
      <c r="B162" s="86"/>
      <c r="C162" s="86"/>
      <c r="D162" s="87"/>
      <c r="E162" s="84"/>
      <c r="F162" s="66"/>
      <c r="G162" s="66"/>
      <c r="H162" s="66"/>
      <c r="I162" s="66"/>
      <c r="J162" s="82"/>
      <c r="K162" s="82"/>
      <c r="L162" s="66"/>
      <c r="M162" s="64"/>
      <c r="N162" s="64"/>
      <c r="O162" s="64"/>
      <c r="R162" s="60"/>
      <c r="S162" s="644"/>
      <c r="T162" s="60"/>
      <c r="U162" s="60"/>
      <c r="V162" s="60"/>
      <c r="W162" s="60"/>
      <c r="X162" s="60"/>
      <c r="Y162" s="60"/>
      <c r="Z162" s="60"/>
      <c r="AA162" s="60"/>
      <c r="AB162" s="60"/>
      <c r="AC162" s="60"/>
      <c r="AD162" s="60"/>
      <c r="AE162" s="60"/>
    </row>
    <row r="163" spans="2:31" s="63" customFormat="1" ht="13.95" customHeight="1">
      <c r="B163" s="86"/>
      <c r="C163" s="86"/>
      <c r="D163" s="87"/>
      <c r="E163" s="84"/>
      <c r="F163" s="66"/>
      <c r="G163" s="66"/>
      <c r="H163" s="66"/>
      <c r="I163" s="66"/>
      <c r="J163" s="82"/>
      <c r="K163" s="82"/>
      <c r="L163" s="66"/>
      <c r="M163" s="64"/>
      <c r="N163" s="64"/>
      <c r="O163" s="64"/>
      <c r="R163" s="60"/>
      <c r="S163" s="644"/>
      <c r="T163" s="60"/>
      <c r="U163" s="60"/>
      <c r="V163" s="60"/>
      <c r="W163" s="60"/>
      <c r="X163" s="60"/>
      <c r="Y163" s="60"/>
      <c r="Z163" s="60"/>
      <c r="AA163" s="60"/>
      <c r="AB163" s="60"/>
      <c r="AC163" s="60"/>
      <c r="AD163" s="60"/>
      <c r="AE163" s="60"/>
    </row>
    <row r="164" spans="2:31" s="63" customFormat="1" ht="13.95" customHeight="1">
      <c r="B164" s="86"/>
      <c r="C164" s="86"/>
      <c r="D164" s="87"/>
      <c r="E164" s="84"/>
      <c r="F164" s="66"/>
      <c r="G164" s="66"/>
      <c r="H164" s="66"/>
      <c r="I164" s="66"/>
      <c r="J164" s="82"/>
      <c r="K164" s="82"/>
      <c r="L164" s="66"/>
      <c r="M164" s="64"/>
      <c r="N164" s="64"/>
      <c r="O164" s="64"/>
      <c r="R164" s="60"/>
      <c r="S164" s="644"/>
      <c r="T164" s="60"/>
      <c r="U164" s="60"/>
      <c r="V164" s="60"/>
      <c r="W164" s="60"/>
      <c r="X164" s="60"/>
      <c r="Y164" s="60"/>
      <c r="Z164" s="60"/>
      <c r="AA164" s="60"/>
      <c r="AB164" s="60"/>
      <c r="AC164" s="60"/>
      <c r="AD164" s="60"/>
      <c r="AE164" s="60"/>
    </row>
    <row r="165" spans="2:31" s="63" customFormat="1" ht="13.95" customHeight="1">
      <c r="B165" s="86"/>
      <c r="C165" s="86"/>
      <c r="D165" s="87"/>
      <c r="E165" s="84"/>
      <c r="F165" s="66"/>
      <c r="G165" s="66"/>
      <c r="H165" s="66"/>
      <c r="I165" s="66"/>
      <c r="J165" s="82"/>
      <c r="K165" s="82"/>
      <c r="L165" s="66"/>
      <c r="M165" s="64"/>
      <c r="N165" s="64"/>
      <c r="O165" s="64"/>
      <c r="R165" s="60"/>
      <c r="S165" s="644"/>
      <c r="T165" s="60"/>
      <c r="U165" s="60"/>
      <c r="V165" s="60"/>
      <c r="W165" s="60"/>
      <c r="X165" s="60"/>
      <c r="Y165" s="60"/>
      <c r="Z165" s="60"/>
      <c r="AA165" s="60"/>
      <c r="AB165" s="60"/>
      <c r="AC165" s="60"/>
      <c r="AD165" s="60"/>
      <c r="AE165" s="60"/>
    </row>
    <row r="166" spans="2:31" s="63" customFormat="1" ht="13.95" customHeight="1">
      <c r="B166" s="86"/>
      <c r="C166" s="86"/>
      <c r="D166" s="87"/>
      <c r="E166" s="84"/>
      <c r="F166" s="66"/>
      <c r="G166" s="66"/>
      <c r="H166" s="66"/>
      <c r="I166" s="66"/>
      <c r="J166" s="82"/>
      <c r="K166" s="82"/>
      <c r="L166" s="66"/>
      <c r="M166" s="64"/>
      <c r="N166" s="64"/>
      <c r="O166" s="64"/>
      <c r="R166" s="60"/>
      <c r="S166" s="644"/>
      <c r="T166" s="60"/>
      <c r="U166" s="60"/>
      <c r="V166" s="60"/>
      <c r="W166" s="60"/>
      <c r="X166" s="60"/>
      <c r="Y166" s="60"/>
      <c r="Z166" s="60"/>
      <c r="AA166" s="60"/>
      <c r="AB166" s="60"/>
      <c r="AC166" s="60"/>
      <c r="AD166" s="60"/>
      <c r="AE166" s="60"/>
    </row>
    <row r="167" spans="2:31" s="63" customFormat="1" ht="13.95" customHeight="1">
      <c r="B167" s="86"/>
      <c r="C167" s="86"/>
      <c r="D167" s="87"/>
      <c r="E167" s="84"/>
      <c r="F167" s="66"/>
      <c r="G167" s="66"/>
      <c r="H167" s="66"/>
      <c r="I167" s="66"/>
      <c r="J167" s="82"/>
      <c r="K167" s="82"/>
      <c r="L167" s="66"/>
      <c r="M167" s="64"/>
      <c r="N167" s="64"/>
      <c r="O167" s="64"/>
      <c r="R167" s="60"/>
      <c r="S167" s="644"/>
      <c r="T167" s="60"/>
      <c r="U167" s="60"/>
      <c r="V167" s="60"/>
      <c r="W167" s="60"/>
      <c r="X167" s="60"/>
      <c r="Y167" s="60"/>
      <c r="Z167" s="60"/>
      <c r="AA167" s="60"/>
      <c r="AB167" s="60"/>
      <c r="AC167" s="60"/>
      <c r="AD167" s="60"/>
      <c r="AE167" s="60"/>
    </row>
    <row r="168" spans="2:31" s="63" customFormat="1" ht="13.95" customHeight="1">
      <c r="B168" s="86"/>
      <c r="C168" s="86"/>
      <c r="D168" s="87"/>
      <c r="E168" s="84"/>
      <c r="F168" s="66"/>
      <c r="G168" s="66"/>
      <c r="H168" s="66"/>
      <c r="I168" s="66"/>
      <c r="J168" s="82"/>
      <c r="K168" s="82"/>
      <c r="L168" s="66"/>
      <c r="M168" s="64"/>
      <c r="N168" s="64"/>
      <c r="O168" s="64"/>
      <c r="R168" s="60"/>
      <c r="S168" s="644"/>
      <c r="T168" s="60"/>
      <c r="U168" s="60"/>
      <c r="V168" s="60"/>
      <c r="W168" s="60"/>
      <c r="X168" s="60"/>
      <c r="Y168" s="60"/>
      <c r="Z168" s="60"/>
      <c r="AA168" s="60"/>
      <c r="AB168" s="60"/>
      <c r="AC168" s="60"/>
      <c r="AD168" s="60"/>
      <c r="AE168" s="60"/>
    </row>
    <row r="169" spans="2:31" s="63" customFormat="1" ht="13.95" customHeight="1">
      <c r="B169" s="86"/>
      <c r="C169" s="86"/>
      <c r="D169" s="87"/>
      <c r="E169" s="84"/>
      <c r="F169" s="66"/>
      <c r="G169" s="66"/>
      <c r="H169" s="66"/>
      <c r="I169" s="66"/>
      <c r="J169" s="82"/>
      <c r="K169" s="82"/>
      <c r="L169" s="66"/>
      <c r="M169" s="64"/>
      <c r="N169" s="64"/>
      <c r="O169" s="64"/>
      <c r="R169" s="60"/>
      <c r="S169" s="644"/>
      <c r="T169" s="60"/>
      <c r="U169" s="60"/>
      <c r="V169" s="60"/>
      <c r="W169" s="60"/>
      <c r="X169" s="60"/>
      <c r="Y169" s="60"/>
      <c r="Z169" s="60"/>
      <c r="AA169" s="60"/>
      <c r="AB169" s="60"/>
      <c r="AC169" s="60"/>
      <c r="AD169" s="60"/>
      <c r="AE169" s="60"/>
    </row>
    <row r="170" spans="2:31" s="63" customFormat="1" ht="13.95" customHeight="1">
      <c r="B170" s="86"/>
      <c r="C170" s="86"/>
      <c r="D170" s="87"/>
      <c r="E170" s="84"/>
      <c r="F170" s="66"/>
      <c r="G170" s="66"/>
      <c r="H170" s="66"/>
      <c r="I170" s="66"/>
      <c r="J170" s="82"/>
      <c r="K170" s="82"/>
      <c r="L170" s="66"/>
      <c r="M170" s="64"/>
      <c r="N170" s="64"/>
      <c r="O170" s="64"/>
      <c r="R170" s="60"/>
      <c r="S170" s="644"/>
      <c r="T170" s="60"/>
      <c r="U170" s="60"/>
      <c r="V170" s="60"/>
      <c r="W170" s="60"/>
      <c r="X170" s="60"/>
      <c r="Y170" s="60"/>
      <c r="Z170" s="60"/>
      <c r="AA170" s="60"/>
      <c r="AB170" s="60"/>
      <c r="AC170" s="60"/>
      <c r="AD170" s="60"/>
      <c r="AE170" s="60"/>
    </row>
    <row r="171" spans="2:31" s="63" customFormat="1" ht="13.95" customHeight="1">
      <c r="B171" s="86"/>
      <c r="C171" s="86"/>
      <c r="D171" s="87"/>
      <c r="E171" s="84"/>
      <c r="F171" s="66"/>
      <c r="G171" s="66"/>
      <c r="H171" s="66"/>
      <c r="I171" s="66"/>
      <c r="J171" s="82"/>
      <c r="K171" s="82"/>
      <c r="L171" s="66"/>
      <c r="M171" s="64"/>
      <c r="N171" s="64"/>
      <c r="O171" s="64"/>
      <c r="R171" s="60"/>
      <c r="S171" s="644"/>
      <c r="T171" s="60"/>
      <c r="U171" s="60"/>
      <c r="V171" s="60"/>
      <c r="W171" s="60"/>
      <c r="X171" s="60"/>
      <c r="Y171" s="60"/>
      <c r="Z171" s="60"/>
      <c r="AA171" s="60"/>
      <c r="AB171" s="60"/>
      <c r="AC171" s="60"/>
      <c r="AD171" s="60"/>
      <c r="AE171" s="60"/>
    </row>
    <row r="172" spans="2:31" s="63" customFormat="1" ht="13.95" customHeight="1">
      <c r="B172" s="86"/>
      <c r="C172" s="86"/>
      <c r="D172" s="87"/>
      <c r="E172" s="84"/>
      <c r="F172" s="66"/>
      <c r="G172" s="66"/>
      <c r="H172" s="66"/>
      <c r="I172" s="66"/>
      <c r="J172" s="82"/>
      <c r="K172" s="82"/>
      <c r="L172" s="66"/>
      <c r="M172" s="64"/>
      <c r="N172" s="64"/>
      <c r="O172" s="64"/>
      <c r="R172" s="60"/>
      <c r="S172" s="644"/>
      <c r="T172" s="60"/>
      <c r="U172" s="60"/>
      <c r="V172" s="60"/>
      <c r="W172" s="60"/>
      <c r="X172" s="60"/>
      <c r="Y172" s="60"/>
      <c r="Z172" s="60"/>
      <c r="AA172" s="60"/>
      <c r="AB172" s="60"/>
      <c r="AC172" s="60"/>
      <c r="AD172" s="60"/>
      <c r="AE172" s="60"/>
    </row>
    <row r="173" spans="2:31" s="63" customFormat="1" ht="13.95" customHeight="1">
      <c r="B173" s="86"/>
      <c r="C173" s="86"/>
      <c r="D173" s="87"/>
      <c r="E173" s="84"/>
      <c r="F173" s="66"/>
      <c r="G173" s="66"/>
      <c r="H173" s="66"/>
      <c r="I173" s="66"/>
      <c r="J173" s="82"/>
      <c r="K173" s="82"/>
      <c r="L173" s="66"/>
      <c r="M173" s="64"/>
      <c r="N173" s="64"/>
      <c r="O173" s="64"/>
      <c r="R173" s="60"/>
      <c r="S173" s="644"/>
      <c r="T173" s="60"/>
      <c r="U173" s="60"/>
      <c r="V173" s="60"/>
      <c r="W173" s="60"/>
      <c r="X173" s="60"/>
      <c r="Y173" s="60"/>
      <c r="Z173" s="60"/>
      <c r="AA173" s="60"/>
      <c r="AB173" s="60"/>
      <c r="AC173" s="60"/>
      <c r="AD173" s="60"/>
      <c r="AE173" s="60"/>
    </row>
    <row r="174" spans="2:31" s="63" customFormat="1" ht="13.95" customHeight="1">
      <c r="B174" s="86"/>
      <c r="C174" s="86"/>
      <c r="D174" s="87"/>
      <c r="E174" s="84"/>
      <c r="F174" s="66"/>
      <c r="G174" s="66"/>
      <c r="H174" s="66"/>
      <c r="I174" s="66"/>
      <c r="J174" s="82"/>
      <c r="K174" s="82"/>
      <c r="L174" s="66"/>
      <c r="M174" s="64"/>
      <c r="N174" s="64"/>
      <c r="O174" s="64"/>
      <c r="R174" s="60"/>
      <c r="S174" s="644"/>
      <c r="T174" s="60"/>
      <c r="U174" s="60"/>
      <c r="V174" s="60"/>
      <c r="W174" s="60"/>
      <c r="X174" s="60"/>
      <c r="Y174" s="60"/>
      <c r="Z174" s="60"/>
      <c r="AA174" s="60"/>
      <c r="AB174" s="60"/>
      <c r="AC174" s="60"/>
      <c r="AD174" s="60"/>
      <c r="AE174" s="60"/>
    </row>
    <row r="175" spans="2:31" s="63" customFormat="1" ht="13.95" customHeight="1">
      <c r="B175" s="86"/>
      <c r="C175" s="86"/>
      <c r="D175" s="87"/>
      <c r="E175" s="84"/>
      <c r="F175" s="66"/>
      <c r="G175" s="66"/>
      <c r="H175" s="66"/>
      <c r="I175" s="66"/>
      <c r="J175" s="82"/>
      <c r="K175" s="82"/>
      <c r="L175" s="66"/>
      <c r="M175" s="64"/>
      <c r="N175" s="64"/>
      <c r="O175" s="64"/>
      <c r="R175" s="60"/>
      <c r="S175" s="644"/>
      <c r="T175" s="60"/>
      <c r="U175" s="60"/>
      <c r="V175" s="60"/>
      <c r="W175" s="60"/>
      <c r="X175" s="60"/>
      <c r="Y175" s="60"/>
      <c r="Z175" s="60"/>
      <c r="AA175" s="60"/>
      <c r="AB175" s="60"/>
      <c r="AC175" s="60"/>
      <c r="AD175" s="60"/>
      <c r="AE175" s="60"/>
    </row>
    <row r="176" spans="2:31" s="63" customFormat="1" ht="13.95" customHeight="1">
      <c r="B176" s="86"/>
      <c r="C176" s="86"/>
      <c r="D176" s="87"/>
      <c r="E176" s="84"/>
      <c r="F176" s="66"/>
      <c r="G176" s="66"/>
      <c r="H176" s="66"/>
      <c r="I176" s="66"/>
      <c r="J176" s="82"/>
      <c r="K176" s="82"/>
      <c r="L176" s="66"/>
      <c r="M176" s="64"/>
      <c r="N176" s="64"/>
      <c r="O176" s="64"/>
      <c r="R176" s="60"/>
      <c r="S176" s="644"/>
      <c r="T176" s="60"/>
      <c r="U176" s="60"/>
      <c r="V176" s="60"/>
      <c r="W176" s="60"/>
      <c r="X176" s="60"/>
      <c r="Y176" s="60"/>
      <c r="Z176" s="60"/>
      <c r="AA176" s="60"/>
      <c r="AB176" s="60"/>
      <c r="AC176" s="60"/>
      <c r="AD176" s="60"/>
      <c r="AE176" s="60"/>
    </row>
    <row r="177" spans="2:31" s="63" customFormat="1" ht="13.95" customHeight="1">
      <c r="B177" s="86"/>
      <c r="C177" s="86"/>
      <c r="D177" s="87"/>
      <c r="E177" s="84"/>
      <c r="F177" s="66"/>
      <c r="G177" s="66"/>
      <c r="H177" s="66"/>
      <c r="I177" s="66"/>
      <c r="J177" s="82"/>
      <c r="K177" s="82"/>
      <c r="L177" s="66"/>
      <c r="M177" s="64"/>
      <c r="N177" s="64"/>
      <c r="O177" s="64"/>
      <c r="R177" s="60"/>
      <c r="S177" s="644"/>
      <c r="T177" s="60"/>
      <c r="U177" s="60"/>
      <c r="V177" s="60"/>
      <c r="W177" s="60"/>
      <c r="X177" s="60"/>
      <c r="Y177" s="60"/>
      <c r="Z177" s="60"/>
      <c r="AA177" s="60"/>
      <c r="AB177" s="60"/>
      <c r="AC177" s="60"/>
      <c r="AD177" s="60"/>
      <c r="AE177" s="60"/>
    </row>
    <row r="178" spans="2:31" s="63" customFormat="1" ht="13.95" customHeight="1">
      <c r="B178" s="86"/>
      <c r="C178" s="86"/>
      <c r="D178" s="87"/>
      <c r="E178" s="84"/>
      <c r="F178" s="66"/>
      <c r="G178" s="66"/>
      <c r="H178" s="66"/>
      <c r="I178" s="66"/>
      <c r="J178" s="82"/>
      <c r="K178" s="82"/>
      <c r="L178" s="66"/>
      <c r="M178" s="64"/>
      <c r="N178" s="64"/>
      <c r="O178" s="64"/>
      <c r="R178" s="60"/>
      <c r="S178" s="644"/>
      <c r="T178" s="60"/>
      <c r="U178" s="60"/>
      <c r="V178" s="60"/>
      <c r="W178" s="60"/>
      <c r="X178" s="60"/>
      <c r="Y178" s="60"/>
      <c r="Z178" s="60"/>
      <c r="AA178" s="60"/>
      <c r="AB178" s="60"/>
      <c r="AC178" s="60"/>
      <c r="AD178" s="60"/>
      <c r="AE178" s="60"/>
    </row>
    <row r="179" spans="2:31" s="63" customFormat="1" ht="13.95" customHeight="1">
      <c r="B179" s="86"/>
      <c r="C179" s="86"/>
      <c r="D179" s="87"/>
      <c r="E179" s="84"/>
      <c r="F179" s="66"/>
      <c r="G179" s="66"/>
      <c r="H179" s="66"/>
      <c r="I179" s="66"/>
      <c r="J179" s="82"/>
      <c r="K179" s="82"/>
      <c r="L179" s="66"/>
      <c r="M179" s="64"/>
      <c r="N179" s="64"/>
      <c r="O179" s="64"/>
      <c r="R179" s="60"/>
      <c r="S179" s="644"/>
      <c r="T179" s="60"/>
      <c r="U179" s="60"/>
      <c r="V179" s="60"/>
      <c r="W179" s="60"/>
      <c r="X179" s="60"/>
      <c r="Y179" s="60"/>
      <c r="Z179" s="60"/>
      <c r="AA179" s="60"/>
      <c r="AB179" s="60"/>
      <c r="AC179" s="60"/>
      <c r="AD179" s="60"/>
      <c r="AE179" s="60"/>
    </row>
    <row r="180" spans="2:31" s="63" customFormat="1" ht="13.95" customHeight="1">
      <c r="B180" s="86"/>
      <c r="C180" s="86"/>
      <c r="D180" s="87"/>
      <c r="E180" s="84"/>
      <c r="F180" s="66"/>
      <c r="G180" s="66"/>
      <c r="H180" s="66"/>
      <c r="I180" s="66"/>
      <c r="J180" s="82"/>
      <c r="K180" s="82"/>
      <c r="L180" s="66"/>
      <c r="M180" s="64"/>
      <c r="N180" s="64"/>
      <c r="O180" s="64"/>
      <c r="R180" s="60"/>
      <c r="S180" s="644"/>
      <c r="T180" s="60"/>
      <c r="U180" s="60"/>
      <c r="V180" s="60"/>
      <c r="W180" s="60"/>
      <c r="X180" s="60"/>
      <c r="Y180" s="60"/>
      <c r="Z180" s="60"/>
      <c r="AA180" s="60"/>
      <c r="AB180" s="60"/>
      <c r="AC180" s="60"/>
      <c r="AD180" s="60"/>
      <c r="AE180" s="60"/>
    </row>
    <row r="181" spans="2:31" s="63" customFormat="1" ht="13.95" customHeight="1">
      <c r="B181" s="86"/>
      <c r="C181" s="86"/>
      <c r="D181" s="87"/>
      <c r="E181" s="84"/>
      <c r="F181" s="66"/>
      <c r="G181" s="66"/>
      <c r="H181" s="66"/>
      <c r="I181" s="66"/>
      <c r="J181" s="82"/>
      <c r="K181" s="82"/>
      <c r="L181" s="66"/>
      <c r="M181" s="64"/>
      <c r="N181" s="64"/>
      <c r="O181" s="64"/>
      <c r="R181" s="60"/>
      <c r="S181" s="644"/>
      <c r="T181" s="60"/>
      <c r="U181" s="60"/>
      <c r="V181" s="60"/>
      <c r="W181" s="60"/>
      <c r="X181" s="60"/>
      <c r="Y181" s="60"/>
      <c r="Z181" s="60"/>
      <c r="AA181" s="60"/>
      <c r="AB181" s="60"/>
      <c r="AC181" s="60"/>
      <c r="AD181" s="60"/>
      <c r="AE181" s="60"/>
    </row>
    <row r="182" spans="2:31" s="63" customFormat="1" ht="13.95" customHeight="1">
      <c r="B182" s="86"/>
      <c r="C182" s="86"/>
      <c r="D182" s="87"/>
      <c r="E182" s="84"/>
      <c r="F182" s="66"/>
      <c r="G182" s="66"/>
      <c r="H182" s="66"/>
      <c r="I182" s="66"/>
      <c r="J182" s="82"/>
      <c r="K182" s="82"/>
      <c r="L182" s="66"/>
      <c r="M182" s="64"/>
      <c r="N182" s="64"/>
      <c r="O182" s="64"/>
      <c r="R182" s="60"/>
      <c r="S182" s="644"/>
      <c r="T182" s="60"/>
      <c r="U182" s="60"/>
      <c r="V182" s="60"/>
      <c r="W182" s="60"/>
      <c r="X182" s="60"/>
      <c r="Y182" s="60"/>
      <c r="Z182" s="60"/>
      <c r="AA182" s="60"/>
      <c r="AB182" s="60"/>
      <c r="AC182" s="60"/>
      <c r="AD182" s="60"/>
      <c r="AE182" s="60"/>
    </row>
    <row r="183" spans="2:31" s="63" customFormat="1" ht="13.95" customHeight="1">
      <c r="B183" s="86"/>
      <c r="C183" s="86"/>
      <c r="D183" s="87"/>
      <c r="E183" s="84"/>
      <c r="F183" s="66"/>
      <c r="G183" s="66"/>
      <c r="H183" s="66"/>
      <c r="I183" s="66"/>
      <c r="J183" s="82"/>
      <c r="K183" s="82"/>
      <c r="L183" s="66"/>
      <c r="M183" s="64"/>
      <c r="N183" s="64"/>
      <c r="O183" s="64"/>
      <c r="R183" s="60"/>
      <c r="S183" s="644"/>
      <c r="T183" s="60"/>
      <c r="U183" s="60"/>
      <c r="V183" s="60"/>
      <c r="W183" s="60"/>
      <c r="X183" s="60"/>
      <c r="Y183" s="60"/>
      <c r="Z183" s="60"/>
      <c r="AA183" s="60"/>
      <c r="AB183" s="60"/>
      <c r="AC183" s="60"/>
      <c r="AD183" s="60"/>
      <c r="AE183" s="60"/>
    </row>
    <row r="184" spans="2:31" s="63" customFormat="1" ht="13.95" customHeight="1">
      <c r="B184" s="86"/>
      <c r="C184" s="86"/>
      <c r="D184" s="87"/>
      <c r="E184" s="84"/>
      <c r="F184" s="66"/>
      <c r="G184" s="66"/>
      <c r="H184" s="66"/>
      <c r="I184" s="66"/>
      <c r="J184" s="82"/>
      <c r="K184" s="82"/>
      <c r="L184" s="66"/>
      <c r="M184" s="64"/>
      <c r="N184" s="64"/>
      <c r="O184" s="64"/>
      <c r="R184" s="60"/>
      <c r="S184" s="644"/>
      <c r="T184" s="60"/>
      <c r="U184" s="60"/>
      <c r="V184" s="60"/>
      <c r="W184" s="60"/>
      <c r="X184" s="60"/>
      <c r="Y184" s="60"/>
      <c r="Z184" s="60"/>
      <c r="AA184" s="60"/>
      <c r="AB184" s="60"/>
      <c r="AC184" s="60"/>
      <c r="AD184" s="60"/>
      <c r="AE184" s="60"/>
    </row>
    <row r="185" spans="2:31" s="63" customFormat="1" ht="13.95" customHeight="1">
      <c r="B185" s="86"/>
      <c r="C185" s="86"/>
      <c r="D185" s="87"/>
      <c r="E185" s="84"/>
      <c r="F185" s="66"/>
      <c r="G185" s="66"/>
      <c r="H185" s="66"/>
      <c r="I185" s="66"/>
      <c r="J185" s="82"/>
      <c r="K185" s="82"/>
      <c r="L185" s="66"/>
      <c r="M185" s="64"/>
      <c r="N185" s="64"/>
      <c r="O185" s="64"/>
      <c r="R185" s="60"/>
      <c r="S185" s="644"/>
      <c r="T185" s="60"/>
      <c r="U185" s="60"/>
      <c r="V185" s="60"/>
      <c r="W185" s="60"/>
      <c r="X185" s="60"/>
      <c r="Y185" s="60"/>
      <c r="Z185" s="60"/>
      <c r="AA185" s="60"/>
      <c r="AB185" s="60"/>
      <c r="AC185" s="60"/>
      <c r="AD185" s="60"/>
      <c r="AE185" s="60"/>
    </row>
    <row r="186" spans="2:31" s="63" customFormat="1" ht="13.95" customHeight="1">
      <c r="B186" s="86"/>
      <c r="C186" s="86"/>
      <c r="D186" s="87"/>
      <c r="E186" s="84"/>
      <c r="F186" s="66"/>
      <c r="G186" s="66"/>
      <c r="H186" s="66"/>
      <c r="I186" s="66"/>
      <c r="J186" s="82"/>
      <c r="K186" s="82"/>
      <c r="L186" s="66"/>
      <c r="M186" s="64"/>
      <c r="N186" s="64"/>
      <c r="O186" s="64"/>
      <c r="R186" s="60"/>
      <c r="S186" s="644"/>
      <c r="T186" s="60"/>
      <c r="U186" s="60"/>
      <c r="V186" s="60"/>
      <c r="W186" s="60"/>
      <c r="X186" s="60"/>
      <c r="Y186" s="60"/>
      <c r="Z186" s="60"/>
      <c r="AA186" s="60"/>
      <c r="AB186" s="60"/>
      <c r="AC186" s="60"/>
      <c r="AD186" s="60"/>
      <c r="AE186" s="60"/>
    </row>
    <row r="187" spans="2:31" s="63" customFormat="1" ht="13.95" customHeight="1">
      <c r="B187" s="86"/>
      <c r="C187" s="86"/>
      <c r="D187" s="87"/>
      <c r="E187" s="84"/>
      <c r="F187" s="66"/>
      <c r="G187" s="66"/>
      <c r="H187" s="66"/>
      <c r="I187" s="66"/>
      <c r="J187" s="82"/>
      <c r="K187" s="82"/>
      <c r="L187" s="66"/>
      <c r="M187" s="64"/>
      <c r="N187" s="64"/>
      <c r="O187" s="64"/>
      <c r="R187" s="60"/>
      <c r="S187" s="644"/>
      <c r="T187" s="60"/>
      <c r="U187" s="60"/>
      <c r="V187" s="60"/>
      <c r="W187" s="60"/>
      <c r="X187" s="60"/>
      <c r="Y187" s="60"/>
      <c r="Z187" s="60"/>
      <c r="AA187" s="60"/>
      <c r="AB187" s="60"/>
      <c r="AC187" s="60"/>
      <c r="AD187" s="60"/>
      <c r="AE187" s="60"/>
    </row>
    <row r="188" spans="2:31" s="63" customFormat="1" ht="13.95" customHeight="1">
      <c r="B188" s="86"/>
      <c r="C188" s="86"/>
      <c r="D188" s="87"/>
      <c r="E188" s="84"/>
      <c r="F188" s="66"/>
      <c r="G188" s="66"/>
      <c r="H188" s="66"/>
      <c r="I188" s="66"/>
      <c r="J188" s="82"/>
      <c r="K188" s="82"/>
      <c r="L188" s="66"/>
      <c r="M188" s="64"/>
      <c r="N188" s="64"/>
      <c r="O188" s="64"/>
      <c r="R188" s="60"/>
      <c r="S188" s="644"/>
      <c r="T188" s="60"/>
      <c r="U188" s="60"/>
      <c r="V188" s="60"/>
      <c r="W188" s="60"/>
      <c r="X188" s="60"/>
      <c r="Y188" s="60"/>
      <c r="Z188" s="60"/>
      <c r="AA188" s="60"/>
      <c r="AB188" s="60"/>
      <c r="AC188" s="60"/>
      <c r="AD188" s="60"/>
      <c r="AE188" s="60"/>
    </row>
    <row r="189" spans="2:31" s="63" customFormat="1" ht="13.95" customHeight="1">
      <c r="B189" s="86"/>
      <c r="C189" s="86"/>
      <c r="D189" s="87"/>
      <c r="E189" s="84"/>
      <c r="F189" s="66"/>
      <c r="G189" s="66"/>
      <c r="H189" s="66"/>
      <c r="I189" s="66"/>
      <c r="J189" s="82"/>
      <c r="K189" s="82"/>
      <c r="L189" s="66"/>
      <c r="M189" s="64"/>
      <c r="N189" s="64"/>
      <c r="O189" s="64"/>
      <c r="R189" s="60"/>
      <c r="S189" s="644"/>
      <c r="T189" s="60"/>
      <c r="U189" s="60"/>
      <c r="V189" s="60"/>
      <c r="W189" s="60"/>
      <c r="X189" s="60"/>
      <c r="Y189" s="60"/>
      <c r="Z189" s="60"/>
      <c r="AA189" s="60"/>
      <c r="AB189" s="60"/>
      <c r="AC189" s="60"/>
      <c r="AD189" s="60"/>
      <c r="AE189" s="60"/>
    </row>
    <row r="190" spans="2:31" s="63" customFormat="1" ht="13.95" customHeight="1">
      <c r="B190" s="86"/>
      <c r="C190" s="86"/>
      <c r="D190" s="87"/>
      <c r="E190" s="84"/>
      <c r="F190" s="66"/>
      <c r="G190" s="66"/>
      <c r="H190" s="66"/>
      <c r="I190" s="66"/>
      <c r="J190" s="82"/>
      <c r="K190" s="82"/>
      <c r="L190" s="66"/>
      <c r="M190" s="64"/>
      <c r="N190" s="64"/>
      <c r="O190" s="64"/>
      <c r="R190" s="60"/>
      <c r="S190" s="644"/>
      <c r="T190" s="60"/>
      <c r="U190" s="60"/>
      <c r="V190" s="60"/>
      <c r="W190" s="60"/>
      <c r="X190" s="60"/>
      <c r="Y190" s="60"/>
      <c r="Z190" s="60"/>
      <c r="AA190" s="60"/>
      <c r="AB190" s="60"/>
      <c r="AC190" s="60"/>
      <c r="AD190" s="60"/>
      <c r="AE190" s="60"/>
    </row>
    <row r="191" spans="2:31" s="63" customFormat="1" ht="13.95" customHeight="1">
      <c r="B191" s="86"/>
      <c r="C191" s="86"/>
      <c r="D191" s="87"/>
      <c r="E191" s="84"/>
      <c r="F191" s="66"/>
      <c r="G191" s="66"/>
      <c r="H191" s="66"/>
      <c r="I191" s="66"/>
      <c r="J191" s="82"/>
      <c r="K191" s="82"/>
      <c r="L191" s="66"/>
      <c r="M191" s="64"/>
      <c r="N191" s="64"/>
      <c r="O191" s="64"/>
      <c r="R191" s="60"/>
      <c r="S191" s="644"/>
      <c r="T191" s="60"/>
      <c r="U191" s="60"/>
      <c r="V191" s="60"/>
      <c r="W191" s="60"/>
      <c r="X191" s="60"/>
      <c r="Y191" s="60"/>
      <c r="Z191" s="60"/>
      <c r="AA191" s="60"/>
      <c r="AB191" s="60"/>
      <c r="AC191" s="60"/>
      <c r="AD191" s="60"/>
      <c r="AE191" s="60"/>
    </row>
    <row r="192" spans="2:31" s="63" customFormat="1" ht="13.95" customHeight="1">
      <c r="B192" s="86"/>
      <c r="C192" s="86"/>
      <c r="D192" s="87"/>
      <c r="E192" s="84"/>
      <c r="F192" s="66"/>
      <c r="G192" s="66"/>
      <c r="H192" s="66"/>
      <c r="I192" s="66"/>
      <c r="J192" s="82"/>
      <c r="K192" s="82"/>
      <c r="L192" s="66"/>
      <c r="M192" s="64"/>
      <c r="N192" s="64"/>
      <c r="O192" s="64"/>
      <c r="R192" s="60"/>
      <c r="S192" s="644"/>
      <c r="T192" s="60"/>
      <c r="U192" s="60"/>
      <c r="V192" s="60"/>
      <c r="W192" s="60"/>
      <c r="X192" s="60"/>
      <c r="Y192" s="60"/>
      <c r="Z192" s="60"/>
      <c r="AA192" s="60"/>
      <c r="AB192" s="60"/>
      <c r="AC192" s="60"/>
      <c r="AD192" s="60"/>
      <c r="AE192" s="60"/>
    </row>
    <row r="193" spans="2:31" s="63" customFormat="1" ht="13.95" customHeight="1">
      <c r="B193" s="86"/>
      <c r="C193" s="86"/>
      <c r="D193" s="87"/>
      <c r="E193" s="84"/>
      <c r="F193" s="66"/>
      <c r="G193" s="66"/>
      <c r="H193" s="66"/>
      <c r="I193" s="66"/>
      <c r="J193" s="82"/>
      <c r="K193" s="82"/>
      <c r="L193" s="66"/>
      <c r="M193" s="64"/>
      <c r="N193" s="64"/>
      <c r="O193" s="64"/>
      <c r="R193" s="60"/>
      <c r="S193" s="644"/>
      <c r="T193" s="60"/>
      <c r="U193" s="60"/>
      <c r="V193" s="60"/>
      <c r="W193" s="60"/>
      <c r="X193" s="60"/>
      <c r="Y193" s="60"/>
      <c r="Z193" s="60"/>
      <c r="AA193" s="60"/>
      <c r="AB193" s="60"/>
      <c r="AC193" s="60"/>
      <c r="AD193" s="60"/>
      <c r="AE193" s="60"/>
    </row>
    <row r="194" spans="2:31" s="63" customFormat="1" ht="13.95" customHeight="1">
      <c r="B194" s="86"/>
      <c r="C194" s="86"/>
      <c r="D194" s="87"/>
      <c r="E194" s="84"/>
      <c r="F194" s="66"/>
      <c r="G194" s="66"/>
      <c r="H194" s="66"/>
      <c r="I194" s="66"/>
      <c r="J194" s="82"/>
      <c r="K194" s="82"/>
      <c r="L194" s="66"/>
      <c r="M194" s="64"/>
      <c r="N194" s="64"/>
      <c r="O194" s="64"/>
      <c r="R194" s="60"/>
      <c r="S194" s="644"/>
      <c r="T194" s="60"/>
      <c r="U194" s="60"/>
      <c r="V194" s="60"/>
      <c r="W194" s="60"/>
      <c r="X194" s="60"/>
      <c r="Y194" s="60"/>
      <c r="Z194" s="60"/>
      <c r="AA194" s="60"/>
      <c r="AB194" s="60"/>
      <c r="AC194" s="60"/>
      <c r="AD194" s="60"/>
      <c r="AE194" s="60"/>
    </row>
    <row r="195" spans="2:31" s="63" customFormat="1" ht="13.95" customHeight="1">
      <c r="B195" s="86"/>
      <c r="C195" s="86"/>
      <c r="D195" s="87"/>
      <c r="E195" s="84"/>
      <c r="F195" s="66"/>
      <c r="G195" s="66"/>
      <c r="H195" s="66"/>
      <c r="I195" s="66"/>
      <c r="J195" s="82"/>
      <c r="K195" s="82"/>
      <c r="L195" s="66"/>
      <c r="M195" s="64"/>
      <c r="N195" s="64"/>
      <c r="O195" s="64"/>
      <c r="R195" s="60"/>
      <c r="S195" s="644"/>
      <c r="T195" s="60"/>
      <c r="U195" s="60"/>
      <c r="V195" s="60"/>
      <c r="W195" s="60"/>
      <c r="X195" s="60"/>
      <c r="Y195" s="60"/>
      <c r="Z195" s="60"/>
      <c r="AA195" s="60"/>
      <c r="AB195" s="60"/>
      <c r="AC195" s="60"/>
      <c r="AD195" s="60"/>
      <c r="AE195" s="60"/>
    </row>
    <row r="196" spans="2:31" s="63" customFormat="1" ht="13.95" customHeight="1">
      <c r="B196" s="86"/>
      <c r="C196" s="86"/>
      <c r="D196" s="87"/>
      <c r="E196" s="84"/>
      <c r="F196" s="66"/>
      <c r="G196" s="66"/>
      <c r="H196" s="66"/>
      <c r="I196" s="66"/>
      <c r="J196" s="82"/>
      <c r="K196" s="82"/>
      <c r="L196" s="66"/>
      <c r="M196" s="64"/>
      <c r="N196" s="64"/>
      <c r="O196" s="64"/>
      <c r="R196" s="60"/>
      <c r="S196" s="644"/>
      <c r="T196" s="60"/>
      <c r="U196" s="60"/>
      <c r="V196" s="60"/>
      <c r="W196" s="60"/>
      <c r="X196" s="60"/>
      <c r="Y196" s="60"/>
      <c r="Z196" s="60"/>
      <c r="AA196" s="60"/>
      <c r="AB196" s="60"/>
      <c r="AC196" s="60"/>
      <c r="AD196" s="60"/>
      <c r="AE196" s="60"/>
    </row>
    <row r="197" spans="2:31" s="63" customFormat="1" ht="13.95" customHeight="1">
      <c r="B197" s="86"/>
      <c r="C197" s="86"/>
      <c r="D197" s="87"/>
      <c r="E197" s="84"/>
      <c r="F197" s="66"/>
      <c r="G197" s="66"/>
      <c r="H197" s="66"/>
      <c r="I197" s="66"/>
      <c r="J197" s="82"/>
      <c r="K197" s="82"/>
      <c r="L197" s="66"/>
      <c r="M197" s="64"/>
      <c r="N197" s="64"/>
      <c r="O197" s="64"/>
      <c r="R197" s="60"/>
      <c r="S197" s="644"/>
      <c r="T197" s="60"/>
      <c r="U197" s="60"/>
      <c r="V197" s="60"/>
      <c r="W197" s="60"/>
      <c r="X197" s="60"/>
      <c r="Y197" s="60"/>
      <c r="Z197" s="60"/>
      <c r="AA197" s="60"/>
      <c r="AB197" s="60"/>
      <c r="AC197" s="60"/>
      <c r="AD197" s="60"/>
      <c r="AE197" s="60"/>
    </row>
    <row r="198" spans="2:31" s="63" customFormat="1" ht="13.95" customHeight="1">
      <c r="B198" s="86"/>
      <c r="C198" s="86"/>
      <c r="D198" s="87"/>
      <c r="E198" s="84"/>
      <c r="F198" s="66"/>
      <c r="G198" s="66"/>
      <c r="H198" s="66"/>
      <c r="I198" s="66"/>
      <c r="J198" s="82"/>
      <c r="K198" s="82"/>
      <c r="L198" s="66"/>
      <c r="M198" s="64"/>
      <c r="N198" s="64"/>
      <c r="O198" s="64"/>
      <c r="R198" s="60"/>
      <c r="S198" s="644"/>
      <c r="T198" s="60"/>
      <c r="U198" s="60"/>
      <c r="V198" s="60"/>
      <c r="W198" s="60"/>
      <c r="X198" s="60"/>
      <c r="Y198" s="60"/>
      <c r="Z198" s="60"/>
      <c r="AA198" s="60"/>
      <c r="AB198" s="60"/>
      <c r="AC198" s="60"/>
      <c r="AD198" s="60"/>
      <c r="AE198" s="60"/>
    </row>
    <row r="199" spans="2:31" s="63" customFormat="1" ht="13.95" customHeight="1">
      <c r="B199" s="86"/>
      <c r="C199" s="86"/>
      <c r="D199" s="87"/>
      <c r="E199" s="84"/>
      <c r="F199" s="66"/>
      <c r="G199" s="66"/>
      <c r="H199" s="66"/>
      <c r="I199" s="66"/>
      <c r="J199" s="82"/>
      <c r="K199" s="82"/>
      <c r="L199" s="66"/>
      <c r="M199" s="64"/>
      <c r="N199" s="64"/>
      <c r="O199" s="64"/>
      <c r="R199" s="60"/>
      <c r="S199" s="644"/>
      <c r="T199" s="60"/>
      <c r="U199" s="60"/>
      <c r="V199" s="60"/>
      <c r="W199" s="60"/>
      <c r="X199" s="60"/>
      <c r="Y199" s="60"/>
      <c r="Z199" s="60"/>
      <c r="AA199" s="60"/>
      <c r="AB199" s="60"/>
      <c r="AC199" s="60"/>
      <c r="AD199" s="60"/>
      <c r="AE199" s="60"/>
    </row>
    <row r="200" spans="2:31" s="63" customFormat="1" ht="13.95" customHeight="1">
      <c r="B200" s="86"/>
      <c r="C200" s="86"/>
      <c r="D200" s="87"/>
      <c r="E200" s="84"/>
      <c r="F200" s="66"/>
      <c r="G200" s="66"/>
      <c r="H200" s="66"/>
      <c r="I200" s="66"/>
      <c r="J200" s="82"/>
      <c r="K200" s="82"/>
      <c r="L200" s="66"/>
      <c r="M200" s="64"/>
      <c r="N200" s="64"/>
      <c r="O200" s="64"/>
      <c r="R200" s="60"/>
      <c r="S200" s="644"/>
      <c r="T200" s="60"/>
      <c r="U200" s="60"/>
      <c r="V200" s="60"/>
      <c r="W200" s="60"/>
      <c r="X200" s="60"/>
      <c r="Y200" s="60"/>
      <c r="Z200" s="60"/>
      <c r="AA200" s="60"/>
      <c r="AB200" s="60"/>
      <c r="AC200" s="60"/>
      <c r="AD200" s="60"/>
      <c r="AE200" s="60"/>
    </row>
    <row r="201" spans="2:31" s="63" customFormat="1" ht="13.95" customHeight="1">
      <c r="B201" s="86"/>
      <c r="C201" s="86"/>
      <c r="D201" s="87"/>
      <c r="E201" s="84"/>
      <c r="F201" s="66"/>
      <c r="G201" s="66"/>
      <c r="H201" s="66"/>
      <c r="I201" s="66"/>
      <c r="J201" s="82"/>
      <c r="K201" s="82"/>
      <c r="L201" s="66"/>
      <c r="M201" s="64"/>
      <c r="N201" s="64"/>
      <c r="O201" s="64"/>
      <c r="R201" s="60"/>
      <c r="S201" s="644"/>
      <c r="T201" s="60"/>
      <c r="U201" s="60"/>
      <c r="V201" s="60"/>
      <c r="W201" s="60"/>
      <c r="X201" s="60"/>
      <c r="Y201" s="60"/>
      <c r="Z201" s="60"/>
      <c r="AA201" s="60"/>
      <c r="AB201" s="60"/>
      <c r="AC201" s="60"/>
      <c r="AD201" s="60"/>
      <c r="AE201" s="60"/>
    </row>
    <row r="202" spans="2:31" s="63" customFormat="1" ht="13.95" customHeight="1">
      <c r="B202" s="86"/>
      <c r="C202" s="86"/>
      <c r="D202" s="87"/>
      <c r="E202" s="84"/>
      <c r="F202" s="66"/>
      <c r="G202" s="66"/>
      <c r="H202" s="66"/>
      <c r="I202" s="66"/>
      <c r="J202" s="82"/>
      <c r="K202" s="82"/>
      <c r="L202" s="66"/>
      <c r="M202" s="64"/>
      <c r="N202" s="64"/>
      <c r="O202" s="64"/>
      <c r="R202" s="60"/>
      <c r="S202" s="644"/>
      <c r="T202" s="60"/>
      <c r="U202" s="60"/>
      <c r="V202" s="60"/>
      <c r="W202" s="60"/>
      <c r="X202" s="60"/>
      <c r="Y202" s="60"/>
      <c r="Z202" s="60"/>
      <c r="AA202" s="60"/>
      <c r="AB202" s="60"/>
      <c r="AC202" s="60"/>
      <c r="AD202" s="60"/>
      <c r="AE202" s="60"/>
    </row>
    <row r="203" spans="2:31" s="63" customFormat="1" ht="13.95" customHeight="1">
      <c r="B203" s="86"/>
      <c r="C203" s="86"/>
      <c r="D203" s="87"/>
      <c r="E203" s="84"/>
      <c r="F203" s="66"/>
      <c r="G203" s="66"/>
      <c r="H203" s="66"/>
      <c r="I203" s="66"/>
      <c r="J203" s="82"/>
      <c r="K203" s="82"/>
      <c r="L203" s="66"/>
      <c r="M203" s="64"/>
      <c r="N203" s="64"/>
      <c r="O203" s="64"/>
      <c r="R203" s="60"/>
      <c r="S203" s="644"/>
      <c r="T203" s="60"/>
      <c r="U203" s="60"/>
      <c r="V203" s="60"/>
      <c r="W203" s="60"/>
      <c r="X203" s="60"/>
      <c r="Y203" s="60"/>
      <c r="Z203" s="60"/>
      <c r="AA203" s="60"/>
      <c r="AB203" s="60"/>
      <c r="AC203" s="60"/>
      <c r="AD203" s="60"/>
      <c r="AE203" s="60"/>
    </row>
    <row r="204" spans="2:31" s="63" customFormat="1" ht="13.95" customHeight="1">
      <c r="B204" s="86"/>
      <c r="C204" s="86"/>
      <c r="D204" s="87"/>
      <c r="E204" s="84"/>
      <c r="F204" s="66"/>
      <c r="G204" s="66"/>
      <c r="H204" s="66"/>
      <c r="I204" s="66"/>
      <c r="J204" s="82"/>
      <c r="K204" s="82"/>
      <c r="L204" s="66"/>
      <c r="M204" s="64"/>
      <c r="N204" s="64"/>
      <c r="O204" s="64"/>
      <c r="R204" s="60"/>
      <c r="S204" s="644"/>
      <c r="T204" s="60"/>
      <c r="U204" s="60"/>
      <c r="V204" s="60"/>
      <c r="W204" s="60"/>
      <c r="X204" s="60"/>
      <c r="Y204" s="60"/>
      <c r="Z204" s="60"/>
      <c r="AA204" s="60"/>
      <c r="AB204" s="60"/>
      <c r="AC204" s="60"/>
      <c r="AD204" s="60"/>
      <c r="AE204" s="60"/>
    </row>
    <row r="205" spans="2:31" s="63" customFormat="1" ht="13.95" customHeight="1">
      <c r="B205" s="86"/>
      <c r="C205" s="86"/>
      <c r="D205" s="87"/>
      <c r="E205" s="84"/>
      <c r="F205" s="66"/>
      <c r="G205" s="66"/>
      <c r="H205" s="66"/>
      <c r="I205" s="66"/>
      <c r="J205" s="82"/>
      <c r="K205" s="82"/>
      <c r="L205" s="66"/>
      <c r="M205" s="64"/>
      <c r="N205" s="64"/>
      <c r="O205" s="64"/>
      <c r="R205" s="60"/>
      <c r="S205" s="644"/>
      <c r="T205" s="60"/>
      <c r="U205" s="60"/>
      <c r="V205" s="60"/>
      <c r="W205" s="60"/>
      <c r="X205" s="60"/>
      <c r="Y205" s="60"/>
      <c r="Z205" s="60"/>
      <c r="AA205" s="60"/>
      <c r="AB205" s="60"/>
      <c r="AC205" s="60"/>
      <c r="AD205" s="60"/>
      <c r="AE205" s="60"/>
    </row>
    <row r="206" spans="2:31" s="63" customFormat="1" ht="13.95" customHeight="1">
      <c r="B206" s="86"/>
      <c r="C206" s="86"/>
      <c r="D206" s="87"/>
      <c r="E206" s="84"/>
      <c r="F206" s="66"/>
      <c r="G206" s="66"/>
      <c r="H206" s="66"/>
      <c r="I206" s="66"/>
      <c r="J206" s="82"/>
      <c r="K206" s="82"/>
      <c r="L206" s="66"/>
      <c r="M206" s="64"/>
      <c r="N206" s="64"/>
      <c r="O206" s="64"/>
      <c r="R206" s="60"/>
      <c r="S206" s="644"/>
      <c r="T206" s="60"/>
      <c r="U206" s="60"/>
      <c r="V206" s="60"/>
      <c r="W206" s="60"/>
      <c r="X206" s="60"/>
      <c r="Y206" s="60"/>
      <c r="Z206" s="60"/>
      <c r="AA206" s="60"/>
      <c r="AB206" s="60"/>
      <c r="AC206" s="60"/>
      <c r="AD206" s="60"/>
      <c r="AE206" s="60"/>
    </row>
    <row r="207" spans="2:31" s="63" customFormat="1" ht="13.95" customHeight="1">
      <c r="B207" s="86"/>
      <c r="C207" s="86"/>
      <c r="D207" s="87"/>
      <c r="E207" s="84"/>
      <c r="F207" s="66"/>
      <c r="G207" s="66"/>
      <c r="H207" s="66"/>
      <c r="I207" s="66"/>
      <c r="J207" s="82"/>
      <c r="K207" s="82"/>
      <c r="L207" s="66"/>
      <c r="M207" s="64"/>
      <c r="N207" s="64"/>
      <c r="O207" s="64"/>
      <c r="R207" s="60"/>
      <c r="S207" s="644"/>
      <c r="T207" s="60"/>
      <c r="U207" s="60"/>
      <c r="V207" s="60"/>
      <c r="W207" s="60"/>
      <c r="X207" s="60"/>
      <c r="Y207" s="60"/>
      <c r="Z207" s="60"/>
      <c r="AA207" s="60"/>
      <c r="AB207" s="60"/>
      <c r="AC207" s="60"/>
      <c r="AD207" s="60"/>
      <c r="AE207" s="60"/>
    </row>
    <row r="208" spans="2:31" s="63" customFormat="1" ht="13.95" customHeight="1">
      <c r="B208" s="86"/>
      <c r="C208" s="86"/>
      <c r="D208" s="87"/>
      <c r="E208" s="84"/>
      <c r="F208" s="66"/>
      <c r="G208" s="66"/>
      <c r="H208" s="66"/>
      <c r="I208" s="66"/>
      <c r="J208" s="82"/>
      <c r="K208" s="82"/>
      <c r="L208" s="66"/>
      <c r="M208" s="64"/>
      <c r="N208" s="64"/>
      <c r="O208" s="64"/>
      <c r="R208" s="60"/>
      <c r="S208" s="644"/>
      <c r="T208" s="60"/>
      <c r="U208" s="60"/>
      <c r="V208" s="60"/>
      <c r="W208" s="60"/>
      <c r="X208" s="60"/>
      <c r="Y208" s="60"/>
      <c r="Z208" s="60"/>
      <c r="AA208" s="60"/>
      <c r="AB208" s="60"/>
      <c r="AC208" s="60"/>
      <c r="AD208" s="60"/>
      <c r="AE208" s="60"/>
    </row>
    <row r="209" spans="2:48" s="63" customFormat="1" ht="13.95" customHeight="1">
      <c r="B209" s="86"/>
      <c r="C209" s="86"/>
      <c r="D209" s="87"/>
      <c r="E209" s="84"/>
      <c r="F209" s="66"/>
      <c r="G209" s="66"/>
      <c r="H209" s="66"/>
      <c r="I209" s="66"/>
      <c r="J209" s="82"/>
      <c r="K209" s="82"/>
      <c r="L209" s="66"/>
      <c r="M209" s="64"/>
      <c r="N209" s="64"/>
      <c r="O209" s="64"/>
      <c r="R209" s="60"/>
      <c r="S209" s="644"/>
      <c r="T209" s="60"/>
      <c r="U209" s="60"/>
      <c r="V209" s="60"/>
      <c r="W209" s="60"/>
      <c r="X209" s="60"/>
      <c r="Y209" s="60"/>
      <c r="Z209" s="60"/>
      <c r="AA209" s="60"/>
      <c r="AB209" s="60"/>
      <c r="AC209" s="60"/>
      <c r="AD209" s="60"/>
      <c r="AE209" s="60"/>
    </row>
    <row r="210" spans="2:48" s="63" customFormat="1" ht="13.95" customHeight="1">
      <c r="B210" s="86"/>
      <c r="C210" s="86"/>
      <c r="D210" s="87"/>
      <c r="E210" s="84"/>
      <c r="F210" s="66"/>
      <c r="G210" s="66"/>
      <c r="H210" s="66"/>
      <c r="I210" s="66"/>
      <c r="J210" s="82"/>
      <c r="K210" s="82"/>
      <c r="L210" s="66"/>
      <c r="M210" s="64"/>
      <c r="N210" s="64"/>
      <c r="O210" s="64"/>
      <c r="R210" s="60"/>
      <c r="S210" s="644"/>
      <c r="T210" s="60"/>
      <c r="U210" s="60"/>
      <c r="V210" s="60"/>
      <c r="W210" s="60"/>
      <c r="X210" s="60"/>
      <c r="Y210" s="60"/>
      <c r="Z210" s="60"/>
      <c r="AA210" s="60"/>
      <c r="AB210" s="60"/>
      <c r="AC210" s="60"/>
      <c r="AD210" s="60"/>
      <c r="AE210" s="60"/>
    </row>
    <row r="211" spans="2:48" s="63" customFormat="1" ht="13.95" customHeight="1">
      <c r="B211" s="86"/>
      <c r="C211" s="86"/>
      <c r="D211" s="87"/>
      <c r="E211" s="84"/>
      <c r="F211" s="66"/>
      <c r="G211" s="66"/>
      <c r="H211" s="66"/>
      <c r="I211" s="66"/>
      <c r="J211" s="82"/>
      <c r="K211" s="82"/>
      <c r="L211" s="66"/>
      <c r="M211" s="64"/>
      <c r="N211" s="64"/>
      <c r="O211" s="64"/>
      <c r="R211" s="60"/>
      <c r="S211" s="644"/>
      <c r="T211" s="60"/>
      <c r="U211" s="60"/>
      <c r="V211" s="60"/>
      <c r="W211" s="60"/>
      <c r="X211" s="60"/>
      <c r="Y211" s="60"/>
      <c r="Z211" s="60"/>
      <c r="AA211" s="60"/>
      <c r="AB211" s="60"/>
      <c r="AC211" s="60"/>
      <c r="AD211" s="60"/>
      <c r="AE211" s="60"/>
    </row>
    <row r="212" spans="2:48" s="63" customFormat="1" ht="13.95" customHeight="1">
      <c r="B212" s="86"/>
      <c r="C212" s="86"/>
      <c r="D212" s="87"/>
      <c r="E212" s="84"/>
      <c r="F212" s="66"/>
      <c r="G212" s="66"/>
      <c r="H212" s="66"/>
      <c r="I212" s="66"/>
      <c r="J212" s="82"/>
      <c r="K212" s="82"/>
      <c r="L212" s="66"/>
      <c r="M212" s="64"/>
      <c r="N212" s="64"/>
      <c r="O212" s="64"/>
      <c r="R212" s="60"/>
      <c r="S212" s="644"/>
      <c r="T212" s="60"/>
      <c r="U212" s="60"/>
      <c r="V212" s="60"/>
      <c r="W212" s="60"/>
      <c r="X212" s="60"/>
      <c r="Y212" s="60"/>
      <c r="Z212" s="60"/>
      <c r="AA212" s="60"/>
      <c r="AB212" s="60"/>
      <c r="AC212" s="60"/>
      <c r="AD212" s="60"/>
      <c r="AE212" s="60"/>
    </row>
    <row r="213" spans="2:48" s="63" customFormat="1" ht="13.95" customHeight="1">
      <c r="B213" s="86"/>
      <c r="C213" s="86"/>
      <c r="D213" s="87"/>
      <c r="E213" s="84"/>
      <c r="F213" s="66"/>
      <c r="G213" s="66"/>
      <c r="H213" s="66"/>
      <c r="I213" s="66"/>
      <c r="J213" s="82"/>
      <c r="K213" s="82"/>
      <c r="L213" s="66"/>
      <c r="M213" s="64"/>
      <c r="N213" s="64"/>
      <c r="O213" s="64"/>
      <c r="R213" s="60"/>
      <c r="S213" s="644"/>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row>
    <row r="214" spans="2:48" s="63" customFormat="1" ht="13.95" customHeight="1">
      <c r="B214" s="86"/>
      <c r="C214" s="86"/>
      <c r="D214" s="87"/>
      <c r="E214" s="84"/>
      <c r="F214" s="66"/>
      <c r="G214" s="66"/>
      <c r="H214" s="66"/>
      <c r="I214" s="66"/>
      <c r="J214" s="82"/>
      <c r="K214" s="82"/>
      <c r="L214" s="66"/>
      <c r="M214" s="64"/>
      <c r="N214" s="64"/>
      <c r="O214" s="64"/>
      <c r="R214" s="60"/>
      <c r="S214" s="644"/>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row>
  </sheetData>
  <sheetProtection sheet="1" objects="1" scenarios="1"/>
  <mergeCells count="29">
    <mergeCell ref="B75:O75"/>
    <mergeCell ref="B76:O76"/>
    <mergeCell ref="B77:O77"/>
    <mergeCell ref="B68:K68"/>
    <mergeCell ref="L68:O68"/>
    <mergeCell ref="B70:G70"/>
    <mergeCell ref="H70:K70"/>
    <mergeCell ref="L70:O70"/>
    <mergeCell ref="B72:G72"/>
    <mergeCell ref="H72:K72"/>
    <mergeCell ref="L72:O72"/>
    <mergeCell ref="AR47:AS47"/>
    <mergeCell ref="J28:J30"/>
    <mergeCell ref="K28:K30"/>
    <mergeCell ref="H31:K31"/>
    <mergeCell ref="H32:I32"/>
    <mergeCell ref="H33:I33"/>
    <mergeCell ref="H34:I34"/>
    <mergeCell ref="H35:I35"/>
    <mergeCell ref="AR35:AS35"/>
    <mergeCell ref="H36:I36"/>
    <mergeCell ref="H37:I37"/>
    <mergeCell ref="H38:K38"/>
    <mergeCell ref="AF26:AH26"/>
    <mergeCell ref="Q2:Q5"/>
    <mergeCell ref="D11:E11"/>
    <mergeCell ref="L23:O23"/>
    <mergeCell ref="AF24:AH24"/>
    <mergeCell ref="AF25:AH25"/>
  </mergeCells>
  <phoneticPr fontId="3"/>
  <conditionalFormatting sqref="D11 E12 E14 E16 E18">
    <cfRule type="cellIs" dxfId="159" priority="4" stopIfTrue="1" operator="equal">
      <formula>0</formula>
    </cfRule>
  </conditionalFormatting>
  <conditionalFormatting sqref="H28">
    <cfRule type="expression" dxfId="158" priority="5">
      <formula>(AR48="-")</formula>
    </cfRule>
  </conditionalFormatting>
  <conditionalFormatting sqref="H28:H30">
    <cfRule type="expression" dxfId="157" priority="6">
      <formula>(AR48="〇")</formula>
    </cfRule>
  </conditionalFormatting>
  <conditionalFormatting sqref="H29:H30">
    <cfRule type="expression" dxfId="156" priority="7">
      <formula>(AR49="-")</formula>
    </cfRule>
  </conditionalFormatting>
  <conditionalFormatting sqref="I28">
    <cfRule type="expression" dxfId="155" priority="8">
      <formula>(AR51="〇")</formula>
    </cfRule>
    <cfRule type="expression" dxfId="154" priority="9">
      <formula>(AR51="-")</formula>
    </cfRule>
  </conditionalFormatting>
  <conditionalFormatting sqref="I30">
    <cfRule type="expression" dxfId="153" priority="10">
      <formula>(AR52="〇")</formula>
    </cfRule>
    <cfRule type="expression" dxfId="152" priority="11">
      <formula>(AR52="-")</formula>
    </cfRule>
  </conditionalFormatting>
  <conditionalFormatting sqref="J28">
    <cfRule type="expression" dxfId="151" priority="12">
      <formula>AND(AR51="〇",AR52="〇")</formula>
    </cfRule>
    <cfRule type="expression" dxfId="150" priority="13">
      <formula>OR(AR51="-",AR52="-")</formula>
    </cfRule>
  </conditionalFormatting>
  <conditionalFormatting sqref="K28">
    <cfRule type="expression" dxfId="149" priority="14">
      <formula>(AR53="〇")</formula>
    </cfRule>
    <cfRule type="expression" dxfId="148" priority="15">
      <formula>(AR53="-")</formula>
    </cfRule>
  </conditionalFormatting>
  <conditionalFormatting sqref="AN29:AP33 AN38:AP41">
    <cfRule type="expression" dxfId="147" priority="1" stopIfTrue="1">
      <formula>$U$36=$W$37</formula>
    </cfRule>
  </conditionalFormatting>
  <conditionalFormatting sqref="AN34:AP37">
    <cfRule type="expression" dxfId="146" priority="2" stopIfTrue="1">
      <formula>$U$36=$W$37</formula>
    </cfRule>
  </conditionalFormatting>
  <conditionalFormatting sqref="AN42:AP42">
    <cfRule type="expression" dxfId="145" priority="3" stopIfTrue="1">
      <formula>$U$36=$W$37</formula>
    </cfRule>
  </conditionalFormatting>
  <hyperlinks>
    <hyperlink ref="Q2" location="メイン!A1" display="戻る" xr:uid="{653D9F52-551B-4834-AC5D-ED1901CED5C5}"/>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pageSetUpPr fitToPage="1"/>
  </sheetPr>
  <dimension ref="A1:AF80"/>
  <sheetViews>
    <sheetView showGridLines="0" zoomScaleNormal="100" zoomScaleSheetLayoutView="100" workbookViewId="0">
      <selection activeCell="H8" sqref="H8:K21"/>
    </sheetView>
  </sheetViews>
  <sheetFormatPr defaultColWidth="0" defaultRowHeight="0" customHeight="1" zeroHeight="1"/>
  <cols>
    <col min="1" max="1" width="0.77734375" style="25" customWidth="1"/>
    <col min="2" max="2" width="2.109375" style="86" customWidth="1"/>
    <col min="3" max="3" width="15.88671875" style="86" customWidth="1"/>
    <col min="4" max="4" width="6.6640625" style="87" customWidth="1"/>
    <col min="5" max="5" width="6.6640625" style="84" customWidth="1"/>
    <col min="6" max="7" width="6.6640625" style="66" customWidth="1"/>
    <col min="8" max="8" width="11.33203125" style="66" customWidth="1"/>
    <col min="9" max="10" width="11.33203125" style="82" customWidth="1"/>
    <col min="11" max="12" width="11.33203125" style="66" customWidth="1"/>
    <col min="13" max="15" width="11.33203125" style="64" customWidth="1"/>
    <col min="16" max="16" width="0.77734375" style="25" customWidth="1"/>
    <col min="17" max="17" width="3.88671875" style="63" customWidth="1"/>
    <col min="18" max="18" width="12.6640625" style="347" hidden="1" customWidth="1"/>
    <col min="19" max="19" width="12.6640625" style="384" hidden="1" customWidth="1"/>
    <col min="20" max="27" width="12.6640625" style="347" hidden="1" customWidth="1"/>
    <col min="28" max="31" width="5" style="60" hidden="1" customWidth="1"/>
    <col min="32" max="32" width="5.109375" style="60" hidden="1" customWidth="1"/>
    <col min="33" max="16384" width="9" style="60" hidden="1"/>
  </cols>
  <sheetData>
    <row r="1" spans="1:27" s="59" customFormat="1" ht="6" customHeight="1" thickBot="1">
      <c r="A1" s="114"/>
      <c r="B1" s="115"/>
      <c r="C1" s="116"/>
      <c r="D1" s="117"/>
      <c r="E1" s="114"/>
      <c r="F1" s="118"/>
      <c r="G1" s="118"/>
      <c r="H1" s="118"/>
      <c r="I1" s="119"/>
      <c r="J1" s="119"/>
      <c r="K1" s="118"/>
      <c r="L1" s="120"/>
      <c r="M1" s="114"/>
      <c r="N1" s="114"/>
      <c r="O1" s="114"/>
      <c r="P1" s="114"/>
      <c r="Q1" s="121"/>
      <c r="R1" s="345"/>
      <c r="S1" s="346"/>
      <c r="T1" s="345"/>
      <c r="U1" s="345"/>
      <c r="V1" s="345"/>
      <c r="W1" s="345"/>
      <c r="X1" s="345"/>
      <c r="Y1" s="345"/>
      <c r="Z1" s="345"/>
      <c r="AA1" s="345"/>
    </row>
    <row r="2" spans="1:27" ht="35.25" customHeight="1" thickTop="1">
      <c r="B2" s="166"/>
      <c r="C2" s="167"/>
      <c r="D2" s="168"/>
      <c r="E2" s="169"/>
      <c r="F2" s="170"/>
      <c r="G2" s="170"/>
      <c r="H2" s="170"/>
      <c r="I2" s="171"/>
      <c r="J2" s="172"/>
      <c r="K2" s="172"/>
      <c r="L2" s="172"/>
      <c r="M2" s="172"/>
      <c r="N2" s="170"/>
      <c r="O2" s="173"/>
      <c r="Q2" s="1731" t="s">
        <v>70</v>
      </c>
      <c r="S2" s="347"/>
    </row>
    <row r="3" spans="1:27" s="63" customFormat="1" ht="13.8">
      <c r="A3" s="25"/>
      <c r="B3" s="166"/>
      <c r="C3" s="167"/>
      <c r="D3" s="318"/>
      <c r="E3" s="319"/>
      <c r="F3" s="320"/>
      <c r="G3" s="320"/>
      <c r="H3" s="320"/>
      <c r="I3" s="321"/>
      <c r="J3" s="322" t="s">
        <v>71</v>
      </c>
      <c r="K3" s="323" t="str">
        <f>メイン!C6</f>
        <v>CASBEE-街区 2024年SDGs対応試行版</v>
      </c>
      <c r="L3" s="56"/>
      <c r="M3" s="322"/>
      <c r="N3" s="320"/>
      <c r="O3" s="324" t="str">
        <f>メイン!C5</f>
        <v>CASBEE-UD_2024SDGs試行版v1.0</v>
      </c>
      <c r="P3" s="25"/>
      <c r="Q3" s="1732"/>
      <c r="R3" s="348"/>
      <c r="S3" s="348"/>
      <c r="T3" s="348"/>
      <c r="U3" s="348"/>
      <c r="V3" s="348"/>
      <c r="W3" s="348"/>
      <c r="X3" s="348"/>
      <c r="Y3" s="348"/>
      <c r="Z3" s="348"/>
      <c r="AA3" s="348"/>
    </row>
    <row r="4" spans="1:27" ht="6.75" customHeight="1" thickBot="1">
      <c r="B4" s="166"/>
      <c r="C4" s="167"/>
      <c r="D4" s="168"/>
      <c r="E4" s="169"/>
      <c r="F4" s="170"/>
      <c r="G4" s="170"/>
      <c r="H4" s="170"/>
      <c r="I4" s="174"/>
      <c r="J4" s="172"/>
      <c r="K4" s="172"/>
      <c r="L4" s="172"/>
      <c r="M4" s="172"/>
      <c r="N4" s="170"/>
      <c r="O4" s="53"/>
      <c r="Q4" s="1733"/>
      <c r="S4" s="347"/>
    </row>
    <row r="5" spans="1:27" ht="5.25" customHeight="1" thickTop="1">
      <c r="B5" s="11"/>
      <c r="C5" s="12"/>
      <c r="D5" s="13"/>
      <c r="E5" s="14"/>
      <c r="F5" s="15"/>
      <c r="G5" s="15"/>
      <c r="H5" s="15"/>
      <c r="I5" s="16"/>
      <c r="J5" s="17"/>
      <c r="K5" s="17"/>
      <c r="L5" s="18"/>
      <c r="M5" s="14"/>
      <c r="N5" s="14"/>
      <c r="O5" s="14"/>
      <c r="S5" s="347"/>
    </row>
    <row r="6" spans="1:27" ht="5.25" customHeight="1" thickBot="1">
      <c r="B6" s="11"/>
      <c r="C6" s="12"/>
      <c r="D6" s="13"/>
      <c r="E6" s="14"/>
      <c r="F6" s="15"/>
      <c r="G6" s="15"/>
      <c r="H6" s="15"/>
      <c r="I6" s="16"/>
      <c r="J6" s="17"/>
      <c r="K6" s="17"/>
      <c r="L6" s="18"/>
      <c r="M6" s="14"/>
      <c r="N6" s="14"/>
      <c r="O6" s="14"/>
      <c r="S6" s="347"/>
    </row>
    <row r="7" spans="1:27" ht="16.5" customHeight="1" thickBot="1">
      <c r="B7" s="161" t="s">
        <v>72</v>
      </c>
      <c r="C7" s="112"/>
      <c r="D7" s="113"/>
      <c r="E7" s="112"/>
      <c r="F7" s="112"/>
      <c r="G7" s="112"/>
      <c r="H7" s="112"/>
      <c r="I7" s="112"/>
      <c r="J7" s="112"/>
      <c r="K7" s="112"/>
      <c r="L7" s="221" t="s">
        <v>73</v>
      </c>
      <c r="M7" s="61"/>
      <c r="N7" s="61"/>
      <c r="O7" s="62"/>
      <c r="R7" s="349" t="s">
        <v>74</v>
      </c>
      <c r="S7" s="348"/>
      <c r="T7" s="348"/>
      <c r="U7" s="349" t="s">
        <v>75</v>
      </c>
    </row>
    <row r="8" spans="1:27" ht="15" customHeight="1">
      <c r="B8" s="162" t="s">
        <v>76</v>
      </c>
      <c r="C8" s="203"/>
      <c r="D8" s="428" t="str">
        <f>IF(メイン!C10="","",メイン!C10)</f>
        <v>Aプロジェクト</v>
      </c>
      <c r="E8" s="163"/>
      <c r="F8" s="163"/>
      <c r="G8" s="202"/>
      <c r="H8" s="256" t="s">
        <v>77</v>
      </c>
      <c r="I8" s="255"/>
      <c r="J8" s="424" t="str">
        <f>IF(メイン!C26="","",メイン!C26)</f>
        <v>第一種市街地再開発事業</v>
      </c>
      <c r="K8" s="274"/>
      <c r="L8" s="291"/>
      <c r="M8" s="291"/>
      <c r="N8" s="291"/>
      <c r="O8" s="292"/>
      <c r="R8" s="350" t="s">
        <v>78</v>
      </c>
      <c r="S8" s="391">
        <f>IF(ISERROR(スコア!R7),"",スコア!R7)</f>
        <v>3</v>
      </c>
      <c r="T8" s="348"/>
      <c r="U8" s="351"/>
      <c r="V8" s="351" t="s">
        <v>79</v>
      </c>
      <c r="W8" s="352">
        <v>5</v>
      </c>
      <c r="X8" s="352">
        <v>4</v>
      </c>
      <c r="Y8" s="352">
        <v>3</v>
      </c>
      <c r="Z8" s="352">
        <v>2</v>
      </c>
      <c r="AA8" s="353" t="s">
        <v>80</v>
      </c>
    </row>
    <row r="9" spans="1:27" ht="15" customHeight="1">
      <c r="B9" s="21" t="s">
        <v>81</v>
      </c>
      <c r="C9" s="204"/>
      <c r="D9" s="429" t="str">
        <f>IF(メイン!C11="","",メイン!C11)</f>
        <v>東京都千代田区</v>
      </c>
      <c r="E9" s="20"/>
      <c r="F9" s="22"/>
      <c r="G9" s="125"/>
      <c r="H9" s="68" t="s">
        <v>82</v>
      </c>
      <c r="I9" s="20"/>
      <c r="J9" s="1734" t="str">
        <f>ROUND(メイン!C28,0)&amp;"%  ／ "&amp;ROUND(メイン!C29,0)&amp;"%"</f>
        <v>100%  ／ 760%</v>
      </c>
      <c r="K9" s="1735"/>
      <c r="L9" s="283"/>
      <c r="M9" s="283"/>
      <c r="N9" s="283"/>
      <c r="O9" s="284"/>
      <c r="R9" s="350" t="s">
        <v>83</v>
      </c>
      <c r="S9" s="391">
        <f>IF(ISERROR(スコア!R100),"",スコア!R100)</f>
        <v>3</v>
      </c>
      <c r="T9" s="348"/>
      <c r="U9" s="354" t="s">
        <v>84</v>
      </c>
      <c r="V9" s="355" t="s">
        <v>85</v>
      </c>
      <c r="W9" s="352">
        <v>5</v>
      </c>
      <c r="X9" s="352">
        <v>4</v>
      </c>
      <c r="Y9" s="352">
        <v>3</v>
      </c>
      <c r="Z9" s="352">
        <v>2</v>
      </c>
      <c r="AA9" s="356">
        <f>IF(ISERROR(スコア!R41),1,スコア!R41)</f>
        <v>3</v>
      </c>
    </row>
    <row r="10" spans="1:27" ht="15" customHeight="1">
      <c r="B10" s="21" t="s">
        <v>86</v>
      </c>
      <c r="C10" s="204"/>
      <c r="D10" s="271">
        <f>IF(メイン!C30="","",メイン!C30)</f>
        <v>5</v>
      </c>
      <c r="E10" s="430" t="s">
        <v>87</v>
      </c>
      <c r="F10" s="60"/>
      <c r="G10" s="60"/>
      <c r="H10" s="210" t="s">
        <v>88</v>
      </c>
      <c r="I10" s="63"/>
      <c r="J10" s="1736" t="str">
        <f>メイン!C31&amp;"ha"</f>
        <v>2.5ha</v>
      </c>
      <c r="K10" s="1737"/>
      <c r="L10" s="283"/>
      <c r="M10" s="283"/>
      <c r="N10" s="283"/>
      <c r="O10" s="284"/>
      <c r="R10" s="350" t="s">
        <v>89</v>
      </c>
      <c r="S10" s="391">
        <f>IF(ISERROR(25*(S8-1)),"",25*(S8-1))</f>
        <v>50</v>
      </c>
      <c r="T10" s="348"/>
      <c r="U10" s="354" t="s">
        <v>90</v>
      </c>
      <c r="V10" s="357" t="s">
        <v>91</v>
      </c>
      <c r="W10" s="352">
        <v>5</v>
      </c>
      <c r="X10" s="352">
        <v>4</v>
      </c>
      <c r="Y10" s="352">
        <v>3</v>
      </c>
      <c r="Z10" s="352">
        <v>2</v>
      </c>
      <c r="AA10" s="356">
        <f>IF(ISERROR(スコア!R74),1,スコア!R74)</f>
        <v>3.1</v>
      </c>
    </row>
    <row r="11" spans="1:27" ht="15" customHeight="1">
      <c r="B11" s="21" t="s">
        <v>92</v>
      </c>
      <c r="C11" s="205"/>
      <c r="D11" s="1718">
        <f>IF(メイン!C12="","",メイン!C12)</f>
        <v>45292</v>
      </c>
      <c r="E11" s="1719"/>
      <c r="F11" s="138">
        <f>メイン!E12</f>
        <v>0</v>
      </c>
      <c r="G11" s="211"/>
      <c r="H11" s="210" t="s">
        <v>93</v>
      </c>
      <c r="I11" s="213"/>
      <c r="J11" s="1720" t="str">
        <f>ROUND(メイン!C32,0)&amp;"㎡  ／ "&amp;ROUND(メイン!C33,0)&amp;"%"</f>
        <v>16000㎡  ／ 64%</v>
      </c>
      <c r="K11" s="1721"/>
      <c r="L11" s="283"/>
      <c r="M11" s="283"/>
      <c r="N11" s="283"/>
      <c r="O11" s="284"/>
      <c r="R11" s="350" t="s">
        <v>94</v>
      </c>
      <c r="S11" s="391">
        <f>IF(ISERROR(スコア!R99),"",スコア!R99)</f>
        <v>2.9</v>
      </c>
      <c r="T11" s="348"/>
      <c r="U11" s="354" t="s">
        <v>95</v>
      </c>
      <c r="V11" s="357" t="s">
        <v>96</v>
      </c>
      <c r="W11" s="352">
        <v>5</v>
      </c>
      <c r="X11" s="352">
        <v>4</v>
      </c>
      <c r="Y11" s="352">
        <v>3</v>
      </c>
      <c r="Z11" s="352">
        <v>2</v>
      </c>
      <c r="AA11" s="356">
        <f>IF(ISERROR(スコア!R100),1,スコア!R100)</f>
        <v>3</v>
      </c>
    </row>
    <row r="12" spans="1:27" ht="15" customHeight="1">
      <c r="B12" s="21" t="s">
        <v>97</v>
      </c>
      <c r="C12" s="205"/>
      <c r="D12" s="427" t="s">
        <v>98</v>
      </c>
      <c r="E12" s="257" t="str">
        <f>IF(メイン!C15=0,"",メイン!C15)</f>
        <v>商業地域、防火地域</v>
      </c>
      <c r="F12" s="257"/>
      <c r="G12" s="265"/>
      <c r="H12" s="259" t="s">
        <v>99</v>
      </c>
      <c r="I12" s="260"/>
      <c r="J12" s="1727" t="str">
        <f>ROUND(メイン!C34,0)&amp;"㎡  ／ "&amp;ROUND(メイン!C35,0)&amp;"%"</f>
        <v>200000㎡  ／ 800%</v>
      </c>
      <c r="K12" s="1728"/>
      <c r="L12" s="283"/>
      <c r="M12" s="283"/>
      <c r="N12" s="283"/>
      <c r="O12" s="284"/>
      <c r="R12" s="350" t="s">
        <v>100</v>
      </c>
      <c r="S12" s="350">
        <f>IF(ISERROR(S10/S11),"",S10/S11)</f>
        <v>17.241379310344829</v>
      </c>
      <c r="T12" s="348"/>
      <c r="U12" s="354" t="s">
        <v>101</v>
      </c>
      <c r="V12" s="357" t="s">
        <v>102</v>
      </c>
      <c r="W12" s="352">
        <v>5</v>
      </c>
      <c r="X12" s="352">
        <v>4</v>
      </c>
      <c r="Y12" s="352">
        <v>3</v>
      </c>
      <c r="Z12" s="352">
        <v>2</v>
      </c>
      <c r="AA12" s="356">
        <f>IF(ISERROR(スコア!R8),1,スコア!R8)</f>
        <v>3</v>
      </c>
    </row>
    <row r="13" spans="1:27" ht="15" customHeight="1">
      <c r="B13" s="21" t="s">
        <v>103</v>
      </c>
      <c r="C13" s="266"/>
      <c r="D13" s="301" t="str">
        <f>"（ "&amp;ROUND(メイン!$C$16,0)&amp;"%　／　"&amp;ROUND(メイン!$C$17,0)&amp;"% ）"</f>
        <v>（ 80%　／　800% ）</v>
      </c>
      <c r="E13" s="22"/>
      <c r="F13" s="269"/>
      <c r="G13" s="270"/>
      <c r="H13" s="210" t="s">
        <v>104</v>
      </c>
      <c r="I13" s="214"/>
      <c r="J13" s="433" t="str">
        <f>メイン!C40</f>
        <v>2023/X/X</v>
      </c>
      <c r="K13" s="258"/>
      <c r="L13" s="283"/>
      <c r="M13" s="286" t="s">
        <v>105</v>
      </c>
      <c r="N13" s="283"/>
      <c r="O13" s="284"/>
      <c r="R13" s="350" t="s">
        <v>106</v>
      </c>
      <c r="S13" s="358">
        <f>IF(ISERROR(ROUNDDOWN(S12,1)),"",ROUNDDOWN(S12,1))</f>
        <v>17.2</v>
      </c>
      <c r="T13" s="348"/>
      <c r="U13" s="354"/>
      <c r="V13" s="357"/>
      <c r="W13" s="352"/>
      <c r="X13" s="352"/>
      <c r="Y13" s="352"/>
      <c r="Z13" s="352"/>
      <c r="AA13" s="356"/>
    </row>
    <row r="14" spans="1:27" ht="15" customHeight="1">
      <c r="B14" s="124"/>
      <c r="C14" s="206"/>
      <c r="D14" s="427" t="s">
        <v>107</v>
      </c>
      <c r="E14" s="257" t="str">
        <f>IF(メイン!D15=0,"",メイン!D15)</f>
        <v/>
      </c>
      <c r="F14" s="160"/>
      <c r="G14" s="275"/>
      <c r="H14" s="21" t="s">
        <v>108</v>
      </c>
      <c r="I14" s="326"/>
      <c r="J14" s="1729" t="str">
        <f>IF(メイン!C42="","","(1)　 "&amp;メイン!C42)</f>
        <v>(1)　 ■■　■■</v>
      </c>
      <c r="K14" s="1738"/>
      <c r="L14" s="283"/>
      <c r="M14" s="286"/>
      <c r="N14" s="283"/>
      <c r="O14" s="284"/>
      <c r="R14" s="348"/>
      <c r="S14" s="359"/>
      <c r="T14" s="348"/>
    </row>
    <row r="15" spans="1:27" ht="15" customHeight="1">
      <c r="B15" s="124"/>
      <c r="C15" s="206"/>
      <c r="D15" s="301" t="str">
        <f>"（ "&amp;ROUND(メイン!$D$16,0)&amp;"%　／　"&amp;ROUND(メイン!$D$17,0)&amp;"% ）"</f>
        <v>（ 0%　／　0% ）</v>
      </c>
      <c r="E15" s="22"/>
      <c r="F15" s="269"/>
      <c r="G15" s="270"/>
      <c r="H15" s="60"/>
      <c r="I15" s="326"/>
      <c r="J15" s="1729" t="str">
        <f>IF(メイン!D42="","","(2)　 "&amp;メイン!D42)</f>
        <v>(2)　 ■■　■■</v>
      </c>
      <c r="K15" s="1730"/>
      <c r="L15" s="283"/>
      <c r="M15" s="287" t="s">
        <v>109</v>
      </c>
      <c r="N15" s="283"/>
      <c r="O15" s="284"/>
      <c r="R15" s="350" t="s">
        <v>110</v>
      </c>
      <c r="S15" s="360">
        <f>IF(S13="","",IF(S13&lt;0.5,1,IF(S13&lt;1,2,IF(S13&lt;1.5,3,IF(S13&lt;3,4,5))))/5)</f>
        <v>1</v>
      </c>
      <c r="T15" s="348"/>
      <c r="U15" s="348"/>
      <c r="V15" s="348"/>
      <c r="W15" s="348"/>
      <c r="X15" s="348"/>
    </row>
    <row r="16" spans="1:27" ht="15" customHeight="1">
      <c r="B16" s="124"/>
      <c r="C16" s="206"/>
      <c r="D16" s="427" t="s">
        <v>111</v>
      </c>
      <c r="E16" s="257" t="str">
        <f>IF(メイン!C19=0,"",メイン!C19)</f>
        <v/>
      </c>
      <c r="F16" s="160"/>
      <c r="G16" s="275"/>
      <c r="H16" s="210"/>
      <c r="I16" s="326"/>
      <c r="J16" s="1729" t="str">
        <f>IF(メイン!E42="","","(3)　 "&amp;メイン!E42)</f>
        <v>(3)　 ■■　■■</v>
      </c>
      <c r="K16" s="1730"/>
      <c r="L16" s="283"/>
      <c r="M16" s="287" t="s">
        <v>112</v>
      </c>
      <c r="N16" s="283"/>
      <c r="O16" s="284"/>
      <c r="R16" s="350" t="s">
        <v>113</v>
      </c>
      <c r="S16" s="360">
        <f>IF(S13="","",1-S15)</f>
        <v>0</v>
      </c>
      <c r="T16" s="338"/>
      <c r="U16" s="338"/>
      <c r="V16" s="338"/>
      <c r="W16" s="338"/>
      <c r="X16" s="338"/>
    </row>
    <row r="17" spans="2:27" ht="15" customHeight="1">
      <c r="B17" s="68"/>
      <c r="C17" s="207"/>
      <c r="D17" s="301" t="str">
        <f>"（ "&amp;ROUND(メイン!$C$20,0)&amp;"%　／　"&amp;ROUND(メイン!$C$21,0)&amp;"% ）"</f>
        <v>（ 0%　／　0% ）</v>
      </c>
      <c r="E17" s="22"/>
      <c r="F17" s="269"/>
      <c r="G17" s="270"/>
      <c r="H17" s="212"/>
      <c r="I17" s="326"/>
      <c r="J17" s="1729" t="str">
        <f>IF(メイン!C44="","","(4)　 "&amp;メイン!C44)</f>
        <v>(4)　 ■■　■■</v>
      </c>
      <c r="K17" s="1730"/>
      <c r="L17" s="283"/>
      <c r="M17" s="283"/>
      <c r="N17" s="283"/>
      <c r="O17" s="284"/>
      <c r="R17" s="338"/>
      <c r="S17" s="361"/>
      <c r="T17" s="348"/>
      <c r="U17" s="348"/>
      <c r="V17" s="361"/>
      <c r="W17" s="362"/>
      <c r="AA17" s="348"/>
    </row>
    <row r="18" spans="2:27" ht="15" customHeight="1">
      <c r="B18" s="21"/>
      <c r="C18" s="208"/>
      <c r="D18" s="427" t="s">
        <v>114</v>
      </c>
      <c r="E18" s="257" t="str">
        <f>IF(メイン!D19=0,"",メイン!D19)</f>
        <v/>
      </c>
      <c r="F18" s="160"/>
      <c r="G18" s="275"/>
      <c r="H18" s="60"/>
      <c r="I18" s="326"/>
      <c r="J18" s="1729" t="str">
        <f>IF(メイン!D44="","","(5)　 "&amp;メイン!D44)</f>
        <v>(5)　 ■■　■■</v>
      </c>
      <c r="K18" s="1730"/>
      <c r="L18" s="283"/>
      <c r="M18" s="283"/>
      <c r="N18" s="283"/>
      <c r="O18" s="284"/>
      <c r="R18" s="338"/>
      <c r="S18" s="361"/>
      <c r="T18" s="348"/>
      <c r="U18" s="348"/>
      <c r="V18" s="361"/>
      <c r="W18" s="362"/>
      <c r="AA18" s="348"/>
    </row>
    <row r="19" spans="2:27" ht="15" customHeight="1">
      <c r="B19" s="201"/>
      <c r="C19" s="209"/>
      <c r="D19" s="301" t="str">
        <f>"（ "&amp;ROUND(メイン!$D$20,0)&amp;"%　／　"&amp;ROUND(メイン!$D$21,0)&amp;"% ）"</f>
        <v>（ 0%　／　0% ）</v>
      </c>
      <c r="E19" s="22"/>
      <c r="F19" s="269"/>
      <c r="G19" s="270"/>
      <c r="H19" s="215"/>
      <c r="I19" s="327"/>
      <c r="J19" s="1722" t="str">
        <f>IF(メイン!E44="","","(6)　 "&amp;メイン!E44)</f>
        <v>(6)　 ■■　■■</v>
      </c>
      <c r="K19" s="1723"/>
      <c r="L19" s="293"/>
      <c r="M19" s="294"/>
      <c r="N19" s="295"/>
      <c r="O19" s="296"/>
      <c r="R19" s="338"/>
      <c r="S19" s="361"/>
      <c r="T19" s="348"/>
      <c r="U19" s="348"/>
      <c r="V19" s="361"/>
      <c r="W19" s="362"/>
      <c r="AA19" s="348"/>
    </row>
    <row r="20" spans="2:27" ht="15" customHeight="1">
      <c r="B20" s="272" t="s">
        <v>115</v>
      </c>
      <c r="C20" s="273"/>
      <c r="D20" s="301" t="str">
        <f>ROUND(メイン!C24,0)&amp;"%  ／ "&amp;ROUND(メイン!C25,0)&amp;"%"</f>
        <v>70%  ／ 445%</v>
      </c>
      <c r="E20" s="431"/>
      <c r="F20" s="130"/>
      <c r="G20" s="130"/>
      <c r="H20" s="215" t="s">
        <v>116</v>
      </c>
      <c r="I20" s="216"/>
      <c r="J20" s="425" t="str">
        <f>メイン!C45</f>
        <v>2023/X/X</v>
      </c>
      <c r="K20" s="267"/>
      <c r="L20" s="293"/>
      <c r="M20" s="294"/>
      <c r="N20" s="295"/>
      <c r="O20" s="296"/>
      <c r="S20" s="347"/>
      <c r="V20" s="361"/>
      <c r="W20" s="362"/>
      <c r="AA20" s="348"/>
    </row>
    <row r="21" spans="2:27" ht="15" customHeight="1" thickBot="1">
      <c r="B21" s="261" t="s">
        <v>117</v>
      </c>
      <c r="C21" s="262"/>
      <c r="D21" s="422" t="e">
        <f>#REF!</f>
        <v>#REF!</v>
      </c>
      <c r="E21" s="420" t="s">
        <v>118</v>
      </c>
      <c r="F21" s="419"/>
      <c r="G21" s="421"/>
      <c r="H21" s="222" t="s">
        <v>119</v>
      </c>
      <c r="I21" s="123"/>
      <c r="J21" s="426" t="str">
        <f>メイン!C46</f>
        <v>□□　□□</v>
      </c>
      <c r="K21" s="268"/>
      <c r="L21" s="297"/>
      <c r="M21" s="298"/>
      <c r="N21" s="299"/>
      <c r="O21" s="300"/>
      <c r="S21" s="347"/>
      <c r="V21" s="361"/>
      <c r="W21" s="362"/>
      <c r="X21" s="348"/>
      <c r="Y21" s="348"/>
      <c r="Z21" s="348"/>
      <c r="AA21" s="348"/>
    </row>
    <row r="22" spans="2:27" ht="6" customHeight="1" thickBot="1">
      <c r="B22" s="60"/>
      <c r="C22" s="60"/>
      <c r="D22" s="60"/>
      <c r="E22" s="60"/>
      <c r="F22" s="60"/>
      <c r="G22" s="60"/>
      <c r="H22" s="60"/>
      <c r="I22" s="60"/>
      <c r="J22" s="60"/>
      <c r="K22" s="60"/>
      <c r="L22" s="60"/>
      <c r="M22" s="60"/>
      <c r="N22" s="60"/>
      <c r="O22" s="60"/>
      <c r="S22" s="347"/>
    </row>
    <row r="23" spans="2:27" ht="19.5" customHeight="1" thickBot="1">
      <c r="B23" s="104" t="s">
        <v>120</v>
      </c>
      <c r="C23" s="178"/>
      <c r="D23" s="263"/>
      <c r="E23" s="264"/>
      <c r="F23" s="264"/>
      <c r="G23" s="264"/>
      <c r="H23" s="176" t="s">
        <v>121</v>
      </c>
      <c r="I23" s="178"/>
      <c r="J23" s="263"/>
      <c r="K23" s="264"/>
      <c r="L23" s="176" t="s">
        <v>122</v>
      </c>
      <c r="M23" s="177"/>
      <c r="N23" s="179"/>
      <c r="O23" s="180"/>
      <c r="R23" s="349" t="s">
        <v>123</v>
      </c>
      <c r="S23" s="361"/>
      <c r="T23" s="348"/>
      <c r="U23" s="348"/>
    </row>
    <row r="24" spans="2:27" ht="22.65" customHeight="1">
      <c r="B24" s="124"/>
      <c r="C24" s="60"/>
      <c r="D24" s="60"/>
      <c r="E24" s="60"/>
      <c r="F24" s="60"/>
      <c r="G24" s="125"/>
      <c r="H24" s="220"/>
      <c r="I24" s="400" t="s">
        <v>124</v>
      </c>
      <c r="J24" s="397">
        <f>IF(ISERROR(V50),"-",V50)</f>
        <v>0</v>
      </c>
      <c r="K24" s="60"/>
      <c r="L24" s="398"/>
      <c r="M24" s="400"/>
      <c r="N24" s="397"/>
      <c r="O24" s="284"/>
      <c r="P24" s="60"/>
      <c r="Q24" s="60"/>
      <c r="R24" s="350"/>
      <c r="S24" s="363" t="s">
        <v>125</v>
      </c>
      <c r="T24" s="363" t="s">
        <v>80</v>
      </c>
      <c r="U24" s="363" t="s">
        <v>126</v>
      </c>
      <c r="V24" s="348"/>
      <c r="W24" s="363" t="s">
        <v>127</v>
      </c>
      <c r="X24" s="363"/>
      <c r="Y24" s="348"/>
      <c r="Z24" s="363" t="s">
        <v>128</v>
      </c>
      <c r="AA24" s="363"/>
    </row>
    <row r="25" spans="2:27" ht="22.65" customHeight="1">
      <c r="B25" s="124"/>
      <c r="C25" s="60"/>
      <c r="D25" s="60"/>
      <c r="E25" s="60"/>
      <c r="F25" s="60"/>
      <c r="G25" s="125"/>
      <c r="H25" s="423"/>
      <c r="I25" s="401" t="s">
        <v>129</v>
      </c>
      <c r="J25" s="397">
        <f>IF(ISERROR(V51),"-",V51)</f>
        <v>3</v>
      </c>
      <c r="K25" s="60"/>
      <c r="L25" s="399"/>
      <c r="M25" s="401"/>
      <c r="N25" s="397"/>
      <c r="O25" s="285"/>
      <c r="P25" s="60"/>
      <c r="Q25" s="60"/>
      <c r="R25" s="350" t="s">
        <v>130</v>
      </c>
      <c r="S25" s="364"/>
      <c r="T25" s="365">
        <f>S11</f>
        <v>2.9</v>
      </c>
      <c r="U25" s="364">
        <v>0</v>
      </c>
      <c r="V25" s="348"/>
      <c r="W25" s="364">
        <v>50</v>
      </c>
      <c r="X25" s="364">
        <v>50</v>
      </c>
      <c r="Y25" s="348"/>
      <c r="Z25" s="364">
        <v>0</v>
      </c>
      <c r="AA25" s="364">
        <v>100</v>
      </c>
    </row>
    <row r="26" spans="2:27" ht="27.9" customHeight="1">
      <c r="B26" s="124"/>
      <c r="C26" s="60"/>
      <c r="D26" s="60"/>
      <c r="E26" s="60"/>
      <c r="F26" s="60"/>
      <c r="G26" s="125"/>
      <c r="H26" s="423"/>
      <c r="I26" s="60"/>
      <c r="J26" s="60"/>
      <c r="K26" s="60"/>
      <c r="L26" s="280"/>
      <c r="M26" s="283"/>
      <c r="N26" s="282"/>
      <c r="O26" s="285"/>
      <c r="P26" s="60"/>
      <c r="Q26" s="60"/>
      <c r="R26" s="350" t="s">
        <v>131</v>
      </c>
      <c r="S26" s="364"/>
      <c r="T26" s="365">
        <f>S10</f>
        <v>50</v>
      </c>
      <c r="U26" s="364">
        <v>0</v>
      </c>
      <c r="V26" s="348"/>
      <c r="W26" s="364">
        <v>0</v>
      </c>
      <c r="X26" s="364">
        <v>100</v>
      </c>
      <c r="Y26" s="348"/>
      <c r="Z26" s="364">
        <v>50</v>
      </c>
      <c r="AA26" s="364">
        <v>50</v>
      </c>
    </row>
    <row r="27" spans="2:27" ht="27.9" customHeight="1">
      <c r="B27" s="124"/>
      <c r="C27" s="60"/>
      <c r="D27" s="60"/>
      <c r="E27" s="60"/>
      <c r="F27" s="60"/>
      <c r="G27" s="125"/>
      <c r="H27" s="60"/>
      <c r="I27" s="60"/>
      <c r="J27" s="64"/>
      <c r="K27" s="60"/>
      <c r="L27" s="280"/>
      <c r="M27" s="286"/>
      <c r="N27" s="282"/>
      <c r="O27" s="285"/>
      <c r="P27" s="60"/>
      <c r="Q27" s="60"/>
      <c r="S27" s="347"/>
    </row>
    <row r="28" spans="2:27" ht="27.9" customHeight="1">
      <c r="B28" s="124"/>
      <c r="C28" s="60"/>
      <c r="D28" s="60"/>
      <c r="E28" s="60"/>
      <c r="F28" s="60"/>
      <c r="G28" s="125"/>
      <c r="H28" s="124"/>
      <c r="I28" s="60"/>
      <c r="J28" s="60"/>
      <c r="K28" s="125"/>
      <c r="L28" s="280"/>
      <c r="M28" s="287"/>
      <c r="N28" s="282"/>
      <c r="O28" s="285"/>
      <c r="P28" s="60"/>
      <c r="Q28" s="60"/>
      <c r="R28" s="364">
        <v>0</v>
      </c>
      <c r="S28" s="363">
        <f>T25</f>
        <v>2.9</v>
      </c>
      <c r="T28" s="366">
        <f>T25</f>
        <v>2.9</v>
      </c>
      <c r="U28" s="363">
        <v>0.1</v>
      </c>
      <c r="V28" s="348"/>
      <c r="W28" s="348"/>
      <c r="X28" s="348"/>
      <c r="Y28" s="348"/>
      <c r="Z28" s="348"/>
      <c r="AA28" s="348"/>
    </row>
    <row r="29" spans="2:27" ht="27.9" customHeight="1">
      <c r="B29" s="124"/>
      <c r="C29" s="60"/>
      <c r="D29" s="60"/>
      <c r="E29" s="60"/>
      <c r="F29" s="60"/>
      <c r="G29" s="125"/>
      <c r="H29" s="1812"/>
      <c r="I29" s="60"/>
      <c r="J29" s="60"/>
      <c r="K29" s="175"/>
      <c r="L29" s="280"/>
      <c r="M29" s="287"/>
      <c r="N29" s="282"/>
      <c r="O29" s="285"/>
      <c r="P29" s="60"/>
      <c r="Q29" s="60"/>
      <c r="R29" s="364">
        <v>0</v>
      </c>
      <c r="S29" s="363">
        <v>0</v>
      </c>
      <c r="T29" s="363">
        <f>T26</f>
        <v>50</v>
      </c>
      <c r="U29" s="367">
        <f>T26</f>
        <v>50</v>
      </c>
      <c r="V29" s="348"/>
      <c r="W29" s="348"/>
      <c r="X29" s="348"/>
      <c r="Y29" s="348"/>
      <c r="Z29" s="348"/>
      <c r="AA29" s="348"/>
    </row>
    <row r="30" spans="2:27" ht="27.9" customHeight="1">
      <c r="B30" s="124"/>
      <c r="C30" s="60"/>
      <c r="D30" s="60"/>
      <c r="E30" s="60"/>
      <c r="F30" s="60"/>
      <c r="G30" s="125"/>
      <c r="H30" s="1812"/>
      <c r="I30" s="223"/>
      <c r="J30" s="60"/>
      <c r="K30" s="60"/>
      <c r="L30" s="280"/>
      <c r="M30" s="283"/>
      <c r="N30" s="282"/>
      <c r="O30" s="285"/>
      <c r="P30" s="60"/>
      <c r="Q30" s="60"/>
      <c r="S30" s="347"/>
      <c r="AA30" s="348"/>
    </row>
    <row r="31" spans="2:27" ht="27.9" customHeight="1">
      <c r="B31" s="124"/>
      <c r="C31" s="60"/>
      <c r="D31" s="60"/>
      <c r="E31" s="60"/>
      <c r="F31" s="60"/>
      <c r="G31" s="125"/>
      <c r="H31" s="1812"/>
      <c r="I31" s="60"/>
      <c r="J31" s="181"/>
      <c r="K31" s="1813"/>
      <c r="L31" s="280"/>
      <c r="M31" s="281"/>
      <c r="N31" s="282"/>
      <c r="O31" s="285"/>
      <c r="P31" s="60"/>
      <c r="Q31" s="60"/>
      <c r="R31" s="368" t="s">
        <v>100</v>
      </c>
      <c r="S31" s="363" t="s">
        <v>132</v>
      </c>
      <c r="T31" s="369">
        <v>0</v>
      </c>
      <c r="U31" s="369">
        <f>100/6</f>
        <v>16.666666666666668</v>
      </c>
      <c r="V31" s="370">
        <f>U31*2</f>
        <v>33.333333333333336</v>
      </c>
      <c r="W31" s="369">
        <f>U31*3</f>
        <v>50</v>
      </c>
      <c r="X31" s="369">
        <f>U31*4</f>
        <v>66.666666666666671</v>
      </c>
      <c r="Y31" s="369">
        <f>U31*5</f>
        <v>83.333333333333343</v>
      </c>
      <c r="Z31" s="369">
        <v>100</v>
      </c>
      <c r="AA31" s="348"/>
    </row>
    <row r="32" spans="2:27" ht="27.9" customHeight="1">
      <c r="B32" s="124"/>
      <c r="C32" s="60"/>
      <c r="D32" s="60"/>
      <c r="E32" s="60"/>
      <c r="F32" s="60"/>
      <c r="G32" s="125"/>
      <c r="H32" s="1812"/>
      <c r="I32" s="60"/>
      <c r="J32" s="60"/>
      <c r="K32" s="1813"/>
      <c r="L32" s="280"/>
      <c r="M32" s="283"/>
      <c r="N32" s="282"/>
      <c r="O32" s="285"/>
      <c r="P32" s="60"/>
      <c r="Q32" s="60"/>
      <c r="R32" s="368"/>
      <c r="S32" s="363" t="s">
        <v>133</v>
      </c>
      <c r="T32" s="369">
        <v>100</v>
      </c>
      <c r="U32" s="369">
        <v>100</v>
      </c>
      <c r="V32" s="369">
        <v>100</v>
      </c>
      <c r="W32" s="369">
        <v>100</v>
      </c>
      <c r="X32" s="369">
        <v>100</v>
      </c>
      <c r="Y32" s="369">
        <v>100</v>
      </c>
      <c r="Z32" s="369">
        <v>100</v>
      </c>
      <c r="AA32" s="348"/>
    </row>
    <row r="33" spans="1:26" ht="27.9" customHeight="1" thickBot="1">
      <c r="B33" s="182"/>
      <c r="C33" s="123"/>
      <c r="D33" s="123"/>
      <c r="E33" s="123"/>
      <c r="F33" s="123"/>
      <c r="G33" s="126"/>
      <c r="H33" s="123"/>
      <c r="I33" s="123"/>
      <c r="J33" s="123"/>
      <c r="K33" s="126" t="str">
        <f>IF(ISERROR(ROUND(#REF!,1)&amp;"%"),"",ROUND(#REF!,1)&amp;"%")</f>
        <v/>
      </c>
      <c r="L33" s="288"/>
      <c r="M33" s="289"/>
      <c r="N33" s="290"/>
      <c r="O33" s="418"/>
      <c r="P33" s="60"/>
      <c r="Q33" s="60"/>
      <c r="R33" s="368">
        <v>3</v>
      </c>
      <c r="S33" s="363" t="s">
        <v>134</v>
      </c>
      <c r="T33" s="369">
        <v>50</v>
      </c>
      <c r="U33" s="369">
        <f t="shared" ref="U33:V36" si="0">U$31*$R33</f>
        <v>50</v>
      </c>
      <c r="V33" s="369">
        <f t="shared" si="0"/>
        <v>100</v>
      </c>
      <c r="W33" s="369">
        <v>100</v>
      </c>
      <c r="X33" s="369">
        <v>100</v>
      </c>
      <c r="Y33" s="369">
        <v>100</v>
      </c>
      <c r="Z33" s="369">
        <v>100</v>
      </c>
    </row>
    <row r="34" spans="1:26" ht="19.5" customHeight="1" thickBot="1">
      <c r="B34" s="104" t="s">
        <v>135</v>
      </c>
      <c r="C34" s="105"/>
      <c r="D34" s="106"/>
      <c r="E34" s="105"/>
      <c r="F34" s="105"/>
      <c r="G34" s="105"/>
      <c r="H34" s="107"/>
      <c r="I34" s="108"/>
      <c r="J34" s="105"/>
      <c r="K34" s="105"/>
      <c r="L34" s="105"/>
      <c r="M34" s="109"/>
      <c r="N34" s="109"/>
      <c r="O34" s="110"/>
      <c r="R34" s="368">
        <v>1.5</v>
      </c>
      <c r="S34" s="363" t="s">
        <v>136</v>
      </c>
      <c r="T34" s="369">
        <v>0</v>
      </c>
      <c r="U34" s="369">
        <f t="shared" si="0"/>
        <v>25</v>
      </c>
      <c r="V34" s="369">
        <f t="shared" si="0"/>
        <v>50</v>
      </c>
      <c r="W34" s="369">
        <f t="shared" ref="W34:X36" si="1">W$31*$R34</f>
        <v>75</v>
      </c>
      <c r="X34" s="369">
        <f t="shared" si="1"/>
        <v>100</v>
      </c>
      <c r="Y34" s="369">
        <v>100</v>
      </c>
      <c r="Z34" s="369">
        <v>100</v>
      </c>
    </row>
    <row r="35" spans="1:26" ht="19.5" customHeight="1">
      <c r="B35" s="410" t="s">
        <v>137</v>
      </c>
      <c r="C35" s="411"/>
      <c r="D35" s="411"/>
      <c r="E35" s="412"/>
      <c r="F35" s="411"/>
      <c r="G35" s="411"/>
      <c r="H35" s="411"/>
      <c r="I35" s="411"/>
      <c r="J35" s="411"/>
      <c r="K35" s="413"/>
      <c r="L35" s="414"/>
      <c r="M35" s="415" t="s">
        <v>138</v>
      </c>
      <c r="N35" s="416">
        <f>IF(ISERROR(スコア!R7),"ERROR",スコア!R7)</f>
        <v>3</v>
      </c>
      <c r="O35" s="417"/>
      <c r="R35" s="368">
        <v>1</v>
      </c>
      <c r="S35" s="363" t="s">
        <v>139</v>
      </c>
      <c r="T35" s="369">
        <v>0</v>
      </c>
      <c r="U35" s="369">
        <f t="shared" si="0"/>
        <v>16.666666666666668</v>
      </c>
      <c r="V35" s="369">
        <f t="shared" si="0"/>
        <v>33.333333333333336</v>
      </c>
      <c r="W35" s="369">
        <f t="shared" si="1"/>
        <v>50</v>
      </c>
      <c r="X35" s="369">
        <f t="shared" si="1"/>
        <v>66.666666666666671</v>
      </c>
      <c r="Y35" s="369">
        <f>Y$31*$R35</f>
        <v>83.333333333333343</v>
      </c>
      <c r="Z35" s="369">
        <f>Z$31*$R35</f>
        <v>100</v>
      </c>
    </row>
    <row r="36" spans="1:26" ht="15" customHeight="1">
      <c r="B36" s="127"/>
      <c r="C36" s="23" t="s">
        <v>140</v>
      </c>
      <c r="D36" s="24"/>
      <c r="E36" s="24"/>
      <c r="F36" s="24"/>
      <c r="G36" s="24"/>
      <c r="H36" s="24" t="s">
        <v>141</v>
      </c>
      <c r="I36" s="25"/>
      <c r="J36" s="25"/>
      <c r="K36" s="25"/>
      <c r="L36" s="26" t="s">
        <v>142</v>
      </c>
      <c r="M36" s="60"/>
      <c r="N36" s="25"/>
      <c r="O36" s="27"/>
      <c r="Q36" s="60"/>
      <c r="R36" s="368">
        <v>0.5</v>
      </c>
      <c r="S36" s="363" t="s">
        <v>143</v>
      </c>
      <c r="T36" s="369">
        <v>0</v>
      </c>
      <c r="U36" s="369">
        <f t="shared" si="0"/>
        <v>8.3333333333333339</v>
      </c>
      <c r="V36" s="369">
        <f t="shared" si="0"/>
        <v>16.666666666666668</v>
      </c>
      <c r="W36" s="369">
        <f t="shared" si="1"/>
        <v>25</v>
      </c>
      <c r="X36" s="369">
        <f t="shared" si="1"/>
        <v>33.333333333333336</v>
      </c>
      <c r="Y36" s="369">
        <f>Y$31*$R36</f>
        <v>41.666666666666671</v>
      </c>
      <c r="Z36" s="369">
        <f>Z$31*$R36</f>
        <v>50</v>
      </c>
    </row>
    <row r="37" spans="1:26" ht="15" customHeight="1">
      <c r="B37" s="124"/>
      <c r="C37" s="28"/>
      <c r="D37" s="29"/>
      <c r="E37" s="30"/>
      <c r="F37" s="60"/>
      <c r="G37" s="344">
        <f>S39</f>
        <v>3</v>
      </c>
      <c r="H37" s="60"/>
      <c r="I37" s="31"/>
      <c r="J37" s="60"/>
      <c r="K37" s="344">
        <f>V39</f>
        <v>3</v>
      </c>
      <c r="L37" s="60"/>
      <c r="M37" s="32"/>
      <c r="N37" s="31"/>
      <c r="O37" s="218">
        <f>Y39</f>
        <v>3.1</v>
      </c>
      <c r="S37" s="347"/>
    </row>
    <row r="38" spans="1:26" ht="15" customHeight="1">
      <c r="B38" s="124"/>
      <c r="C38" s="60"/>
      <c r="D38" s="60"/>
      <c r="E38" s="60"/>
      <c r="F38" s="60"/>
      <c r="G38" s="15"/>
      <c r="H38" s="15"/>
      <c r="I38" s="16"/>
      <c r="J38" s="16"/>
      <c r="K38" s="15"/>
      <c r="L38" s="25"/>
      <c r="M38" s="25"/>
      <c r="N38" s="25"/>
      <c r="O38" s="27"/>
      <c r="R38" s="350"/>
      <c r="S38" s="350" t="s">
        <v>144</v>
      </c>
      <c r="T38" s="350" t="s">
        <v>145</v>
      </c>
      <c r="U38" s="350"/>
      <c r="V38" s="350" t="s">
        <v>144</v>
      </c>
      <c r="W38" s="350" t="s">
        <v>145</v>
      </c>
      <c r="X38" s="350"/>
      <c r="Y38" s="350" t="s">
        <v>144</v>
      </c>
      <c r="Z38" s="350" t="s">
        <v>145</v>
      </c>
    </row>
    <row r="39" spans="1:26" ht="15" customHeight="1">
      <c r="B39" s="124"/>
      <c r="C39" s="60"/>
      <c r="D39" s="60"/>
      <c r="E39" s="60"/>
      <c r="F39" s="60"/>
      <c r="G39" s="15"/>
      <c r="H39" s="15"/>
      <c r="I39" s="16"/>
      <c r="J39" s="16"/>
      <c r="K39" s="15"/>
      <c r="L39" s="25"/>
      <c r="M39" s="25"/>
      <c r="N39" s="25"/>
      <c r="O39" s="27"/>
      <c r="R39" s="371" t="s">
        <v>102</v>
      </c>
      <c r="S39" s="372">
        <f>IF(ISERROR(スコア!R8),"ERROR",スコア!R8)</f>
        <v>3</v>
      </c>
      <c r="T39" s="350" t="str">
        <f>IF(S39=0,"N.A.","")</f>
        <v/>
      </c>
      <c r="U39" s="373" t="s">
        <v>146</v>
      </c>
      <c r="V39" s="374">
        <f>IF(ISERROR(スコア!R41),"ERROR",スコア!R41)</f>
        <v>3</v>
      </c>
      <c r="W39" s="350" t="str">
        <f>IF(V39=0,"N.A.","")</f>
        <v/>
      </c>
      <c r="X39" s="371" t="s">
        <v>91</v>
      </c>
      <c r="Y39" s="374">
        <f>IF(ISERROR(スコア!R74),"ERROR",スコア!R74)</f>
        <v>3.1</v>
      </c>
      <c r="Z39" s="350" t="str">
        <f>IF(Y39=0,"N.A.","")</f>
        <v/>
      </c>
    </row>
    <row r="40" spans="1:26" ht="15" customHeight="1">
      <c r="B40" s="124"/>
      <c r="C40" s="60"/>
      <c r="D40" s="60"/>
      <c r="E40" s="60"/>
      <c r="F40" s="60"/>
      <c r="G40" s="15"/>
      <c r="H40" s="15"/>
      <c r="I40" s="16"/>
      <c r="J40" s="16"/>
      <c r="K40" s="15"/>
      <c r="L40" s="25"/>
      <c r="M40" s="25"/>
      <c r="N40" s="25"/>
      <c r="O40" s="27"/>
      <c r="R40" s="375">
        <f>スコア!C9</f>
        <v>0</v>
      </c>
      <c r="S40" s="372">
        <f>IF(ISERROR(スコア!R9),"",スコア!R9)</f>
        <v>3</v>
      </c>
      <c r="T40" s="350" t="str">
        <f>IF(S40=0,"N.A.","")</f>
        <v/>
      </c>
      <c r="U40" s="373" t="e">
        <f>スコア!#REF!</f>
        <v>#REF!</v>
      </c>
      <c r="V40" s="374" t="str">
        <f>IF(ISERROR(スコア!#REF!),"",スコア!#REF!)</f>
        <v/>
      </c>
      <c r="W40" s="350" t="str">
        <f>IF(V40=0,"N.A.","")</f>
        <v/>
      </c>
      <c r="X40" s="375">
        <f>スコア!C75</f>
        <v>0</v>
      </c>
      <c r="Y40" s="374">
        <f>IF(ISERROR(スコア!R75),"",スコア!R75)</f>
        <v>3</v>
      </c>
      <c r="Z40" s="350" t="str">
        <f>IF(Y40=0,"N.A.","")</f>
        <v/>
      </c>
    </row>
    <row r="41" spans="1:26" ht="15" customHeight="1">
      <c r="B41" s="124"/>
      <c r="C41" s="60"/>
      <c r="D41" s="60"/>
      <c r="E41" s="60"/>
      <c r="F41" s="60"/>
      <c r="G41" s="15"/>
      <c r="H41" s="15"/>
      <c r="I41" s="16"/>
      <c r="J41" s="16"/>
      <c r="K41" s="15"/>
      <c r="L41" s="25"/>
      <c r="M41" s="25"/>
      <c r="N41" s="25"/>
      <c r="O41" s="27"/>
      <c r="R41" s="375">
        <f>スコア!C25</f>
        <v>0</v>
      </c>
      <c r="S41" s="372">
        <f>IF(ISERROR(スコア!R25),"",スコア!R25)</f>
        <v>3</v>
      </c>
      <c r="T41" s="350" t="str">
        <f>IF(S41=0,"N.A.","")</f>
        <v/>
      </c>
      <c r="U41" s="373" t="e">
        <f>スコア!#REF!</f>
        <v>#REF!</v>
      </c>
      <c r="V41" s="374" t="str">
        <f>IF(ISERROR(スコア!#REF!),"",スコア!#REF!)</f>
        <v/>
      </c>
      <c r="W41" s="350" t="str">
        <f>IF(V41=0,"N.A.","")</f>
        <v/>
      </c>
      <c r="X41" s="375">
        <f>スコア!C85</f>
        <v>0</v>
      </c>
      <c r="Y41" s="374">
        <f>IF(ISERROR(スコア!R85),"",スコア!R85)</f>
        <v>3.5</v>
      </c>
      <c r="Z41" s="350" t="str">
        <f>IF(Y41=0,"N.A.","")</f>
        <v/>
      </c>
    </row>
    <row r="42" spans="1:26" ht="15" customHeight="1">
      <c r="B42" s="124"/>
      <c r="C42" s="60"/>
      <c r="D42" s="60"/>
      <c r="E42" s="60"/>
      <c r="F42" s="60"/>
      <c r="G42" s="15"/>
      <c r="H42" s="15"/>
      <c r="I42" s="16"/>
      <c r="J42" s="16"/>
      <c r="K42" s="15"/>
      <c r="L42" s="25"/>
      <c r="M42" s="25"/>
      <c r="N42" s="25"/>
      <c r="O42" s="27"/>
      <c r="R42" s="375" t="e">
        <f>スコア!#REF!</f>
        <v>#REF!</v>
      </c>
      <c r="S42" s="372" t="str">
        <f>IF(ISERROR(スコア!#REF!),"",スコア!#REF!)</f>
        <v/>
      </c>
      <c r="T42" s="350" t="str">
        <f>IF(S42=0,"N.A.","")</f>
        <v/>
      </c>
      <c r="U42" s="373">
        <f>スコア!C48</f>
        <v>0</v>
      </c>
      <c r="V42" s="374">
        <f>IF(ISERROR(スコア!R48),"",スコア!R48)</f>
        <v>0</v>
      </c>
      <c r="W42" s="350" t="str">
        <f>IF(V42=0,"N.A.","")</f>
        <v>N.A.</v>
      </c>
      <c r="X42" s="375">
        <f>スコア!C90</f>
        <v>0</v>
      </c>
      <c r="Y42" s="374">
        <f>IF(ISERROR(スコア!R90),"",スコア!R90)</f>
        <v>3</v>
      </c>
      <c r="Z42" s="350" t="str">
        <f>IF(Y42=0,"N.A.","")</f>
        <v/>
      </c>
    </row>
    <row r="43" spans="1:26" ht="15" customHeight="1">
      <c r="B43" s="124"/>
      <c r="C43" s="60"/>
      <c r="D43" s="60"/>
      <c r="E43" s="60"/>
      <c r="F43" s="60"/>
      <c r="G43" s="33"/>
      <c r="H43" s="33"/>
      <c r="I43" s="16"/>
      <c r="J43" s="16"/>
      <c r="K43" s="15"/>
      <c r="L43" s="25"/>
      <c r="M43" s="25"/>
      <c r="N43" s="25"/>
      <c r="O43" s="27"/>
      <c r="R43" s="376"/>
      <c r="S43" s="377"/>
      <c r="T43" s="348"/>
      <c r="U43" s="378"/>
      <c r="V43" s="379"/>
      <c r="W43" s="348"/>
      <c r="X43" s="378"/>
      <c r="Y43" s="380"/>
      <c r="Z43" s="348"/>
    </row>
    <row r="44" spans="1:26" ht="15" customHeight="1">
      <c r="B44" s="124"/>
      <c r="C44" s="60"/>
      <c r="D44" s="60"/>
      <c r="E44" s="60"/>
      <c r="F44" s="60"/>
      <c r="G44" s="33"/>
      <c r="H44" s="33"/>
      <c r="I44" s="16"/>
      <c r="J44" s="16"/>
      <c r="K44" s="15"/>
      <c r="L44" s="25"/>
      <c r="M44" s="25"/>
      <c r="N44" s="25"/>
      <c r="O44" s="27"/>
      <c r="R44" s="350"/>
      <c r="S44" s="350" t="s">
        <v>144</v>
      </c>
      <c r="T44" s="350" t="s">
        <v>145</v>
      </c>
      <c r="U44" s="350"/>
      <c r="V44" s="350" t="s">
        <v>144</v>
      </c>
      <c r="W44" s="350" t="s">
        <v>145</v>
      </c>
      <c r="X44" s="350"/>
      <c r="Y44" s="350" t="s">
        <v>144</v>
      </c>
      <c r="Z44" s="350" t="s">
        <v>145</v>
      </c>
    </row>
    <row r="45" spans="1:26" ht="18" customHeight="1">
      <c r="B45" s="128"/>
      <c r="C45" s="129"/>
      <c r="D45" s="129"/>
      <c r="E45" s="129"/>
      <c r="F45" s="129"/>
      <c r="G45" s="34"/>
      <c r="H45" s="34"/>
      <c r="I45" s="35"/>
      <c r="J45" s="35"/>
      <c r="K45" s="36"/>
      <c r="L45" s="37"/>
      <c r="M45" s="37"/>
      <c r="N45" s="37"/>
      <c r="O45" s="38"/>
      <c r="R45" s="371" t="s">
        <v>147</v>
      </c>
      <c r="S45" s="381"/>
      <c r="T45" s="350"/>
      <c r="U45" s="371" t="s">
        <v>148</v>
      </c>
      <c r="V45" s="381"/>
      <c r="W45" s="350"/>
      <c r="X45" s="371" t="s">
        <v>149</v>
      </c>
      <c r="Y45" s="381"/>
      <c r="Z45" s="350"/>
    </row>
    <row r="46" spans="1:26" ht="19.5" customHeight="1">
      <c r="A46" s="27"/>
      <c r="B46" s="402" t="s">
        <v>150</v>
      </c>
      <c r="C46" s="403"/>
      <c r="D46" s="404"/>
      <c r="E46" s="403"/>
      <c r="F46" s="403"/>
      <c r="G46" s="403"/>
      <c r="H46" s="403"/>
      <c r="I46" s="403"/>
      <c r="J46" s="403"/>
      <c r="K46" s="405"/>
      <c r="L46" s="406"/>
      <c r="M46" s="407" t="s">
        <v>151</v>
      </c>
      <c r="N46" s="408">
        <f>IF(ISERROR(スコア!R100),"ERROR",スコア!R100)</f>
        <v>3</v>
      </c>
      <c r="O46" s="409"/>
      <c r="R46" s="371" t="s">
        <v>152</v>
      </c>
      <c r="S46" s="382">
        <f>IF(ISERROR(スコア!P102),"",スコア!P102)</f>
        <v>0</v>
      </c>
      <c r="T46" s="391" t="str">
        <f>IF(S46=0,"N.A.","")</f>
        <v>N.A.</v>
      </c>
      <c r="U46" s="371" t="s">
        <v>152</v>
      </c>
      <c r="V46" s="374" t="str">
        <f>IF(ISERROR(スコア!#REF!),"",スコア!#REF!)</f>
        <v/>
      </c>
      <c r="W46" s="391" t="str">
        <f>IF(V46=0,"N.A.","")</f>
        <v/>
      </c>
      <c r="X46" s="371" t="s">
        <v>152</v>
      </c>
      <c r="Y46" s="434" t="str">
        <f>IF(ISERROR(スコア!#REF!),"",IF(スコア!#REF!*-1=0,"",スコア!#REF!*-1))</f>
        <v/>
      </c>
      <c r="Z46" s="391" t="str">
        <f>IF(Y46=0,"N.A.","")</f>
        <v/>
      </c>
    </row>
    <row r="47" spans="1:26" ht="13.8">
      <c r="B47" s="71"/>
      <c r="C47" s="23" t="s">
        <v>153</v>
      </c>
      <c r="D47" s="72"/>
      <c r="E47" s="386"/>
      <c r="F47" s="72"/>
      <c r="G47" s="72"/>
      <c r="H47" s="24" t="s">
        <v>154</v>
      </c>
      <c r="I47" s="60"/>
      <c r="J47" s="72"/>
      <c r="K47" s="60"/>
      <c r="L47" s="26" t="s">
        <v>155</v>
      </c>
      <c r="M47" s="60"/>
      <c r="N47" s="72"/>
      <c r="O47" s="73"/>
      <c r="R47" s="375" t="s">
        <v>156</v>
      </c>
      <c r="S47" s="382">
        <f>IF(ISERROR(スコア!P105),"",スコア!P105)</f>
        <v>3</v>
      </c>
      <c r="T47" s="391" t="str">
        <f>IF(S47=0,"N.A.","")</f>
        <v/>
      </c>
      <c r="U47" s="383" t="s">
        <v>156</v>
      </c>
      <c r="V47" s="374" t="str">
        <f>IF(ISERROR(スコア!#REF!),"",スコア!#REF!)</f>
        <v/>
      </c>
      <c r="W47" s="391" t="str">
        <f>IF(V47=0,"N.A.","")</f>
        <v/>
      </c>
      <c r="X47" s="375" t="s">
        <v>156</v>
      </c>
      <c r="Y47" s="374" t="str">
        <f>IF(ISERROR(スコア!#REF!),"",IF(スコア!#REF!*-1=0,"",スコア!#REF!*-1))</f>
        <v/>
      </c>
      <c r="Z47" s="391" t="str">
        <f>IF(Y47=0,"N.A.","")</f>
        <v/>
      </c>
    </row>
    <row r="48" spans="1:26" ht="13.8">
      <c r="B48" s="74"/>
      <c r="C48" s="75"/>
      <c r="D48" s="76"/>
      <c r="E48" s="386"/>
      <c r="F48" s="60"/>
      <c r="G48" s="77"/>
      <c r="H48" s="60"/>
      <c r="I48" s="78"/>
      <c r="J48" s="60"/>
      <c r="K48" s="217"/>
      <c r="L48" s="60"/>
      <c r="M48" s="60"/>
      <c r="N48" s="78"/>
      <c r="O48" s="219"/>
      <c r="R48" s="348"/>
      <c r="S48" s="348"/>
      <c r="T48" s="348"/>
      <c r="U48" s="348"/>
      <c r="V48" s="348"/>
      <c r="W48" s="348"/>
      <c r="X48" s="348"/>
      <c r="Y48" s="348"/>
      <c r="Z48" s="348"/>
    </row>
    <row r="49" spans="2:24" ht="13.8">
      <c r="B49" s="74"/>
      <c r="C49" s="79"/>
      <c r="D49" s="79"/>
      <c r="E49" s="80"/>
      <c r="F49" s="81"/>
      <c r="G49" s="81"/>
      <c r="H49" s="81"/>
      <c r="O49" s="65"/>
      <c r="R49" s="350"/>
      <c r="S49" s="373" t="s">
        <v>157</v>
      </c>
      <c r="T49" s="373" t="s">
        <v>158</v>
      </c>
      <c r="U49" s="373" t="s">
        <v>159</v>
      </c>
      <c r="V49" s="373" t="s">
        <v>160</v>
      </c>
      <c r="W49" s="350" t="s">
        <v>145</v>
      </c>
      <c r="X49" s="348"/>
    </row>
    <row r="50" spans="2:24" ht="15.75" customHeight="1">
      <c r="B50" s="74"/>
      <c r="C50" s="64"/>
      <c r="D50" s="83"/>
      <c r="I50" s="85"/>
      <c r="O50" s="65"/>
      <c r="R50" s="350" t="s">
        <v>152</v>
      </c>
      <c r="S50" s="387">
        <f>IF(ISERROR(スコア!P102),"",スコア!P102)</f>
        <v>0</v>
      </c>
      <c r="T50" s="387" t="str">
        <f>IF(ISERROR(スコア!#REF!),"",スコア!#REF!)</f>
        <v/>
      </c>
      <c r="U50" s="387" t="str">
        <f>IF(ISERROR(スコア!#REF!),"",スコア!#REF!)</f>
        <v/>
      </c>
      <c r="V50" s="388">
        <f>SUM(S50:U50)</f>
        <v>0</v>
      </c>
      <c r="W50" s="350" t="str">
        <f>IF(V50=0,"N.A.","")</f>
        <v>N.A.</v>
      </c>
      <c r="X50" s="385" t="s">
        <v>161</v>
      </c>
    </row>
    <row r="51" spans="2:24" ht="15.75" customHeight="1">
      <c r="B51" s="74"/>
      <c r="I51" s="85"/>
      <c r="O51" s="65"/>
      <c r="R51" s="373" t="s">
        <v>156</v>
      </c>
      <c r="S51" s="387">
        <f>IF(ISERROR(スコア!P105),"",スコア!P105)</f>
        <v>3</v>
      </c>
      <c r="T51" s="387" t="str">
        <f>IF(ISERROR(スコア!#REF!),"",スコア!#REF!)</f>
        <v/>
      </c>
      <c r="U51" s="387" t="str">
        <f>IF(ISERROR(スコア!#REF!),"",スコア!#REF!)</f>
        <v/>
      </c>
      <c r="V51" s="388">
        <f>SUM(S51:U51)</f>
        <v>3</v>
      </c>
      <c r="W51" s="350" t="str">
        <f>IF(V51=0,"N.A.","")</f>
        <v/>
      </c>
      <c r="X51" s="385" t="s">
        <v>161</v>
      </c>
    </row>
    <row r="52" spans="2:24" ht="15.75" customHeight="1">
      <c r="B52" s="88"/>
      <c r="I52" s="85"/>
      <c r="O52" s="65"/>
      <c r="R52" s="348"/>
      <c r="S52" s="348"/>
      <c r="T52" s="348"/>
      <c r="U52" s="348"/>
      <c r="V52" s="348"/>
      <c r="W52" s="348"/>
      <c r="X52" s="348"/>
    </row>
    <row r="53" spans="2:24" ht="15.75" customHeight="1">
      <c r="B53" s="88"/>
      <c r="I53" s="85"/>
      <c r="O53" s="65"/>
      <c r="R53" s="350"/>
      <c r="S53" s="373" t="s">
        <v>162</v>
      </c>
      <c r="T53" s="348"/>
      <c r="U53" s="348"/>
      <c r="V53" s="348"/>
      <c r="W53" s="348"/>
      <c r="X53" s="348"/>
    </row>
    <row r="54" spans="2:24" ht="15.75" customHeight="1">
      <c r="B54" s="88"/>
      <c r="I54" s="85"/>
      <c r="O54" s="65"/>
      <c r="R54" s="373" t="s">
        <v>156</v>
      </c>
      <c r="S54" s="387">
        <f>IF(ISERROR(V51),"",V51)</f>
        <v>3</v>
      </c>
      <c r="T54" s="97" t="s">
        <v>163</v>
      </c>
      <c r="U54" s="348"/>
      <c r="V54" s="348"/>
      <c r="W54" s="348"/>
      <c r="X54" s="348"/>
    </row>
    <row r="55" spans="2:24" ht="15.75" customHeight="1">
      <c r="B55" s="88"/>
      <c r="I55" s="85"/>
      <c r="O55" s="65"/>
      <c r="R55" s="373" t="s">
        <v>152</v>
      </c>
      <c r="S55" s="387">
        <f>IF(ISERROR(V50),"",V50)</f>
        <v>0</v>
      </c>
      <c r="T55" s="97" t="s">
        <v>163</v>
      </c>
      <c r="U55" s="348"/>
      <c r="V55" s="348"/>
      <c r="W55" s="348"/>
      <c r="X55" s="348"/>
    </row>
    <row r="56" spans="2:24" ht="15.75" customHeight="1" thickBot="1">
      <c r="B56" s="89"/>
      <c r="C56" s="90"/>
      <c r="D56" s="91"/>
      <c r="E56" s="90"/>
      <c r="F56" s="92"/>
      <c r="G56" s="92"/>
      <c r="H56" s="92"/>
      <c r="I56" s="93"/>
      <c r="J56" s="94"/>
      <c r="K56" s="94"/>
      <c r="L56" s="94"/>
      <c r="M56" s="95"/>
      <c r="N56" s="95"/>
      <c r="O56" s="96"/>
      <c r="R56" s="348"/>
      <c r="S56" s="348"/>
      <c r="T56" s="348"/>
      <c r="U56" s="348"/>
      <c r="V56" s="348"/>
      <c r="W56" s="348"/>
      <c r="X56" s="348"/>
    </row>
    <row r="57" spans="2:24" ht="15.75" customHeight="1">
      <c r="B57" s="81"/>
      <c r="C57" s="81"/>
      <c r="D57" s="79"/>
      <c r="E57" s="81"/>
      <c r="I57" s="85"/>
      <c r="J57" s="63"/>
      <c r="K57" s="63"/>
      <c r="L57" s="63"/>
      <c r="R57" s="348"/>
      <c r="S57" s="348"/>
      <c r="T57" s="348"/>
      <c r="U57" s="348"/>
      <c r="V57" s="348"/>
      <c r="W57" s="348"/>
      <c r="X57" s="348"/>
    </row>
    <row r="58" spans="2:24" ht="15.75" customHeight="1">
      <c r="B58" s="81"/>
      <c r="C58" s="81"/>
      <c r="D58" s="79"/>
      <c r="E58" s="81"/>
      <c r="I58" s="85"/>
      <c r="J58" s="63"/>
      <c r="K58" s="63"/>
      <c r="L58" s="63"/>
      <c r="R58" s="348"/>
      <c r="S58" s="348"/>
      <c r="T58" s="348"/>
      <c r="U58" s="348"/>
      <c r="V58" s="348"/>
      <c r="W58" s="348"/>
      <c r="X58" s="348"/>
    </row>
    <row r="59" spans="2:24" ht="15.75" customHeight="1">
      <c r="B59" s="81"/>
      <c r="C59" s="81"/>
      <c r="D59" s="79"/>
      <c r="E59" s="81"/>
      <c r="I59" s="85"/>
      <c r="J59" s="63"/>
      <c r="K59" s="63"/>
      <c r="L59" s="63"/>
      <c r="R59" s="348"/>
      <c r="S59" s="348"/>
      <c r="T59" s="348"/>
      <c r="U59" s="348"/>
      <c r="V59" s="348"/>
      <c r="W59" s="348"/>
      <c r="X59" s="348"/>
    </row>
    <row r="60" spans="2:24" ht="15.75" customHeight="1">
      <c r="B60" s="81"/>
      <c r="C60" s="81"/>
      <c r="D60" s="79"/>
      <c r="E60" s="81"/>
      <c r="I60" s="85"/>
      <c r="J60" s="63"/>
      <c r="K60" s="63"/>
      <c r="L60" s="63"/>
      <c r="R60" s="348"/>
      <c r="S60" s="348"/>
      <c r="T60" s="348"/>
      <c r="U60" s="348"/>
      <c r="V60" s="348"/>
      <c r="W60" s="348"/>
      <c r="X60" s="348"/>
    </row>
    <row r="61" spans="2:24" ht="15.75" customHeight="1">
      <c r="B61" s="81"/>
      <c r="C61" s="81"/>
      <c r="D61" s="79"/>
      <c r="E61" s="81"/>
      <c r="I61" s="85"/>
      <c r="J61" s="63"/>
      <c r="K61" s="63"/>
      <c r="L61" s="63"/>
      <c r="R61" s="348"/>
      <c r="S61" s="348"/>
      <c r="T61" s="348"/>
      <c r="U61" s="348"/>
      <c r="V61" s="348"/>
      <c r="W61" s="348"/>
      <c r="X61" s="348"/>
    </row>
    <row r="62" spans="2:24" ht="15.75" customHeight="1">
      <c r="B62" s="81"/>
      <c r="C62" s="81"/>
      <c r="D62" s="79"/>
      <c r="E62" s="81"/>
      <c r="I62" s="85"/>
      <c r="J62" s="63"/>
      <c r="K62" s="63"/>
      <c r="L62" s="63"/>
      <c r="R62" s="348"/>
      <c r="S62" s="348"/>
      <c r="T62" s="348"/>
      <c r="U62" s="348"/>
      <c r="V62" s="348"/>
      <c r="W62" s="348"/>
      <c r="X62" s="348"/>
    </row>
    <row r="63" spans="2:24" ht="15.75" customHeight="1">
      <c r="B63" s="81"/>
      <c r="C63" s="81"/>
      <c r="D63" s="79"/>
      <c r="E63" s="81"/>
      <c r="I63" s="85"/>
      <c r="J63" s="63"/>
      <c r="K63" s="63"/>
      <c r="L63" s="63"/>
      <c r="R63" s="348"/>
      <c r="S63" s="348"/>
      <c r="T63" s="348"/>
      <c r="U63" s="348"/>
      <c r="V63" s="348"/>
      <c r="W63" s="348"/>
      <c r="X63" s="348"/>
    </row>
    <row r="64" spans="2:24" ht="6" customHeight="1" thickBot="1">
      <c r="B64" s="40"/>
      <c r="C64" s="39"/>
      <c r="D64" s="41"/>
      <c r="E64" s="14"/>
      <c r="F64" s="15"/>
      <c r="G64" s="15"/>
      <c r="H64" s="15"/>
      <c r="I64" s="16"/>
      <c r="J64" s="16"/>
      <c r="K64" s="15"/>
      <c r="L64" s="15"/>
      <c r="M64" s="19"/>
      <c r="N64" s="19"/>
      <c r="O64" s="19"/>
      <c r="R64" s="348"/>
      <c r="S64" s="348"/>
      <c r="T64" s="348"/>
      <c r="U64" s="348"/>
      <c r="V64" s="348"/>
      <c r="W64" s="348"/>
      <c r="X64" s="348"/>
    </row>
    <row r="65" spans="1:16" ht="15.6">
      <c r="B65" s="98" t="s">
        <v>164</v>
      </c>
      <c r="C65" s="99"/>
      <c r="D65" s="100"/>
      <c r="E65" s="99"/>
      <c r="F65" s="99"/>
      <c r="G65" s="99"/>
      <c r="H65" s="101"/>
      <c r="I65" s="102"/>
      <c r="J65" s="99"/>
      <c r="K65" s="99"/>
      <c r="L65" s="99"/>
      <c r="M65" s="103"/>
      <c r="N65" s="103"/>
      <c r="O65" s="183"/>
    </row>
    <row r="66" spans="1:16" ht="13.8">
      <c r="B66" s="184" t="str">
        <f>配慮!B6</f>
        <v>総合</v>
      </c>
      <c r="C66" s="185"/>
      <c r="D66" s="186"/>
      <c r="E66" s="185"/>
      <c r="F66" s="185"/>
      <c r="G66" s="185"/>
      <c r="H66" s="185"/>
      <c r="I66" s="185"/>
      <c r="J66" s="185"/>
      <c r="K66" s="187"/>
      <c r="L66" s="188" t="str">
        <f>配慮!B13</f>
        <v>その他</v>
      </c>
      <c r="M66" s="189"/>
      <c r="N66" s="189"/>
      <c r="O66" s="190"/>
    </row>
    <row r="67" spans="1:16" ht="52.5" customHeight="1">
      <c r="B67" s="1754" t="str">
        <f>IF(配慮!C6="","",配慮!C6)</f>
        <v/>
      </c>
      <c r="C67" s="1755"/>
      <c r="D67" s="1755"/>
      <c r="E67" s="1755"/>
      <c r="F67" s="1755"/>
      <c r="G67" s="1755"/>
      <c r="H67" s="1755"/>
      <c r="I67" s="1755"/>
      <c r="J67" s="1755"/>
      <c r="K67" s="1756"/>
      <c r="L67" s="1757" t="str">
        <f>IF(配慮!C13="","",配慮!C13)</f>
        <v/>
      </c>
      <c r="M67" s="1757"/>
      <c r="N67" s="1757"/>
      <c r="O67" s="1758"/>
    </row>
    <row r="68" spans="1:16" ht="13.8">
      <c r="B68" s="191" t="s">
        <v>165</v>
      </c>
      <c r="C68" s="189"/>
      <c r="D68" s="189"/>
      <c r="E68" s="189"/>
      <c r="F68" s="189"/>
      <c r="G68" s="192"/>
      <c r="H68" s="276" t="s">
        <v>166</v>
      </c>
      <c r="I68" s="193"/>
      <c r="J68" s="193"/>
      <c r="K68" s="194"/>
      <c r="L68" s="277" t="s">
        <v>167</v>
      </c>
      <c r="M68" s="195"/>
      <c r="N68" s="196"/>
      <c r="O68" s="197"/>
    </row>
    <row r="69" spans="1:16" ht="50.25" customHeight="1">
      <c r="B69" s="1765" t="str">
        <f>IF(配慮!C7="","",配慮!C7)</f>
        <v/>
      </c>
      <c r="C69" s="1757"/>
      <c r="D69" s="1757"/>
      <c r="E69" s="1757"/>
      <c r="F69" s="1757"/>
      <c r="G69" s="1766"/>
      <c r="H69" s="1767" t="str">
        <f>IF(配慮!C8="","",配慮!C8)</f>
        <v/>
      </c>
      <c r="I69" s="1757"/>
      <c r="J69" s="1757"/>
      <c r="K69" s="1766"/>
      <c r="L69" s="1767" t="str">
        <f>IF(配慮!C9="","",配慮!C9)</f>
        <v/>
      </c>
      <c r="M69" s="1757"/>
      <c r="N69" s="1757"/>
      <c r="O69" s="1758"/>
    </row>
    <row r="70" spans="1:16" ht="13.8">
      <c r="B70" s="191" t="s">
        <v>168</v>
      </c>
      <c r="C70" s="198"/>
      <c r="D70" s="186"/>
      <c r="E70" s="186"/>
      <c r="F70" s="186"/>
      <c r="G70" s="199"/>
      <c r="H70" s="278" t="s">
        <v>169</v>
      </c>
      <c r="I70" s="189"/>
      <c r="J70" s="189"/>
      <c r="K70" s="192"/>
      <c r="L70" s="279" t="s">
        <v>170</v>
      </c>
      <c r="M70" s="198"/>
      <c r="N70" s="186"/>
      <c r="O70" s="200"/>
    </row>
    <row r="71" spans="1:16" ht="61.5" customHeight="1" thickBot="1">
      <c r="B71" s="1768" t="str">
        <f>IF(配慮!C10="","",配慮!C10)</f>
        <v/>
      </c>
      <c r="C71" s="1769"/>
      <c r="D71" s="1769"/>
      <c r="E71" s="1769"/>
      <c r="F71" s="1769"/>
      <c r="G71" s="1770"/>
      <c r="H71" s="1771" t="str">
        <f>IF(配慮!C11="","",配慮!C11)</f>
        <v/>
      </c>
      <c r="I71" s="1769"/>
      <c r="J71" s="1769"/>
      <c r="K71" s="1770"/>
      <c r="L71" s="1771" t="str">
        <f>IF(配慮!C12="","",配慮!C12)</f>
        <v/>
      </c>
      <c r="M71" s="1769"/>
      <c r="N71" s="1769"/>
      <c r="O71" s="1772"/>
    </row>
    <row r="72" spans="1:16" ht="6" customHeight="1" thickBot="1">
      <c r="B72" s="25"/>
      <c r="C72" s="25"/>
      <c r="D72" s="25"/>
      <c r="E72" s="25"/>
      <c r="F72" s="25"/>
      <c r="G72" s="25"/>
      <c r="H72" s="25"/>
      <c r="I72" s="25"/>
      <c r="J72" s="25"/>
      <c r="K72" s="25"/>
      <c r="L72" s="25"/>
      <c r="M72" s="25"/>
      <c r="N72" s="25"/>
      <c r="O72" s="25"/>
    </row>
    <row r="73" spans="1:16" ht="16.5" customHeight="1">
      <c r="B73" s="98" t="s">
        <v>171</v>
      </c>
      <c r="C73" s="99"/>
      <c r="D73" s="100"/>
      <c r="E73" s="99"/>
      <c r="F73" s="99"/>
      <c r="G73" s="99"/>
      <c r="H73" s="101"/>
      <c r="I73" s="102"/>
      <c r="J73" s="99"/>
      <c r="K73" s="99"/>
      <c r="L73" s="99"/>
      <c r="M73" s="103"/>
      <c r="N73" s="103"/>
      <c r="O73" s="183"/>
    </row>
    <row r="74" spans="1:16" ht="18" customHeight="1">
      <c r="B74" s="1751" t="s">
        <v>172</v>
      </c>
      <c r="C74" s="1752"/>
      <c r="D74" s="1752"/>
      <c r="E74" s="1752"/>
      <c r="F74" s="1752"/>
      <c r="G74" s="1752"/>
      <c r="H74" s="1752"/>
      <c r="I74" s="1752"/>
      <c r="J74" s="1752"/>
      <c r="K74" s="1752"/>
      <c r="L74" s="1752"/>
      <c r="M74" s="1752"/>
      <c r="N74" s="1752"/>
      <c r="O74" s="1753"/>
    </row>
    <row r="75" spans="1:16" ht="27.9" customHeight="1">
      <c r="B75" s="1759" t="str">
        <f>IF(メイン!C37="","",メイン!C37)</f>
        <v>○○○</v>
      </c>
      <c r="C75" s="1760"/>
      <c r="D75" s="1760"/>
      <c r="E75" s="1760"/>
      <c r="F75" s="1760"/>
      <c r="G75" s="1760"/>
      <c r="H75" s="1760"/>
      <c r="I75" s="1760"/>
      <c r="J75" s="1760"/>
      <c r="K75" s="1760"/>
      <c r="L75" s="1760"/>
      <c r="M75" s="1760"/>
      <c r="N75" s="1760"/>
      <c r="O75" s="1761"/>
    </row>
    <row r="76" spans="1:16" ht="27.9" customHeight="1" thickBot="1">
      <c r="B76" s="1762" t="str">
        <f>IF(メイン!C38="","",メイン!C38)</f>
        <v>○○○</v>
      </c>
      <c r="C76" s="1763"/>
      <c r="D76" s="1763"/>
      <c r="E76" s="1763"/>
      <c r="F76" s="1763"/>
      <c r="G76" s="1763"/>
      <c r="H76" s="1763"/>
      <c r="I76" s="1763"/>
      <c r="J76" s="1763"/>
      <c r="K76" s="1763"/>
      <c r="L76" s="1763"/>
      <c r="M76" s="1763"/>
      <c r="N76" s="1763"/>
      <c r="O76" s="1764"/>
    </row>
    <row r="77" spans="1:16" ht="13.65" customHeight="1">
      <c r="B77" s="63"/>
      <c r="C77" s="63"/>
      <c r="D77" s="63"/>
      <c r="E77" s="63"/>
      <c r="F77" s="63"/>
      <c r="G77" s="63"/>
      <c r="H77" s="63"/>
      <c r="I77" s="63"/>
      <c r="J77" s="63"/>
      <c r="K77" s="63"/>
      <c r="L77" s="63"/>
      <c r="M77" s="63"/>
      <c r="N77" s="63"/>
      <c r="O77" s="63"/>
    </row>
    <row r="78" spans="1:16" ht="13.65" customHeight="1">
      <c r="A78" s="42"/>
      <c r="B78" s="63"/>
      <c r="C78" s="63"/>
      <c r="D78" s="63"/>
      <c r="E78" s="63"/>
      <c r="F78" s="63"/>
      <c r="G78" s="63"/>
      <c r="H78" s="63"/>
      <c r="I78" s="63"/>
      <c r="J78" s="63"/>
      <c r="K78" s="63"/>
      <c r="L78" s="63"/>
      <c r="M78" s="63"/>
      <c r="N78" s="63"/>
      <c r="O78" s="63"/>
    </row>
    <row r="79" spans="1:16" ht="13.65" customHeight="1">
      <c r="B79" s="63"/>
      <c r="C79" s="63"/>
      <c r="D79" s="63"/>
      <c r="E79" s="63"/>
      <c r="F79" s="63"/>
      <c r="G79" s="63"/>
      <c r="H79" s="63"/>
      <c r="I79" s="63"/>
      <c r="J79" s="63"/>
      <c r="K79" s="63"/>
      <c r="L79" s="63"/>
      <c r="M79" s="63"/>
      <c r="N79" s="63"/>
      <c r="O79" s="63"/>
      <c r="P79" s="63"/>
    </row>
    <row r="80" spans="1:16" ht="13.65" customHeight="1">
      <c r="B80" s="63"/>
      <c r="C80" s="63"/>
      <c r="D80" s="63"/>
      <c r="E80" s="63"/>
      <c r="F80" s="63"/>
      <c r="G80" s="63"/>
      <c r="H80" s="63"/>
      <c r="I80" s="63"/>
      <c r="J80" s="63"/>
      <c r="K80" s="63"/>
      <c r="L80" s="63"/>
      <c r="M80" s="63"/>
      <c r="N80" s="63"/>
      <c r="O80" s="63"/>
      <c r="P80" s="63"/>
    </row>
  </sheetData>
  <sheetProtection formatCells="0"/>
  <mergeCells count="26">
    <mergeCell ref="Q2:Q4"/>
    <mergeCell ref="D11:E11"/>
    <mergeCell ref="B67:K67"/>
    <mergeCell ref="L67:O67"/>
    <mergeCell ref="J14:K14"/>
    <mergeCell ref="K31:K32"/>
    <mergeCell ref="J17:K17"/>
    <mergeCell ref="J18:K18"/>
    <mergeCell ref="J19:K19"/>
    <mergeCell ref="J15:K15"/>
    <mergeCell ref="J12:K12"/>
    <mergeCell ref="J11:K11"/>
    <mergeCell ref="J10:K10"/>
    <mergeCell ref="J9:K9"/>
    <mergeCell ref="B76:O76"/>
    <mergeCell ref="B74:O74"/>
    <mergeCell ref="B71:G71"/>
    <mergeCell ref="H71:K71"/>
    <mergeCell ref="L71:O71"/>
    <mergeCell ref="L69:O69"/>
    <mergeCell ref="J16:K16"/>
    <mergeCell ref="B69:G69"/>
    <mergeCell ref="H69:K69"/>
    <mergeCell ref="B75:O75"/>
    <mergeCell ref="H29:H30"/>
    <mergeCell ref="H31:H32"/>
  </mergeCells>
  <phoneticPr fontId="3"/>
  <conditionalFormatting sqref="D11 E12 E14 E16 E18">
    <cfRule type="cellIs" dxfId="144" priority="1" stopIfTrue="1" operator="equal">
      <formula>0</formula>
    </cfRule>
  </conditionalFormatting>
  <hyperlinks>
    <hyperlink ref="Q2" location="メイン!A1" display="戻る" xr:uid="{00000000-0004-0000-0200-000000000000}"/>
  </hyperlinks>
  <printOptions horizontalCentered="1"/>
  <pageMargins left="0.78740157480314965" right="0.78740157480314965" top="0.78740157480314965" bottom="0.59055118110236227" header="0.51181102362204722" footer="0.51181102362204722"/>
  <pageSetup paperSize="9" scale="61" orientation="portrait" horizontalDpi="4294967293" verticalDpi="4294967293" r:id="rId1"/>
  <headerFooter alignWithMargins="0"/>
  <colBreaks count="1" manualBreakCount="1">
    <brk id="16" max="7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3B08-C4BB-442C-9827-6DEE8C225D95}">
  <sheetPr codeName="Sheet10">
    <pageSetUpPr fitToPage="1"/>
  </sheetPr>
  <dimension ref="A1:AW80"/>
  <sheetViews>
    <sheetView showGridLines="0" zoomScaleNormal="100" workbookViewId="0">
      <selection activeCell="H7" sqref="H7"/>
    </sheetView>
  </sheetViews>
  <sheetFormatPr defaultColWidth="9" defaultRowHeight="13.95" customHeight="1"/>
  <cols>
    <col min="1" max="1" width="0.77734375" style="63" customWidth="1"/>
    <col min="2" max="2" width="2.109375" style="86" customWidth="1"/>
    <col min="3" max="3" width="15.88671875" style="86" customWidth="1"/>
    <col min="4" max="4" width="5.33203125" style="87" customWidth="1"/>
    <col min="5" max="5" width="9.77734375" style="84" customWidth="1"/>
    <col min="6" max="6" width="6.21875" style="66" customWidth="1"/>
    <col min="7" max="7" width="7" style="66" customWidth="1"/>
    <col min="8" max="9" width="11" style="66" customWidth="1"/>
    <col min="10" max="11" width="11" style="82" customWidth="1"/>
    <col min="12" max="12" width="11.88671875" style="66" customWidth="1"/>
    <col min="13" max="13" width="11.77734375" style="64" customWidth="1"/>
    <col min="14" max="14" width="8.6640625" style="64" customWidth="1"/>
    <col min="15" max="15" width="11.44140625" style="64" customWidth="1"/>
    <col min="16" max="16" width="0.77734375" style="63" customWidth="1"/>
    <col min="17" max="17" width="3.88671875" style="63" bestFit="1" customWidth="1"/>
    <col min="18" max="18" width="17.21875" style="60" hidden="1" customWidth="1"/>
    <col min="19" max="19" width="20" style="644" hidden="1" customWidth="1"/>
    <col min="20" max="21" width="12.77734375" style="60" hidden="1" customWidth="1"/>
    <col min="22" max="22" width="20" style="60" hidden="1" customWidth="1"/>
    <col min="23" max="23" width="11.109375" style="60" hidden="1" customWidth="1"/>
    <col min="24" max="24" width="213.77734375" style="60" hidden="1" customWidth="1"/>
    <col min="25" max="25" width="20" style="60" hidden="1" customWidth="1"/>
    <col min="26" max="26" width="18.109375" style="60" hidden="1" customWidth="1"/>
    <col min="27" max="29" width="5.5546875" style="60" hidden="1" customWidth="1"/>
    <col min="30" max="30" width="9.109375" style="60" hidden="1" customWidth="1"/>
    <col min="31" max="32" width="17.44140625" style="60" hidden="1" customWidth="1"/>
    <col min="33" max="38" width="6.88671875" style="60" hidden="1" customWidth="1"/>
    <col min="39" max="39" width="43" style="60" hidden="1" customWidth="1"/>
    <col min="40" max="41" width="7.21875" style="60" hidden="1" customWidth="1"/>
    <col min="42" max="42" width="9.109375" style="60" hidden="1" customWidth="1"/>
    <col min="43" max="43" width="8.77734375" style="60" hidden="1" customWidth="1"/>
    <col min="44" max="44" width="6.88671875" style="60" hidden="1" customWidth="1"/>
    <col min="45" max="45" width="143" style="60" hidden="1" customWidth="1"/>
    <col min="46" max="46" width="8.21875" style="60" hidden="1" customWidth="1"/>
    <col min="47" max="47" width="19.77734375" style="60" hidden="1" customWidth="1"/>
    <col min="48" max="48" width="8" style="60" hidden="1" customWidth="1"/>
    <col min="49" max="49" width="9" style="60" hidden="1" customWidth="1"/>
    <col min="50" max="50" width="9" style="60" customWidth="1"/>
    <col min="51" max="53" width="14.77734375" style="60" customWidth="1"/>
    <col min="54" max="57" width="9" style="60" customWidth="1"/>
    <col min="58" max="16384" width="9" style="60"/>
  </cols>
  <sheetData>
    <row r="1" spans="2:27" customFormat="1" ht="13.95" customHeight="1" thickBot="1"/>
    <row r="2" spans="2:27" ht="13.95" customHeight="1" thickTop="1">
      <c r="B2"/>
      <c r="C2"/>
      <c r="D2"/>
      <c r="E2"/>
      <c r="F2"/>
      <c r="G2"/>
      <c r="H2"/>
      <c r="I2"/>
      <c r="J2"/>
      <c r="K2"/>
      <c r="L2"/>
      <c r="M2"/>
      <c r="N2"/>
      <c r="O2"/>
      <c r="Q2" s="1731" t="s">
        <v>70</v>
      </c>
      <c r="S2" s="60"/>
    </row>
    <row r="3" spans="2:27" ht="13.95" customHeight="1">
      <c r="B3"/>
      <c r="C3"/>
      <c r="D3"/>
      <c r="E3"/>
      <c r="F3"/>
      <c r="G3"/>
      <c r="H3"/>
      <c r="I3"/>
      <c r="J3"/>
      <c r="K3"/>
      <c r="L3"/>
      <c r="M3"/>
      <c r="N3"/>
      <c r="O3"/>
      <c r="Q3" s="1732"/>
      <c r="S3" s="60"/>
    </row>
    <row r="4" spans="2:27" ht="13.95" customHeight="1">
      <c r="B4"/>
      <c r="C4"/>
      <c r="D4"/>
      <c r="E4"/>
      <c r="F4"/>
      <c r="G4"/>
      <c r="H4"/>
      <c r="I4"/>
      <c r="J4"/>
      <c r="K4"/>
      <c r="L4"/>
      <c r="M4"/>
      <c r="N4"/>
      <c r="O4"/>
      <c r="Q4" s="1732"/>
      <c r="S4" s="60"/>
    </row>
    <row r="5" spans="2:27" ht="13.95" customHeight="1" thickBot="1">
      <c r="B5" s="550"/>
      <c r="C5" s="551"/>
      <c r="D5" s="548"/>
      <c r="E5" s="549"/>
      <c r="F5" s="170"/>
      <c r="G5" s="170"/>
      <c r="H5" s="170"/>
      <c r="I5" s="170"/>
      <c r="J5" s="322" t="s">
        <v>1041</v>
      </c>
      <c r="K5" s="1717" t="str">
        <f>メイン!C6</f>
        <v>CASBEE-街区 2024年SDGs対応試行版</v>
      </c>
      <c r="L5" s="56"/>
      <c r="M5" s="322"/>
      <c r="N5" s="320"/>
      <c r="O5" s="1716" t="str">
        <f>メイン!C5</f>
        <v>CASBEE-UD_2024SDGs試行版v1.0</v>
      </c>
      <c r="Q5" s="1733"/>
      <c r="R5" s="553" t="s">
        <v>74</v>
      </c>
      <c r="S5" s="60"/>
      <c r="U5" s="553" t="s">
        <v>75</v>
      </c>
    </row>
    <row r="6" spans="2:27" ht="5.4" customHeight="1" thickTop="1" thickBot="1">
      <c r="B6" s="554"/>
      <c r="J6" s="555"/>
      <c r="K6" s="555"/>
      <c r="L6" s="556"/>
      <c r="M6" s="84"/>
      <c r="N6" s="84"/>
      <c r="O6" s="84"/>
      <c r="S6" s="60"/>
    </row>
    <row r="7" spans="2:27" ht="15" customHeight="1" thickBot="1">
      <c r="B7" s="161" t="s">
        <v>1042</v>
      </c>
      <c r="C7" s="112"/>
      <c r="D7" s="113"/>
      <c r="E7" s="112"/>
      <c r="F7" s="112"/>
      <c r="G7" s="112"/>
      <c r="H7" s="112"/>
      <c r="I7" s="112"/>
      <c r="J7" s="112"/>
      <c r="K7" s="112"/>
      <c r="L7" s="221" t="s">
        <v>73</v>
      </c>
      <c r="M7" s="61"/>
      <c r="N7" s="61"/>
      <c r="O7" s="62"/>
      <c r="R7" s="557" t="s">
        <v>78</v>
      </c>
      <c r="S7" s="720">
        <f>スコア!V7</f>
        <v>3.0476190476190474</v>
      </c>
      <c r="U7" s="340"/>
      <c r="V7" s="340" t="s">
        <v>79</v>
      </c>
      <c r="W7" s="340" t="s">
        <v>173</v>
      </c>
      <c r="X7" s="340">
        <v>4</v>
      </c>
      <c r="Y7" s="340">
        <v>2</v>
      </c>
      <c r="Z7" s="340" t="s">
        <v>144</v>
      </c>
      <c r="AA7" s="557" t="s">
        <v>174</v>
      </c>
    </row>
    <row r="8" spans="2:27" ht="15" customHeight="1">
      <c r="B8" s="162" t="s">
        <v>1043</v>
      </c>
      <c r="C8" s="203"/>
      <c r="D8" s="428" t="str">
        <f>IF(メイン!C10="","",メイン!C10)</f>
        <v>Aプロジェクト</v>
      </c>
      <c r="E8" s="163"/>
      <c r="F8" s="163"/>
      <c r="G8" s="202"/>
      <c r="H8" s="256" t="s">
        <v>77</v>
      </c>
      <c r="I8" s="819"/>
      <c r="J8" s="776" t="str">
        <f>IF(メイン!C26="","",メイン!C26)</f>
        <v>第一種市街地再開発事業</v>
      </c>
      <c r="K8" s="777"/>
      <c r="L8" s="291"/>
      <c r="M8" s="291"/>
      <c r="N8" s="291"/>
      <c r="O8" s="292"/>
      <c r="R8" s="557" t="s">
        <v>175</v>
      </c>
      <c r="S8" s="720">
        <f>スコア!V99</f>
        <v>2.9012345679012341</v>
      </c>
      <c r="U8" s="340" t="s">
        <v>84</v>
      </c>
      <c r="V8" s="340" t="str">
        <f>スコア!B41</f>
        <v>Q-2 社会</v>
      </c>
      <c r="W8" s="340">
        <v>5</v>
      </c>
      <c r="X8" s="340">
        <v>4</v>
      </c>
      <c r="Y8" s="340">
        <v>2</v>
      </c>
      <c r="Z8" s="340">
        <f>V46</f>
        <v>3</v>
      </c>
      <c r="AA8" s="557">
        <v>3</v>
      </c>
    </row>
    <row r="9" spans="2:27" ht="15" customHeight="1">
      <c r="B9" s="21" t="s">
        <v>81</v>
      </c>
      <c r="C9" s="204"/>
      <c r="D9" s="429" t="str">
        <f>IF(メイン!C11="","",メイン!C11)</f>
        <v>東京都千代田区</v>
      </c>
      <c r="E9" s="20"/>
      <c r="F9" s="22"/>
      <c r="G9" s="125"/>
      <c r="H9" s="68" t="s">
        <v>82</v>
      </c>
      <c r="I9" s="820"/>
      <c r="J9" s="821" t="str">
        <f>ROUND(メイン!C28,0)&amp;"%  ／ "&amp;ROUND(メイン!C29,0)&amp;"%"</f>
        <v>100%  ／ 760%</v>
      </c>
      <c r="K9" s="822"/>
      <c r="L9" s="283"/>
      <c r="M9" s="283"/>
      <c r="N9" s="283"/>
      <c r="O9" s="284"/>
      <c r="R9" s="455" t="s">
        <v>89</v>
      </c>
      <c r="S9" s="455">
        <f>25*(S7-1)</f>
        <v>51.19047619047619</v>
      </c>
      <c r="U9" s="340" t="s">
        <v>90</v>
      </c>
      <c r="V9" s="340" t="str">
        <f>スコア!B74</f>
        <v>Q-3 経済</v>
      </c>
      <c r="W9" s="340">
        <v>5</v>
      </c>
      <c r="X9" s="340">
        <v>4</v>
      </c>
      <c r="Y9" s="340">
        <v>2</v>
      </c>
      <c r="Z9" s="340">
        <f>Y46</f>
        <v>3.1</v>
      </c>
      <c r="AA9" s="557">
        <v>3</v>
      </c>
    </row>
    <row r="10" spans="2:27" ht="15" customHeight="1">
      <c r="B10" s="21" t="s">
        <v>1044</v>
      </c>
      <c r="C10" s="204"/>
      <c r="D10" s="271">
        <f>IF(メイン!C30="","",メイン!C30)</f>
        <v>5</v>
      </c>
      <c r="E10" s="430" t="s">
        <v>87</v>
      </c>
      <c r="F10" s="60"/>
      <c r="G10" s="60"/>
      <c r="H10" s="210" t="s">
        <v>88</v>
      </c>
      <c r="I10" s="823"/>
      <c r="J10" s="824" t="str">
        <f>メイン!C31&amp;"ha"</f>
        <v>2.5ha</v>
      </c>
      <c r="K10" s="825"/>
      <c r="L10" s="283"/>
      <c r="M10" s="283"/>
      <c r="N10" s="283"/>
      <c r="O10" s="284"/>
      <c r="R10" s="455" t="s">
        <v>94</v>
      </c>
      <c r="S10" s="455">
        <f>25*(5-S8)</f>
        <v>52.469135802469147</v>
      </c>
      <c r="U10" s="340" t="s">
        <v>176</v>
      </c>
      <c r="V10" s="340" t="str">
        <f>スコア!B127</f>
        <v>LR-3 周辺環境</v>
      </c>
      <c r="W10" s="340">
        <v>5</v>
      </c>
      <c r="X10" s="340">
        <v>4</v>
      </c>
      <c r="Y10" s="340">
        <v>2</v>
      </c>
      <c r="Z10" s="340">
        <f>Y57</f>
        <v>2.6</v>
      </c>
      <c r="AA10" s="557">
        <v>3</v>
      </c>
    </row>
    <row r="11" spans="2:27" ht="15" customHeight="1">
      <c r="B11" s="21" t="s">
        <v>92</v>
      </c>
      <c r="C11" s="205"/>
      <c r="D11" s="1718">
        <f>IF(メイン!C12="","",メイン!C12)</f>
        <v>45292</v>
      </c>
      <c r="E11" s="1719"/>
      <c r="F11" s="138">
        <f>メイン!E13</f>
        <v>0</v>
      </c>
      <c r="G11" s="211"/>
      <c r="H11" s="210" t="s">
        <v>93</v>
      </c>
      <c r="I11" s="823"/>
      <c r="J11" s="826" t="str">
        <f>ROUND(メイン!C32,0)&amp;"㎡  ／ "&amp;ROUND(メイン!C33,0)&amp;"%"</f>
        <v>16000㎡  ／ 64%</v>
      </c>
      <c r="K11" s="827"/>
      <c r="L11" s="283"/>
      <c r="M11" s="283"/>
      <c r="N11" s="283"/>
      <c r="O11" s="284"/>
      <c r="R11" s="455" t="s">
        <v>100</v>
      </c>
      <c r="S11" s="455">
        <f>S9/S10</f>
        <v>0.97563025210084009</v>
      </c>
      <c r="U11" s="340" t="s">
        <v>177</v>
      </c>
      <c r="V11" s="340" t="str">
        <f>スコア!B107</f>
        <v>LR-2 資源</v>
      </c>
      <c r="W11" s="340">
        <v>5</v>
      </c>
      <c r="X11" s="340">
        <v>4</v>
      </c>
      <c r="Y11" s="340">
        <v>2</v>
      </c>
      <c r="Z11" s="340">
        <f>V57</f>
        <v>3</v>
      </c>
      <c r="AA11" s="557">
        <v>3</v>
      </c>
    </row>
    <row r="12" spans="2:27" ht="15" customHeight="1">
      <c r="B12" s="21" t="s">
        <v>97</v>
      </c>
      <c r="C12" s="205"/>
      <c r="D12" s="427" t="s">
        <v>98</v>
      </c>
      <c r="E12" s="257" t="str">
        <f>IF(メイン!C15=0,"",メイン!C15)</f>
        <v>商業地域、防火地域</v>
      </c>
      <c r="F12" s="257"/>
      <c r="G12" s="265"/>
      <c r="H12" s="259" t="s">
        <v>99</v>
      </c>
      <c r="I12" s="829"/>
      <c r="J12" s="830" t="str">
        <f>ROUND(メイン!C34,0)&amp;"㎡  ／ "&amp;ROUND(メイン!C35,0)&amp;"%"</f>
        <v>200000㎡  ／ 800%</v>
      </c>
      <c r="K12" s="831"/>
      <c r="L12" s="283"/>
      <c r="M12" s="283"/>
      <c r="N12" s="283"/>
      <c r="O12" s="284"/>
      <c r="R12" s="455" t="s">
        <v>106</v>
      </c>
      <c r="S12" s="561">
        <f>ROUNDDOWN(S11,1)</f>
        <v>0.9</v>
      </c>
      <c r="U12" s="340" t="s">
        <v>178</v>
      </c>
      <c r="V12" s="340" t="str">
        <f>スコア!B100</f>
        <v>LR-1 エネルギー</v>
      </c>
      <c r="W12" s="340">
        <v>5</v>
      </c>
      <c r="X12" s="340">
        <v>4</v>
      </c>
      <c r="Y12" s="340">
        <v>2</v>
      </c>
      <c r="Z12" s="340">
        <f>S57</f>
        <v>3</v>
      </c>
      <c r="AA12" s="557">
        <v>3</v>
      </c>
    </row>
    <row r="13" spans="2:27" ht="15" customHeight="1">
      <c r="B13" s="724" t="s">
        <v>103</v>
      </c>
      <c r="C13" s="266"/>
      <c r="D13" s="301" t="str">
        <f>"（ "&amp;ROUND(メイン!$C$16,0)&amp;"%　／　"&amp;ROUND(メイン!$C$17,0)&amp;"% ）"</f>
        <v>（ 80%　／　800% ）</v>
      </c>
      <c r="E13" s="22"/>
      <c r="F13" s="269"/>
      <c r="G13" s="270"/>
      <c r="H13" s="210" t="s">
        <v>104</v>
      </c>
      <c r="I13" s="823"/>
      <c r="J13" s="1000" t="str">
        <f>メイン!C40</f>
        <v>2023/X/X</v>
      </c>
      <c r="K13" s="778"/>
      <c r="L13" s="283"/>
      <c r="M13" s="286" t="s">
        <v>105</v>
      </c>
      <c r="N13" s="283"/>
      <c r="O13" s="284"/>
      <c r="R13" s="455" t="s">
        <v>110</v>
      </c>
      <c r="S13" s="562">
        <f>IF(AND($S$9&gt;=50,$S$11&gt;=3),1,IF(S12&lt;0.5,1,IF(S12&lt;1,2,IF(S12&lt;1.5,3,IF(S12&lt;3,4,4))))/5)</f>
        <v>0.4</v>
      </c>
      <c r="U13" s="340" t="s">
        <v>101</v>
      </c>
      <c r="V13" s="340" t="str">
        <f>スコア!B8</f>
        <v>Q-1 環境</v>
      </c>
      <c r="W13" s="340">
        <v>5</v>
      </c>
      <c r="X13" s="340">
        <v>4</v>
      </c>
      <c r="Y13" s="340">
        <v>2</v>
      </c>
      <c r="Z13" s="340">
        <f>IF(S46=0,1,S46)</f>
        <v>3</v>
      </c>
      <c r="AA13" s="557">
        <v>3</v>
      </c>
    </row>
    <row r="14" spans="2:27" ht="15" customHeight="1">
      <c r="B14" s="124"/>
      <c r="C14" s="206"/>
      <c r="D14" s="427" t="s">
        <v>107</v>
      </c>
      <c r="E14" s="257" t="str">
        <f>IF(メイン!D15=0,"",メイン!D15)</f>
        <v/>
      </c>
      <c r="F14" s="160"/>
      <c r="G14" s="275"/>
      <c r="H14" s="21" t="s">
        <v>108</v>
      </c>
      <c r="I14" s="832"/>
      <c r="J14" s="833" t="str">
        <f>IF(メイン!C42="","","(1)　 "&amp;メイン!C42)</f>
        <v>(1)　 ■■　■■</v>
      </c>
      <c r="K14" s="834"/>
      <c r="L14" s="283"/>
      <c r="M14" s="286"/>
      <c r="N14" s="283"/>
      <c r="O14" s="284"/>
      <c r="R14" s="455" t="s">
        <v>113</v>
      </c>
      <c r="S14" s="563">
        <f>1-S13</f>
        <v>0.6</v>
      </c>
    </row>
    <row r="15" spans="2:27" ht="15" customHeight="1">
      <c r="B15" s="124"/>
      <c r="C15" s="206"/>
      <c r="D15" s="301" t="str">
        <f>"（ "&amp;ROUND(メイン!$D$16,0)&amp;"%　／　"&amp;ROUND(メイン!$D$17,0)&amp;"% ）"</f>
        <v>（ 0%　／　0% ）</v>
      </c>
      <c r="E15" s="22"/>
      <c r="F15" s="269"/>
      <c r="G15" s="270"/>
      <c r="H15" s="60"/>
      <c r="I15" s="60"/>
      <c r="J15" s="833" t="str">
        <f>IF(メイン!D42="","","(2)　 "&amp;メイン!D42)</f>
        <v>(2)　 ■■　■■</v>
      </c>
      <c r="K15" s="834"/>
      <c r="L15" s="283"/>
      <c r="M15" s="287" t="s">
        <v>109</v>
      </c>
      <c r="N15" s="283"/>
      <c r="O15" s="284"/>
      <c r="S15" s="60"/>
    </row>
    <row r="16" spans="2:27" ht="15" customHeight="1">
      <c r="B16" s="124"/>
      <c r="C16" s="206"/>
      <c r="D16" s="427" t="s">
        <v>111</v>
      </c>
      <c r="E16" s="257" t="str">
        <f>IF(メイン!C19=0,"",メイン!C19)</f>
        <v/>
      </c>
      <c r="F16" s="160"/>
      <c r="G16" s="275"/>
      <c r="H16" s="210"/>
      <c r="I16" s="823"/>
      <c r="J16" s="833" t="str">
        <f>IF(メイン!E42="","","(3)　 "&amp;メイン!E42)</f>
        <v>(3)　 ■■　■■</v>
      </c>
      <c r="K16" s="834"/>
      <c r="L16" s="283"/>
      <c r="M16" s="287" t="s">
        <v>112</v>
      </c>
      <c r="N16" s="283"/>
      <c r="O16" s="284"/>
      <c r="S16" s="60"/>
      <c r="V16" s="63"/>
      <c r="Z16" s="63"/>
    </row>
    <row r="17" spans="2:48" ht="15" customHeight="1">
      <c r="B17" s="68"/>
      <c r="C17" s="207"/>
      <c r="D17" s="301" t="str">
        <f>"（ "&amp;ROUND(メイン!$C$20,0)&amp;"%　／　"&amp;ROUND(メイン!$C$21,0)&amp;"% ）"</f>
        <v>（ 0%　／　0% ）</v>
      </c>
      <c r="E17" s="22"/>
      <c r="F17" s="269"/>
      <c r="G17" s="270"/>
      <c r="H17" s="212"/>
      <c r="I17" s="835"/>
      <c r="J17" s="833" t="str">
        <f>IF(メイン!C44="","","(4)　 "&amp;メイン!C44)</f>
        <v>(4)　 ■■　■■</v>
      </c>
      <c r="K17" s="834"/>
      <c r="L17" s="283"/>
      <c r="M17" s="283"/>
      <c r="N17" s="283"/>
      <c r="O17" s="284"/>
      <c r="S17" s="60"/>
      <c r="T17" s="63"/>
      <c r="U17" s="141"/>
      <c r="V17" s="63"/>
      <c r="W17" s="63"/>
      <c r="X17" s="63"/>
      <c r="Y17" s="63"/>
      <c r="Z17" s="63"/>
      <c r="AA17" s="63"/>
      <c r="AB17" s="63"/>
      <c r="AC17" s="63"/>
      <c r="AD17" s="63"/>
      <c r="AE17" s="63"/>
      <c r="AF17" s="1694" t="s">
        <v>1937</v>
      </c>
      <c r="AG17" s="1683">
        <v>1.5</v>
      </c>
      <c r="AH17" s="1684" t="s">
        <v>1938</v>
      </c>
    </row>
    <row r="18" spans="2:48" ht="15" customHeight="1">
      <c r="B18" s="21"/>
      <c r="C18" s="208"/>
      <c r="D18" s="427" t="s">
        <v>114</v>
      </c>
      <c r="E18" s="257" t="str">
        <f>IF(メイン!D19=0,"",メイン!D19)</f>
        <v/>
      </c>
      <c r="F18" s="160"/>
      <c r="G18" s="275"/>
      <c r="H18" s="60"/>
      <c r="I18" s="60"/>
      <c r="J18" s="833" t="str">
        <f>IF(メイン!D44="","","(5)　 "&amp;メイン!D44)</f>
        <v>(5)　 ■■　■■</v>
      </c>
      <c r="K18" s="834"/>
      <c r="L18" s="283"/>
      <c r="M18" s="283"/>
      <c r="N18" s="283"/>
      <c r="O18" s="284"/>
      <c r="R18" s="63"/>
      <c r="S18" s="63"/>
      <c r="T18" s="63"/>
      <c r="U18" s="63"/>
      <c r="V18" s="63"/>
      <c r="W18" s="63"/>
      <c r="X18" s="63"/>
      <c r="Y18" s="63"/>
      <c r="Z18" s="63"/>
      <c r="AA18" s="63"/>
      <c r="AB18" s="63"/>
      <c r="AC18" s="63"/>
      <c r="AD18" s="63"/>
      <c r="AE18" s="63"/>
      <c r="AF18" s="1695" t="s">
        <v>1939</v>
      </c>
      <c r="AG18" s="557">
        <v>2.5</v>
      </c>
      <c r="AH18" s="1684" t="s">
        <v>1938</v>
      </c>
    </row>
    <row r="19" spans="2:48" ht="15" customHeight="1">
      <c r="B19" s="201"/>
      <c r="C19" s="209"/>
      <c r="D19" s="301" t="str">
        <f>"（ "&amp;ROUND(メイン!$D$20,0)&amp;"%　／　"&amp;ROUND(メイン!$D$21,0)&amp;"% ）"</f>
        <v>（ 0%　／　0% ）</v>
      </c>
      <c r="E19" s="22"/>
      <c r="F19" s="269"/>
      <c r="G19" s="270"/>
      <c r="H19" s="215"/>
      <c r="I19" s="837"/>
      <c r="J19" s="838" t="str">
        <f>IF(メイン!E44="","","(6)　 "&amp;メイン!E44)</f>
        <v>(6)　 ■■　■■</v>
      </c>
      <c r="K19" s="839"/>
      <c r="L19" s="293"/>
      <c r="M19" s="294"/>
      <c r="N19" s="295"/>
      <c r="O19" s="296"/>
      <c r="R19" s="301"/>
      <c r="S19" s="430"/>
      <c r="T19" s="63"/>
      <c r="U19" s="63"/>
      <c r="V19" s="430"/>
      <c r="W19" s="64"/>
      <c r="X19" s="63"/>
      <c r="Y19" s="63"/>
      <c r="Z19" s="63"/>
      <c r="AA19" s="63"/>
      <c r="AB19" s="63"/>
      <c r="AC19" s="63"/>
      <c r="AD19" s="63"/>
      <c r="AE19" s="63"/>
      <c r="AF19" s="1695" t="s">
        <v>40</v>
      </c>
      <c r="AG19" s="557">
        <v>3.5</v>
      </c>
      <c r="AH19" s="1684" t="s">
        <v>1938</v>
      </c>
    </row>
    <row r="20" spans="2:48" ht="15" customHeight="1">
      <c r="B20" s="272" t="s">
        <v>115</v>
      </c>
      <c r="C20" s="273"/>
      <c r="D20" s="301" t="str">
        <f>ROUND(メイン!C24,0)&amp;"%  ／ "&amp;ROUND(メイン!C25,0)&amp;"%"</f>
        <v>70%  ／ 445%</v>
      </c>
      <c r="E20" s="431"/>
      <c r="F20" s="130"/>
      <c r="G20" s="130"/>
      <c r="H20" s="215" t="s">
        <v>116</v>
      </c>
      <c r="I20" s="837"/>
      <c r="J20" s="425" t="str">
        <f>メイン!C45</f>
        <v>2023/X/X</v>
      </c>
      <c r="K20" s="779"/>
      <c r="L20" s="293"/>
      <c r="M20" s="294"/>
      <c r="N20" s="295"/>
      <c r="O20" s="296"/>
      <c r="R20" s="301"/>
      <c r="S20" s="430"/>
      <c r="T20" s="63"/>
      <c r="U20" s="63"/>
      <c r="V20" s="430"/>
      <c r="W20" s="64"/>
      <c r="X20" s="63"/>
      <c r="Y20" s="63"/>
      <c r="Z20" s="63"/>
      <c r="AA20" s="63"/>
      <c r="AB20" s="63"/>
      <c r="AC20" s="63"/>
      <c r="AD20" s="63"/>
      <c r="AE20" s="63"/>
      <c r="AF20" s="1695" t="s">
        <v>1940</v>
      </c>
      <c r="AG20" s="557">
        <v>4.5</v>
      </c>
      <c r="AH20" s="1684" t="s">
        <v>1938</v>
      </c>
    </row>
    <row r="21" spans="2:48" ht="15" customHeight="1" thickBot="1">
      <c r="B21" s="261"/>
      <c r="C21" s="262"/>
      <c r="D21" s="422"/>
      <c r="E21" s="420"/>
      <c r="F21" s="419"/>
      <c r="G21" s="421"/>
      <c r="H21" s="222" t="s">
        <v>119</v>
      </c>
      <c r="I21" s="840"/>
      <c r="J21" s="426" t="str">
        <f>メイン!C46</f>
        <v>□□　□□</v>
      </c>
      <c r="K21" s="780"/>
      <c r="L21" s="297"/>
      <c r="M21" s="298"/>
      <c r="N21" s="299"/>
      <c r="O21" s="300"/>
      <c r="R21" s="301"/>
      <c r="S21" s="430"/>
      <c r="T21" s="63"/>
      <c r="U21" s="63"/>
      <c r="V21" s="430"/>
      <c r="W21" s="64"/>
      <c r="X21" s="63"/>
      <c r="Y21" s="63"/>
      <c r="Z21" s="63"/>
      <c r="AA21" s="63"/>
      <c r="AB21" s="63"/>
      <c r="AC21" s="63"/>
      <c r="AD21" s="63"/>
      <c r="AE21" s="63"/>
      <c r="AF21" s="1696" t="s">
        <v>1942</v>
      </c>
      <c r="AG21" s="1685">
        <v>4.5</v>
      </c>
      <c r="AH21" s="1684" t="s">
        <v>1943</v>
      </c>
    </row>
    <row r="22" spans="2:48" ht="5.4" customHeight="1" thickBot="1">
      <c r="B22" s="565"/>
      <c r="C22" s="566"/>
      <c r="D22" s="565"/>
      <c r="E22" s="567"/>
      <c r="F22" s="567"/>
      <c r="G22" s="567"/>
      <c r="H22" s="567"/>
      <c r="I22" s="567"/>
      <c r="J22" s="569"/>
      <c r="K22" s="569"/>
      <c r="L22" s="567"/>
      <c r="M22" s="567"/>
      <c r="N22" s="567"/>
      <c r="O22" s="567"/>
      <c r="R22" s="301"/>
      <c r="S22" s="430"/>
      <c r="T22" s="63"/>
      <c r="U22" s="63"/>
      <c r="V22" s="430"/>
      <c r="W22" s="64"/>
      <c r="X22" s="63"/>
      <c r="Y22" s="63"/>
      <c r="Z22" s="63"/>
      <c r="AA22" s="63"/>
      <c r="AB22" s="63"/>
      <c r="AC22" s="63"/>
      <c r="AD22" s="63"/>
      <c r="AE22" s="63"/>
    </row>
    <row r="23" spans="2:48" ht="15" customHeight="1" thickBot="1">
      <c r="B23" s="104" t="s">
        <v>1045</v>
      </c>
      <c r="C23" s="178"/>
      <c r="D23" s="263"/>
      <c r="E23" s="264"/>
      <c r="F23" s="264"/>
      <c r="G23" s="264"/>
      <c r="H23" s="571" t="s">
        <v>823</v>
      </c>
      <c r="I23" s="841"/>
      <c r="J23" s="179"/>
      <c r="K23" s="179"/>
      <c r="L23" s="1814" t="s">
        <v>1951</v>
      </c>
      <c r="M23" s="1815"/>
      <c r="N23" s="1815"/>
      <c r="O23" s="1816"/>
      <c r="R23" s="455" t="s">
        <v>181</v>
      </c>
      <c r="S23" s="558" t="s">
        <v>125</v>
      </c>
      <c r="T23" s="558" t="s">
        <v>80</v>
      </c>
      <c r="U23" s="558" t="s">
        <v>126</v>
      </c>
      <c r="AB23" s="63"/>
      <c r="AC23" s="63"/>
      <c r="AD23" s="63"/>
      <c r="AE23" s="63"/>
      <c r="AF23" s="1687" t="str">
        <f>街区環境SDGsチェックリスト!K6</f>
        <v>実施する</v>
      </c>
      <c r="AG23" s="1688"/>
      <c r="AH23" s="1689"/>
      <c r="AI23" s="557" t="str">
        <f>街区環境SDGsチェックリスト!F4</f>
        <v>実施しない</v>
      </c>
    </row>
    <row r="24" spans="2:48" ht="15" customHeight="1">
      <c r="B24" s="124"/>
      <c r="C24" s="60"/>
      <c r="D24" s="60"/>
      <c r="E24" s="60"/>
      <c r="F24" s="60"/>
      <c r="G24" s="567"/>
      <c r="H24" s="572"/>
      <c r="I24" s="573"/>
      <c r="J24" s="567"/>
      <c r="K24" s="202"/>
      <c r="L24" s="60"/>
      <c r="M24" s="60"/>
      <c r="N24" s="60"/>
      <c r="O24" s="125"/>
      <c r="P24" s="124"/>
      <c r="Q24" s="60"/>
      <c r="R24" s="455" t="s">
        <v>130</v>
      </c>
      <c r="S24" s="559"/>
      <c r="T24" s="575">
        <f>S10</f>
        <v>52.469135802469147</v>
      </c>
      <c r="U24" s="559">
        <v>0</v>
      </c>
      <c r="V24" s="63"/>
      <c r="W24" s="558" t="s">
        <v>127</v>
      </c>
      <c r="X24" s="558"/>
      <c r="Y24" s="63"/>
      <c r="Z24" s="558" t="s">
        <v>128</v>
      </c>
      <c r="AA24" s="558"/>
      <c r="AB24" s="63"/>
      <c r="AC24" s="63"/>
      <c r="AD24" s="63"/>
      <c r="AE24" s="63"/>
      <c r="AF24" s="1739" t="s">
        <v>182</v>
      </c>
      <c r="AG24" s="1740"/>
      <c r="AH24" s="1741"/>
      <c r="AI24" s="653">
        <f>IF(AI23=AF23,街区環境SDGsチェックリスト!Z10,0)</f>
        <v>0</v>
      </c>
    </row>
    <row r="25" spans="2:48" ht="15" customHeight="1">
      <c r="B25" s="576"/>
      <c r="C25" s="842">
        <f>S12</f>
        <v>0.9</v>
      </c>
      <c r="D25" s="60"/>
      <c r="E25" s="60"/>
      <c r="F25" s="60"/>
      <c r="G25" s="60"/>
      <c r="H25" s="578"/>
      <c r="I25" s="320"/>
      <c r="J25" s="579"/>
      <c r="K25" s="580"/>
      <c r="L25" s="517"/>
      <c r="M25" s="60"/>
      <c r="N25" s="60"/>
      <c r="O25" s="125"/>
      <c r="P25" s="124"/>
      <c r="Q25" s="60"/>
      <c r="R25" s="455" t="s">
        <v>131</v>
      </c>
      <c r="S25" s="559"/>
      <c r="T25" s="575">
        <f>S9</f>
        <v>51.19047619047619</v>
      </c>
      <c r="U25" s="559">
        <v>0</v>
      </c>
      <c r="V25" s="63"/>
      <c r="W25" s="559">
        <v>50</v>
      </c>
      <c r="X25" s="559">
        <v>50</v>
      </c>
      <c r="Y25" s="63"/>
      <c r="Z25" s="559">
        <v>0</v>
      </c>
      <c r="AA25" s="559">
        <v>100</v>
      </c>
      <c r="AB25" s="63"/>
      <c r="AC25" s="63"/>
      <c r="AD25" s="63"/>
      <c r="AE25" s="63"/>
      <c r="AF25" s="1739" t="s">
        <v>183</v>
      </c>
      <c r="AG25" s="1740"/>
      <c r="AH25" s="1741"/>
      <c r="AI25" s="652">
        <f>IF(AI23=AF23,IF(AI24=1,1,IF(AI24&lt;AG17,1,IF(AI24&lt;AG18,2,IF(AI24&lt;AG19,3,IF(AI24&lt;AG20,4,5)))))/5,0)</f>
        <v>0</v>
      </c>
      <c r="AR25" s="843"/>
    </row>
    <row r="26" spans="2:48" ht="10.199999999999999" customHeight="1">
      <c r="B26" s="124"/>
      <c r="C26" s="60"/>
      <c r="D26" s="60"/>
      <c r="E26" s="60"/>
      <c r="F26" s="60"/>
      <c r="G26" s="60"/>
      <c r="H26" s="578"/>
      <c r="I26" s="320"/>
      <c r="J26" s="579"/>
      <c r="K26" s="580"/>
      <c r="L26" s="517"/>
      <c r="M26" s="60"/>
      <c r="N26" s="60"/>
      <c r="O26" s="125"/>
      <c r="P26" s="124"/>
      <c r="Q26" s="60"/>
      <c r="R26" s="559">
        <v>0</v>
      </c>
      <c r="S26" s="558">
        <f>T24</f>
        <v>52.469135802469147</v>
      </c>
      <c r="T26" s="582">
        <f>T24</f>
        <v>52.469135802469147</v>
      </c>
      <c r="U26" s="558">
        <v>0.1</v>
      </c>
      <c r="V26" s="63"/>
      <c r="W26" s="559">
        <v>0</v>
      </c>
      <c r="X26" s="559">
        <v>100</v>
      </c>
      <c r="Y26" s="63"/>
      <c r="Z26" s="559">
        <v>50</v>
      </c>
      <c r="AA26" s="559">
        <v>50</v>
      </c>
      <c r="AB26" s="63"/>
      <c r="AC26" s="63"/>
      <c r="AD26" s="63"/>
      <c r="AE26" s="63"/>
      <c r="AF26" s="1742" t="s">
        <v>184</v>
      </c>
      <c r="AG26" s="1743"/>
      <c r="AH26" s="1744"/>
      <c r="AI26" s="652">
        <f>1-AI25</f>
        <v>1</v>
      </c>
    </row>
    <row r="27" spans="2:48" ht="13.2" customHeight="1">
      <c r="B27" s="583"/>
      <c r="C27" s="584"/>
      <c r="D27" s="584"/>
      <c r="E27" s="584"/>
      <c r="F27" s="584"/>
      <c r="G27" s="584"/>
      <c r="H27" s="844" t="s">
        <v>1046</v>
      </c>
      <c r="I27" s="845" t="s">
        <v>1047</v>
      </c>
      <c r="J27" s="845" t="s">
        <v>1048</v>
      </c>
      <c r="K27" s="846" t="s">
        <v>719</v>
      </c>
      <c r="L27" s="646"/>
      <c r="M27" s="646"/>
      <c r="N27" s="647"/>
      <c r="O27" s="648"/>
      <c r="P27" s="124"/>
      <c r="Q27" s="60"/>
      <c r="R27" s="559">
        <v>0</v>
      </c>
      <c r="S27" s="558">
        <v>0</v>
      </c>
      <c r="T27" s="558">
        <f>T25</f>
        <v>51.19047619047619</v>
      </c>
      <c r="U27" s="589">
        <f>T25</f>
        <v>51.19047619047619</v>
      </c>
      <c r="V27" s="63"/>
      <c r="W27" s="63"/>
      <c r="X27" s="63"/>
      <c r="Y27" s="63"/>
      <c r="Z27" s="63"/>
      <c r="AA27" s="63"/>
      <c r="AB27" s="63"/>
      <c r="AC27" s="63"/>
      <c r="AD27" s="63"/>
      <c r="AE27" s="63"/>
      <c r="AL27" s="791"/>
      <c r="AM27" s="791"/>
      <c r="AN27" s="791"/>
      <c r="AO27" s="791"/>
      <c r="AP27" s="791"/>
      <c r="AQ27" s="791"/>
      <c r="AR27" s="791"/>
      <c r="AS27" s="791"/>
      <c r="AT27" s="791"/>
      <c r="AU27" s="791"/>
      <c r="AV27" s="791"/>
    </row>
    <row r="28" spans="2:48" ht="12.9" customHeight="1">
      <c r="B28" s="124"/>
      <c r="C28" s="60"/>
      <c r="D28" s="60"/>
      <c r="E28" s="60"/>
      <c r="F28" s="60"/>
      <c r="G28" s="646"/>
      <c r="H28" s="847" t="s">
        <v>1049</v>
      </c>
      <c r="I28" s="848" t="s">
        <v>1050</v>
      </c>
      <c r="J28" s="1800" t="s">
        <v>1051</v>
      </c>
      <c r="K28" s="1803" t="s">
        <v>1052</v>
      </c>
      <c r="L28" s="60"/>
      <c r="M28" s="60"/>
      <c r="N28" s="60"/>
      <c r="O28" s="125"/>
      <c r="P28" s="124"/>
      <c r="Q28" s="60"/>
      <c r="S28" s="60"/>
      <c r="V28" s="63"/>
      <c r="W28" s="63"/>
      <c r="X28" s="63"/>
      <c r="Y28" s="63"/>
      <c r="Z28" s="63"/>
      <c r="AA28" s="63"/>
      <c r="AB28" s="63"/>
      <c r="AC28" s="63"/>
      <c r="AD28" s="63"/>
      <c r="AE28" s="63"/>
      <c r="AL28" s="781" t="s">
        <v>775</v>
      </c>
      <c r="AM28" s="781" t="s">
        <v>774</v>
      </c>
      <c r="AN28" s="781" t="s">
        <v>779</v>
      </c>
      <c r="AO28" s="782" t="s">
        <v>726</v>
      </c>
      <c r="AP28" s="783" t="s">
        <v>778</v>
      </c>
      <c r="AQ28" s="791"/>
      <c r="AR28" s="849" t="s">
        <v>780</v>
      </c>
      <c r="AS28" s="850" t="s">
        <v>815</v>
      </c>
      <c r="AT28" s="850" t="s">
        <v>779</v>
      </c>
      <c r="AU28" s="851" t="s">
        <v>726</v>
      </c>
      <c r="AV28" s="852" t="s">
        <v>778</v>
      </c>
    </row>
    <row r="29" spans="2:48" ht="12.9" customHeight="1">
      <c r="B29" s="124"/>
      <c r="C29" s="60"/>
      <c r="D29" s="60"/>
      <c r="E29" s="60"/>
      <c r="F29" s="60"/>
      <c r="G29" s="60"/>
      <c r="H29" s="847" t="s">
        <v>1053</v>
      </c>
      <c r="I29" s="853" t="s">
        <v>1054</v>
      </c>
      <c r="J29" s="1801"/>
      <c r="K29" s="1803"/>
      <c r="L29" s="768"/>
      <c r="M29" s="592"/>
      <c r="N29" s="593"/>
      <c r="O29" s="594"/>
      <c r="P29" s="124"/>
      <c r="Q29" s="60"/>
      <c r="R29" s="595" t="s">
        <v>100</v>
      </c>
      <c r="S29" s="558" t="s">
        <v>132</v>
      </c>
      <c r="T29" s="596">
        <v>0</v>
      </c>
      <c r="U29" s="596">
        <f>100/6</f>
        <v>16.666666666666668</v>
      </c>
      <c r="V29" s="597">
        <f>U29*2</f>
        <v>33.333333333333336</v>
      </c>
      <c r="W29" s="596">
        <f>U29*3</f>
        <v>50</v>
      </c>
      <c r="X29" s="596">
        <f>U29*4</f>
        <v>66.666666666666671</v>
      </c>
      <c r="Y29" s="596">
        <f>U29*5</f>
        <v>83.333333333333343</v>
      </c>
      <c r="Z29" s="596">
        <v>100</v>
      </c>
      <c r="AA29" s="63"/>
      <c r="AB29" s="63"/>
      <c r="AC29" s="63"/>
      <c r="AD29" s="63"/>
      <c r="AE29" s="63"/>
      <c r="AF29" s="650"/>
      <c r="AG29" s="651" t="s">
        <v>185</v>
      </c>
      <c r="AL29" s="792">
        <f>_xlfn.RANK.EQ(AN29,$AN$29:$AN$44,0)+COUNTIF($AN$29:AN29,AN29)-1</f>
        <v>9</v>
      </c>
      <c r="AM29" s="793" t="s">
        <v>798</v>
      </c>
      <c r="AN29" s="771">
        <f>採点LR3!$E$31</f>
        <v>10</v>
      </c>
      <c r="AO29" s="771">
        <f>採点LR3!$E$32</f>
        <v>5</v>
      </c>
      <c r="AP29" s="784">
        <f>採点LR3!$E$33</f>
        <v>-0.5</v>
      </c>
      <c r="AQ29" s="791"/>
      <c r="AR29" s="854">
        <v>1</v>
      </c>
      <c r="AS29" s="855" t="str">
        <f>VLOOKUP($AR29,$AL$29:$AP$44,2,FALSE)</f>
        <v>B6 ｴﾈﾙｷﾞｰ消費</v>
      </c>
      <c r="AT29" s="854">
        <f>VLOOKUP($AR$29,$AL$29:$AP$44,3,FALSE)</f>
        <v>70</v>
      </c>
      <c r="AU29" s="854">
        <f>VLOOKUP($AR$29,$AL$29:$AP$44,4,FALSE)</f>
        <v>5</v>
      </c>
      <c r="AV29" s="856">
        <f>VLOOKUP($AR$29,$AL$29:$AP$44,5,FALSE)</f>
        <v>-0.9285714285714286</v>
      </c>
    </row>
    <row r="30" spans="2:48" ht="12.9" customHeight="1">
      <c r="B30" s="124"/>
      <c r="C30" s="60"/>
      <c r="D30" s="60"/>
      <c r="E30" s="60"/>
      <c r="F30" s="60"/>
      <c r="G30" s="60"/>
      <c r="H30" s="847" t="s">
        <v>1055</v>
      </c>
      <c r="I30" s="848" t="s">
        <v>1056</v>
      </c>
      <c r="J30" s="1802"/>
      <c r="K30" s="1803"/>
      <c r="L30" s="774"/>
      <c r="M30" s="592"/>
      <c r="N30" s="593"/>
      <c r="O30" s="594"/>
      <c r="P30" s="124"/>
      <c r="Q30" s="60"/>
      <c r="R30" s="595"/>
      <c r="S30" s="558" t="s">
        <v>133</v>
      </c>
      <c r="T30" s="596">
        <v>100</v>
      </c>
      <c r="U30" s="596">
        <v>100</v>
      </c>
      <c r="V30" s="596">
        <v>100</v>
      </c>
      <c r="W30" s="596">
        <v>100</v>
      </c>
      <c r="X30" s="596">
        <v>100</v>
      </c>
      <c r="Y30" s="596">
        <v>100</v>
      </c>
      <c r="Z30" s="596">
        <v>100</v>
      </c>
      <c r="AA30" s="63"/>
      <c r="AB30" s="63"/>
      <c r="AC30" s="63"/>
      <c r="AD30" s="63"/>
      <c r="AE30" s="63"/>
      <c r="AF30" s="651" t="s">
        <v>186</v>
      </c>
      <c r="AG30" s="654">
        <f>IF(AI23=AF23,街区環境SDGsチェックリスト!X10,0)</f>
        <v>0</v>
      </c>
      <c r="AL30" s="792">
        <f>_xlfn.RANK.EQ(AN30,$AN$29:$AN$44,0)+COUNTIF($AN$29:AN30,AN30)-1</f>
        <v>5</v>
      </c>
      <c r="AM30" s="793" t="s">
        <v>799</v>
      </c>
      <c r="AN30" s="771">
        <f>採点LR3!$F$31</f>
        <v>20</v>
      </c>
      <c r="AO30" s="771">
        <f>採点LR3!$F$32</f>
        <v>5</v>
      </c>
      <c r="AP30" s="784">
        <f>採点LR3!$F$33</f>
        <v>-0.75</v>
      </c>
      <c r="AQ30" s="791"/>
      <c r="AR30" s="854">
        <v>2</v>
      </c>
      <c r="AS30" s="855" t="str">
        <f>VLOOKUP($AR30,$AL$29:$AP$44,2,FALSE)</f>
        <v>B3 修繕</v>
      </c>
      <c r="AT30" s="854">
        <f>VLOOKUP($AR$30,$AL$29:$AP$44,3,FALSE)</f>
        <v>40</v>
      </c>
      <c r="AU30" s="854">
        <f>VLOOKUP($AR$30,$AL$29:$AP$44,4,FALSE)</f>
        <v>5</v>
      </c>
      <c r="AV30" s="856">
        <f>VLOOKUP($AR$30,$AL$29:$AP$44,5,FALSE)</f>
        <v>0.875</v>
      </c>
    </row>
    <row r="31" spans="2:48" ht="12.9" customHeight="1">
      <c r="B31" s="124"/>
      <c r="C31" s="60"/>
      <c r="D31" s="60"/>
      <c r="E31" s="60"/>
      <c r="F31" s="60"/>
      <c r="G31" s="60"/>
      <c r="H31" s="1804" t="s">
        <v>1057</v>
      </c>
      <c r="I31" s="1805"/>
      <c r="J31" s="1805"/>
      <c r="K31" s="1806"/>
      <c r="L31" s="774"/>
      <c r="M31" s="592"/>
      <c r="N31" s="593"/>
      <c r="O31" s="594"/>
      <c r="P31" s="124"/>
      <c r="Q31" s="60"/>
      <c r="R31" s="595">
        <v>3</v>
      </c>
      <c r="S31" s="558" t="s">
        <v>134</v>
      </c>
      <c r="T31" s="596">
        <v>50</v>
      </c>
      <c r="U31" s="596">
        <f t="shared" ref="U31:X34" si="0">U$29*$R31</f>
        <v>50</v>
      </c>
      <c r="V31" s="596">
        <f t="shared" si="0"/>
        <v>100</v>
      </c>
      <c r="W31" s="596">
        <v>100</v>
      </c>
      <c r="X31" s="596">
        <v>100</v>
      </c>
      <c r="Y31" s="596">
        <v>100</v>
      </c>
      <c r="Z31" s="596">
        <v>100</v>
      </c>
      <c r="AA31" s="63"/>
      <c r="AB31" s="63"/>
      <c r="AC31" s="63"/>
      <c r="AD31" s="63"/>
      <c r="AE31" s="63"/>
      <c r="AF31" s="651" t="s">
        <v>187</v>
      </c>
      <c r="AG31" s="654">
        <f>IF(AI23=AF23,街区環境SDGsチェックリスト!X26,0)</f>
        <v>0</v>
      </c>
      <c r="AL31" s="792">
        <f>_xlfn.RANK.EQ(AN31,$AN$29:$AN$44,0)+COUNTIF($AN$29:AN31,AN31)-1</f>
        <v>10</v>
      </c>
      <c r="AM31" s="793" t="s">
        <v>800</v>
      </c>
      <c r="AN31" s="771">
        <f>採点LR3!$G$31</f>
        <v>10</v>
      </c>
      <c r="AO31" s="771">
        <f>採点LR3!$G$32</f>
        <v>5</v>
      </c>
      <c r="AP31" s="784">
        <f>採点LR3!$G$33</f>
        <v>-0.5</v>
      </c>
      <c r="AQ31" s="791"/>
      <c r="AR31" s="854">
        <v>3</v>
      </c>
      <c r="AS31" s="855" t="str">
        <f>VLOOKUP($AR31,$AL$29:$AP$44,2,FALSE)</f>
        <v>B7 水消費</v>
      </c>
      <c r="AT31" s="854">
        <f>VLOOKUP($AR$31,$AL$29:$AP$44,3,FALSE)</f>
        <v>35</v>
      </c>
      <c r="AU31" s="854">
        <f>VLOOKUP($AR$31,$AL$29:$AP$44,4,FALSE)</f>
        <v>5</v>
      </c>
      <c r="AV31" s="856">
        <f>VLOOKUP($AR$31,$AL$29:$AP$44,5,FALSE)</f>
        <v>-0.8571428571428571</v>
      </c>
    </row>
    <row r="32" spans="2:48" ht="12.9" customHeight="1">
      <c r="B32" s="124"/>
      <c r="C32" s="60"/>
      <c r="D32" s="60"/>
      <c r="E32" s="60"/>
      <c r="F32" s="60"/>
      <c r="G32" s="60"/>
      <c r="H32" s="1807" t="s">
        <v>1058</v>
      </c>
      <c r="I32" s="1808"/>
      <c r="J32" s="857" t="s">
        <v>816</v>
      </c>
      <c r="K32" s="858" t="s">
        <v>726</v>
      </c>
      <c r="L32" s="774"/>
      <c r="M32" s="592"/>
      <c r="N32" s="593"/>
      <c r="O32" s="594"/>
      <c r="P32" s="124"/>
      <c r="Q32" s="60"/>
      <c r="R32" s="595">
        <v>1.5</v>
      </c>
      <c r="S32" s="558" t="s">
        <v>136</v>
      </c>
      <c r="T32" s="596">
        <v>0</v>
      </c>
      <c r="U32" s="596">
        <f t="shared" si="0"/>
        <v>25</v>
      </c>
      <c r="V32" s="596">
        <f t="shared" si="0"/>
        <v>50</v>
      </c>
      <c r="W32" s="596">
        <f t="shared" si="0"/>
        <v>75</v>
      </c>
      <c r="X32" s="596">
        <f t="shared" si="0"/>
        <v>100</v>
      </c>
      <c r="Y32" s="596">
        <v>100</v>
      </c>
      <c r="Z32" s="596">
        <v>100</v>
      </c>
      <c r="AA32" s="63"/>
      <c r="AB32" s="63"/>
      <c r="AC32" s="63"/>
      <c r="AD32" s="63"/>
      <c r="AE32" s="63"/>
      <c r="AF32" s="651" t="s">
        <v>188</v>
      </c>
      <c r="AG32" s="654">
        <f>IF(AI23=AF23,街区環境SDGsチェックリスト!X32,0)</f>
        <v>0</v>
      </c>
      <c r="AL32" s="792">
        <f>_xlfn.RANK.EQ(AN32,$AN$29:$AN$44,0)+COUNTIF($AN$29:AN32,AN32)-1</f>
        <v>14</v>
      </c>
      <c r="AM32" s="793" t="s">
        <v>801</v>
      </c>
      <c r="AN32" s="771">
        <f>採点LR3!$H$31</f>
        <v>5</v>
      </c>
      <c r="AO32" s="771">
        <f>採点LR3!$H$32</f>
        <v>5</v>
      </c>
      <c r="AP32" s="784">
        <f>採点LR3!$H$33</f>
        <v>0</v>
      </c>
      <c r="AQ32" s="791"/>
      <c r="AR32" s="854">
        <v>4</v>
      </c>
      <c r="AS32" s="855" t="str">
        <f>VLOOKUP($AR32,$AL$29:$AP$44,2,FALSE)</f>
        <v>B2 保全</v>
      </c>
      <c r="AT32" s="854">
        <f>VLOOKUP($AR$32,$AL$29:$AP$44,3,FALSE)</f>
        <v>30</v>
      </c>
      <c r="AU32" s="854">
        <f>VLOOKUP($AR$32,$AL$29:$AP$44,4,FALSE)</f>
        <v>5</v>
      </c>
      <c r="AV32" s="856">
        <f>VLOOKUP($AR$32,$AL$29:$AP$44,5,FALSE)</f>
        <v>-0.83333333333333337</v>
      </c>
    </row>
    <row r="33" spans="2:48" ht="12.9" customHeight="1">
      <c r="B33" s="124"/>
      <c r="C33" s="60"/>
      <c r="D33" s="60"/>
      <c r="E33" s="60"/>
      <c r="F33" s="60"/>
      <c r="G33" s="60"/>
      <c r="H33" s="1809" t="str">
        <f>VLOOKUP($AR29,$AL$29:$AP$44,2,FALSE)</f>
        <v>B6 ｴﾈﾙｷﾞｰ消費</v>
      </c>
      <c r="I33" s="1810"/>
      <c r="J33" s="1261">
        <f>VLOOKUP($AR$29,$AL$29:$AP$44,3,FALSE)</f>
        <v>70</v>
      </c>
      <c r="K33" s="1262">
        <f>VLOOKUP($AR$29,$AL$29:$AP$44,4,FALSE)</f>
        <v>5</v>
      </c>
      <c r="L33" s="768"/>
      <c r="M33" s="592"/>
      <c r="N33" s="593"/>
      <c r="O33" s="594"/>
      <c r="P33" s="124"/>
      <c r="Q33" s="60"/>
      <c r="R33" s="595">
        <v>1</v>
      </c>
      <c r="S33" s="558" t="s">
        <v>139</v>
      </c>
      <c r="T33" s="596">
        <v>0</v>
      </c>
      <c r="U33" s="596">
        <f t="shared" si="0"/>
        <v>16.666666666666668</v>
      </c>
      <c r="V33" s="596">
        <f t="shared" si="0"/>
        <v>33.333333333333336</v>
      </c>
      <c r="W33" s="596">
        <f t="shared" si="0"/>
        <v>50</v>
      </c>
      <c r="X33" s="596">
        <f t="shared" si="0"/>
        <v>66.666666666666671</v>
      </c>
      <c r="Y33" s="596">
        <f>Y$29*$R33</f>
        <v>83.333333333333343</v>
      </c>
      <c r="Z33" s="596">
        <f>Z$29*$R33</f>
        <v>100</v>
      </c>
      <c r="AA33" s="63"/>
      <c r="AB33" s="63"/>
      <c r="AC33" s="63"/>
      <c r="AD33" s="63"/>
      <c r="AE33" s="63"/>
      <c r="AF33" s="651" t="s">
        <v>189</v>
      </c>
      <c r="AG33" s="654">
        <f>IF(AI23=AF23,街区環境SDGsチェックリスト!X37,0)</f>
        <v>0</v>
      </c>
      <c r="AL33" s="792">
        <f>_xlfn.RANK.EQ(AN33,$AN$29:$AN$44,0)+COUNTIF($AN$29:AN33,AN33)-1</f>
        <v>15</v>
      </c>
      <c r="AM33" s="793" t="s">
        <v>802</v>
      </c>
      <c r="AN33" s="771">
        <f>採点LR3!$I$31</f>
        <v>5</v>
      </c>
      <c r="AO33" s="771">
        <f>採点LR3!$I$32</f>
        <v>5</v>
      </c>
      <c r="AP33" s="784">
        <f>採点LR3!$I$33</f>
        <v>0</v>
      </c>
      <c r="AQ33" s="791"/>
      <c r="AR33" s="854">
        <v>5</v>
      </c>
      <c r="AS33" s="855" t="str">
        <f>VLOOKUP($AR33,$AL$29:$AP$44,2,FALSE)</f>
        <v>A2 工場輸送</v>
      </c>
      <c r="AT33" s="854">
        <f>VLOOKUP($AR$33,$AL$29:$AP$44,3,FALSE)</f>
        <v>20</v>
      </c>
      <c r="AU33" s="854">
        <f>VLOOKUP($AR$33,$AL$29:$AP$44,4,FALSE)</f>
        <v>5</v>
      </c>
      <c r="AV33" s="856">
        <f>VLOOKUP($AR$33,$AL$29:$AP$44,5,FALSE)</f>
        <v>-0.75</v>
      </c>
    </row>
    <row r="34" spans="2:48" ht="12.9" customHeight="1">
      <c r="B34" s="124"/>
      <c r="C34" s="60"/>
      <c r="D34" s="60"/>
      <c r="E34" s="60"/>
      <c r="F34" s="60"/>
      <c r="G34" s="60"/>
      <c r="H34" s="1809" t="str">
        <f>VLOOKUP($AR30,$AL$29:$AP$44,2,FALSE)</f>
        <v>B3 修繕</v>
      </c>
      <c r="I34" s="1810"/>
      <c r="J34" s="1261">
        <f>VLOOKUP($AR$30,$AL$29:$AP$44,3,FALSE)</f>
        <v>40</v>
      </c>
      <c r="K34" s="1262">
        <f>VLOOKUP($AR$30,$AL$29:$AP$44,4,FALSE)</f>
        <v>5</v>
      </c>
      <c r="L34" s="769"/>
      <c r="M34" s="592"/>
      <c r="N34" s="593"/>
      <c r="O34" s="594"/>
      <c r="P34" s="124"/>
      <c r="Q34" s="60"/>
      <c r="R34" s="595">
        <v>0.5</v>
      </c>
      <c r="S34" s="558" t="s">
        <v>143</v>
      </c>
      <c r="T34" s="596">
        <v>0</v>
      </c>
      <c r="U34" s="596">
        <f t="shared" si="0"/>
        <v>8.3333333333333339</v>
      </c>
      <c r="V34" s="596">
        <f t="shared" si="0"/>
        <v>16.666666666666668</v>
      </c>
      <c r="W34" s="596">
        <f t="shared" si="0"/>
        <v>25</v>
      </c>
      <c r="X34" s="596">
        <f t="shared" si="0"/>
        <v>33.333333333333336</v>
      </c>
      <c r="Y34" s="596">
        <f>Y$29*$R34</f>
        <v>41.666666666666671</v>
      </c>
      <c r="Z34" s="596">
        <f>Z$29*$R34</f>
        <v>50</v>
      </c>
      <c r="AA34" s="63"/>
      <c r="AB34" s="63"/>
      <c r="AC34" s="63"/>
      <c r="AD34" s="63"/>
      <c r="AE34" s="63"/>
      <c r="AF34" s="651" t="s">
        <v>190</v>
      </c>
      <c r="AG34" s="654">
        <f>IF(AI23=AF23,街区環境SDGsチェックリスト!X53,0)</f>
        <v>0</v>
      </c>
      <c r="AL34" s="792">
        <f>_xlfn.RANK.EQ(AN34,$AN$29:$AN$44,0)+COUNTIF($AN$29:AN34,AN34)-1</f>
        <v>6</v>
      </c>
      <c r="AM34" s="793" t="s">
        <v>803</v>
      </c>
      <c r="AN34" s="785">
        <f>採点LR3!$E$36</f>
        <v>20</v>
      </c>
      <c r="AO34" s="785">
        <f>採点LR3!$E$37</f>
        <v>5</v>
      </c>
      <c r="AP34" s="786">
        <f>採点LR3!$E$38</f>
        <v>-0.75</v>
      </c>
      <c r="AQ34" s="791"/>
      <c r="AR34" s="843"/>
      <c r="AS34" s="843"/>
      <c r="AT34" s="843"/>
      <c r="AU34" s="859" t="s">
        <v>817</v>
      </c>
    </row>
    <row r="35" spans="2:48" ht="12.9" customHeight="1" thickBot="1">
      <c r="B35" s="124"/>
      <c r="C35" s="60"/>
      <c r="D35" s="60"/>
      <c r="E35" s="60"/>
      <c r="F35" s="60"/>
      <c r="G35" s="60"/>
      <c r="H35" s="1809" t="str">
        <f>VLOOKUP($AR31,$AL$29:$AP$44,2,FALSE)</f>
        <v>B7 水消費</v>
      </c>
      <c r="I35" s="1810"/>
      <c r="J35" s="1261">
        <f>VLOOKUP($AR$31,$AL$29:$AP$44,3,FALSE)</f>
        <v>35</v>
      </c>
      <c r="K35" s="1262">
        <f>VLOOKUP($AR$31,$AL$29:$AP$44,4,FALSE)</f>
        <v>5</v>
      </c>
      <c r="L35" s="770"/>
      <c r="M35" s="592"/>
      <c r="N35" s="593"/>
      <c r="O35" s="594"/>
      <c r="P35" s="124"/>
      <c r="Q35" s="60"/>
      <c r="R35" s="598"/>
      <c r="S35" s="141"/>
      <c r="T35" s="599"/>
      <c r="U35" s="599"/>
      <c r="V35" s="599"/>
      <c r="W35" s="599"/>
      <c r="X35" s="599"/>
      <c r="Y35" s="599"/>
      <c r="Z35" s="599"/>
      <c r="AA35" s="63"/>
      <c r="AB35" s="63"/>
      <c r="AC35" s="63"/>
      <c r="AD35" s="63"/>
      <c r="AE35" s="63"/>
      <c r="AF35" s="651" t="s">
        <v>191</v>
      </c>
      <c r="AG35" s="654">
        <f>IF(AI23=AF23,街区環境SDGsチェックリスト!X60,0)</f>
        <v>0</v>
      </c>
      <c r="AL35" s="792">
        <f>_xlfn.RANK.EQ(AN35,$AN$29:$AN$44,0)+COUNTIF($AN$29:AN35,AN35)-1</f>
        <v>4</v>
      </c>
      <c r="AM35" s="793" t="s">
        <v>804</v>
      </c>
      <c r="AN35" s="785">
        <f>採点LR3!$F$36</f>
        <v>30</v>
      </c>
      <c r="AO35" s="785">
        <f>採点LR3!$F$37</f>
        <v>5</v>
      </c>
      <c r="AP35" s="786">
        <f>採点LR3!$F$38</f>
        <v>-0.83333333333333337</v>
      </c>
      <c r="AQ35" s="791"/>
      <c r="AR35" s="1811" t="s">
        <v>814</v>
      </c>
      <c r="AS35" s="1811"/>
      <c r="AT35" s="860"/>
      <c r="AU35" s="860"/>
      <c r="AV35" s="791"/>
    </row>
    <row r="36" spans="2:48" ht="12.9" customHeight="1" thickBot="1">
      <c r="B36" s="124"/>
      <c r="C36" s="60"/>
      <c r="D36" s="60"/>
      <c r="E36" s="60"/>
      <c r="F36" s="60"/>
      <c r="G36" s="60"/>
      <c r="H36" s="1809" t="str">
        <f>VLOOKUP($AR32,$AL$29:$AP$44,2,FALSE)</f>
        <v>B2 保全</v>
      </c>
      <c r="I36" s="1810"/>
      <c r="J36" s="1261">
        <f>VLOOKUP($AR$32,$AL$29:$AP$44,3,FALSE)</f>
        <v>30</v>
      </c>
      <c r="K36" s="1262">
        <f>VLOOKUP($AR$32,$AL$29:$AP$44,4,FALSE)</f>
        <v>5</v>
      </c>
      <c r="L36" s="770"/>
      <c r="M36" s="592"/>
      <c r="N36" s="593"/>
      <c r="O36" s="594"/>
      <c r="P36" s="124"/>
      <c r="Q36" s="60"/>
      <c r="R36" s="455" t="s">
        <v>192</v>
      </c>
      <c r="S36" s="746">
        <f>T37/5</f>
        <v>0.4</v>
      </c>
      <c r="T36" s="599">
        <f>IF(U36=W36,X42,X43)</f>
        <v>5</v>
      </c>
      <c r="U36" s="603" t="s">
        <v>193</v>
      </c>
      <c r="V36" s="604" t="s">
        <v>194</v>
      </c>
      <c r="W36" s="730" t="s">
        <v>193</v>
      </c>
      <c r="X36" t="s">
        <v>195</v>
      </c>
      <c r="Y36" s="599"/>
      <c r="Z36" s="599"/>
      <c r="AA36" s="63"/>
      <c r="AB36" s="63"/>
      <c r="AC36" s="63"/>
      <c r="AD36" s="63"/>
      <c r="AE36" s="63"/>
      <c r="AF36" s="651" t="s">
        <v>196</v>
      </c>
      <c r="AG36" s="654">
        <f>IF(AI23=AF23,街区環境SDGsチェックリスト!X68,0)</f>
        <v>0</v>
      </c>
      <c r="AL36" s="792">
        <f>_xlfn.RANK.EQ(AN36,$AN$29:$AN$44,0)+COUNTIF($AN$29:AN36,AN36)-1</f>
        <v>2</v>
      </c>
      <c r="AM36" s="793" t="s">
        <v>805</v>
      </c>
      <c r="AN36" s="785">
        <f>採点LR3!$G$36</f>
        <v>40</v>
      </c>
      <c r="AO36" s="785">
        <f>採点LR3!$G$37</f>
        <v>5</v>
      </c>
      <c r="AP36" s="786">
        <f>採点LR3!$G$38</f>
        <v>0.875</v>
      </c>
      <c r="AQ36" s="791"/>
      <c r="AR36" s="861" t="str">
        <f>採点LR3!$E$61</f>
        <v>〇</v>
      </c>
      <c r="AS36" s="862" t="s">
        <v>1059</v>
      </c>
      <c r="AT36" s="769"/>
      <c r="AU36" s="769"/>
      <c r="AV36" s="791"/>
    </row>
    <row r="37" spans="2:48" ht="12.9" customHeight="1" thickBot="1">
      <c r="B37" s="124"/>
      <c r="C37" s="60"/>
      <c r="D37" s="60"/>
      <c r="E37" s="60"/>
      <c r="F37" s="60"/>
      <c r="G37" s="60"/>
      <c r="H37" s="1809" t="str">
        <f>VLOOKUP($AR33,$AL$29:$AP$44,2,FALSE)</f>
        <v>A2 工場輸送</v>
      </c>
      <c r="I37" s="1810"/>
      <c r="J37" s="1261">
        <f>VLOOKUP($AR$33,$AL$29:$AP$44,3,FALSE)</f>
        <v>20</v>
      </c>
      <c r="K37" s="1262">
        <f>VLOOKUP($AR$33,$AL$29:$AP$44,4,FALSE)</f>
        <v>5</v>
      </c>
      <c r="L37" s="770"/>
      <c r="M37" s="60"/>
      <c r="N37" s="60"/>
      <c r="O37" s="125"/>
      <c r="P37" s="124"/>
      <c r="Q37" s="60"/>
      <c r="R37" s="455" t="s">
        <v>113</v>
      </c>
      <c r="S37" s="563">
        <f>1-S36</f>
        <v>0.6</v>
      </c>
      <c r="T37" s="747">
        <f>Y60</f>
        <v>2</v>
      </c>
      <c r="U37" s="603" t="s">
        <v>197</v>
      </c>
      <c r="V37" s="599" t="str">
        <f>IF(U36=W37,V36,"")</f>
        <v/>
      </c>
      <c r="W37" s="603" t="s">
        <v>198</v>
      </c>
      <c r="X37" t="s">
        <v>199</v>
      </c>
      <c r="Y37" s="599"/>
      <c r="Z37" s="599"/>
      <c r="AA37" s="63"/>
      <c r="AB37" s="63"/>
      <c r="AC37" s="63"/>
      <c r="AD37" s="63"/>
      <c r="AE37" s="63"/>
      <c r="AF37" s="651" t="s">
        <v>200</v>
      </c>
      <c r="AG37" s="654">
        <f>IF(AI23=AF23,街区環境SDGsチェックリスト!X78,0)</f>
        <v>0</v>
      </c>
      <c r="AL37" s="792">
        <f>_xlfn.RANK.EQ(AN37,$AN$29:$AN$44,0)+COUNTIF($AN$29:AN37,AN37)-1</f>
        <v>7</v>
      </c>
      <c r="AM37" s="793" t="s">
        <v>806</v>
      </c>
      <c r="AN37" s="787">
        <f>採点LR3!$H$36</f>
        <v>20</v>
      </c>
      <c r="AO37" s="787">
        <f>採点LR3!$H$37</f>
        <v>5</v>
      </c>
      <c r="AP37" s="788">
        <f>採点LR3!$H$38</f>
        <v>-0.75</v>
      </c>
      <c r="AQ37" s="791"/>
      <c r="AR37" s="861" t="str">
        <f>採点LR3!$E$62</f>
        <v>-</v>
      </c>
      <c r="AS37" s="862" t="s">
        <v>1060</v>
      </c>
      <c r="AT37" s="769"/>
      <c r="AU37" s="769"/>
      <c r="AV37" s="791"/>
    </row>
    <row r="38" spans="2:48" ht="12.9" customHeight="1" thickBot="1">
      <c r="B38" s="124"/>
      <c r="C38" s="60"/>
      <c r="D38" s="60"/>
      <c r="E38" s="60"/>
      <c r="F38" s="60"/>
      <c r="G38" s="60"/>
      <c r="H38" s="1804" t="s">
        <v>1061</v>
      </c>
      <c r="I38" s="1805"/>
      <c r="J38" s="1805"/>
      <c r="K38" s="1806"/>
      <c r="L38" s="770"/>
      <c r="M38" s="60"/>
      <c r="N38" s="181"/>
      <c r="O38" s="125"/>
      <c r="P38" s="124"/>
      <c r="Q38" s="60"/>
      <c r="S38" s="60"/>
      <c r="AA38" s="63"/>
      <c r="AB38" s="63"/>
      <c r="AC38" s="63"/>
      <c r="AD38" s="63"/>
      <c r="AE38" s="63"/>
      <c r="AF38" s="651" t="s">
        <v>201</v>
      </c>
      <c r="AG38" s="654">
        <f>IF(AI23=AF23,街区環境SDGsチェックリスト!X121,0)</f>
        <v>0</v>
      </c>
      <c r="AL38" s="792">
        <f>_xlfn.RANK.EQ(AN38,$AN$29:$AN$44,0)+COUNTIF($AN$29:AN38,AN38)-1</f>
        <v>11</v>
      </c>
      <c r="AM38" s="793" t="s">
        <v>807</v>
      </c>
      <c r="AN38" s="789">
        <f>採点LR3!$I$36</f>
        <v>10</v>
      </c>
      <c r="AO38" s="789">
        <f>採点LR3!$I$37</f>
        <v>5</v>
      </c>
      <c r="AP38" s="790">
        <f>採点LR3!$I$38</f>
        <v>-0.5</v>
      </c>
      <c r="AQ38" s="791"/>
      <c r="AR38" s="861" t="str">
        <f>採点LR3!$E$63</f>
        <v>-</v>
      </c>
      <c r="AS38" s="862" t="s">
        <v>1062</v>
      </c>
      <c r="AT38" s="791"/>
      <c r="AU38" s="791"/>
      <c r="AV38" s="791"/>
    </row>
    <row r="39" spans="2:48" ht="12.9" customHeight="1" thickBot="1">
      <c r="B39" s="124"/>
      <c r="C39" s="60"/>
      <c r="D39" s="60"/>
      <c r="E39" s="60"/>
      <c r="F39" s="60"/>
      <c r="G39" s="60"/>
      <c r="H39" s="863" t="str">
        <f>IF(AR36="〇","þ","¨")</f>
        <v>þ</v>
      </c>
      <c r="I39" s="864" t="str">
        <f>IF(AR37="〇","þ","¨")</f>
        <v>¨</v>
      </c>
      <c r="J39" s="864" t="str">
        <f>IF(AS38="〇","þ","¨")</f>
        <v>¨</v>
      </c>
      <c r="K39" s="865" t="str">
        <f>IF(AT39="〇","þ","¨")</f>
        <v>¨</v>
      </c>
      <c r="L39" s="770"/>
      <c r="M39" s="60"/>
      <c r="N39" s="605"/>
      <c r="O39" s="125"/>
      <c r="P39" s="124"/>
      <c r="Q39" s="60"/>
      <c r="R39" s="608" t="s">
        <v>737</v>
      </c>
      <c r="S39" s="609" t="s">
        <v>721</v>
      </c>
      <c r="T39" s="609" t="s">
        <v>722</v>
      </c>
      <c r="U39" s="609" t="s">
        <v>723</v>
      </c>
      <c r="V39" s="609" t="s">
        <v>724</v>
      </c>
      <c r="W39" s="609" t="s">
        <v>725</v>
      </c>
      <c r="X39" s="609" t="s">
        <v>735</v>
      </c>
      <c r="Y39" s="557" t="s">
        <v>727</v>
      </c>
      <c r="Z39" s="557" t="s">
        <v>729</v>
      </c>
      <c r="AA39" s="557" t="s">
        <v>730</v>
      </c>
      <c r="AB39" s="557" t="s">
        <v>731</v>
      </c>
      <c r="AC39" s="557" t="s">
        <v>732</v>
      </c>
      <c r="AD39" s="557" t="s">
        <v>734</v>
      </c>
      <c r="AF39" s="651" t="s">
        <v>211</v>
      </c>
      <c r="AG39" s="654">
        <f>IF(AI23=AF23,街区環境SDGsチェックリスト!X134,0)</f>
        <v>0</v>
      </c>
      <c r="AL39" s="792">
        <f>_xlfn.RANK.EQ(AN39,$AN$29:$AN$44,0)+COUNTIF($AN$29:AN39,AN39)-1</f>
        <v>1</v>
      </c>
      <c r="AM39" s="793" t="s">
        <v>808</v>
      </c>
      <c r="AN39" s="789">
        <f>採点LR3!$E$41</f>
        <v>70</v>
      </c>
      <c r="AO39" s="789">
        <f>採点LR3!$E$42</f>
        <v>5</v>
      </c>
      <c r="AP39" s="790">
        <f>採点LR3!$E$43</f>
        <v>-0.9285714285714286</v>
      </c>
      <c r="AQ39" s="791"/>
      <c r="AR39" s="861" t="str">
        <f>採点LR3!$E$64</f>
        <v>-</v>
      </c>
      <c r="AS39" s="862" t="s">
        <v>1063</v>
      </c>
    </row>
    <row r="40" spans="2:48" ht="12.9" customHeight="1" thickBot="1">
      <c r="B40" s="124"/>
      <c r="C40" s="423"/>
      <c r="D40" s="60"/>
      <c r="E40" s="60"/>
      <c r="F40" s="60"/>
      <c r="G40" s="60"/>
      <c r="H40" s="863" t="str">
        <f>IF(AR44="〇","þ","¨")</f>
        <v>þ</v>
      </c>
      <c r="I40" s="864" t="str">
        <f>IF(AR45="〇","þ","¨")</f>
        <v>¨</v>
      </c>
      <c r="J40" s="864"/>
      <c r="K40" s="775"/>
      <c r="L40" s="60"/>
      <c r="M40" s="606"/>
      <c r="N40" s="60"/>
      <c r="O40" s="125"/>
      <c r="P40" s="124"/>
      <c r="Q40" s="60"/>
      <c r="R40" s="557" t="s">
        <v>734</v>
      </c>
      <c r="S40" s="340"/>
      <c r="T40" s="340"/>
      <c r="U40" s="340"/>
      <c r="V40" s="340"/>
      <c r="W40" s="340"/>
      <c r="X40" s="340"/>
      <c r="Y40" s="340"/>
      <c r="Z40" s="340"/>
      <c r="AA40" s="340"/>
      <c r="AB40" s="340"/>
      <c r="AC40" s="340"/>
      <c r="AD40" s="745" t="e">
        <f>採点LR3!#REF!</f>
        <v>#REF!</v>
      </c>
      <c r="AF40" s="651" t="s">
        <v>214</v>
      </c>
      <c r="AG40" s="654">
        <f>IF(AI23=AF23,街区環境SDGsチェックリスト!X140,0)</f>
        <v>0</v>
      </c>
      <c r="AL40" s="792">
        <f>_xlfn.RANK.EQ(AN40,$AN$29:$AN$44,0)+COUNTIF($AN$29:AN40,AN40)-1</f>
        <v>3</v>
      </c>
      <c r="AM40" s="793" t="s">
        <v>809</v>
      </c>
      <c r="AN40" s="789">
        <f>採点LR3!$F$41</f>
        <v>35</v>
      </c>
      <c r="AO40" s="789">
        <f>採点LR3!$F$42</f>
        <v>5</v>
      </c>
      <c r="AP40" s="790">
        <f>採点LR3!$F$43</f>
        <v>-0.8571428571428571</v>
      </c>
      <c r="AQ40" s="791"/>
      <c r="AR40" s="861" t="str">
        <f>採点LR3!$E$65</f>
        <v>〇</v>
      </c>
      <c r="AS40" s="862" t="s">
        <v>1064</v>
      </c>
    </row>
    <row r="41" spans="2:48" ht="12.9" customHeight="1" thickBot="1">
      <c r="B41" s="182"/>
      <c r="C41" s="123"/>
      <c r="D41" s="123"/>
      <c r="E41" s="123"/>
      <c r="F41" s="123"/>
      <c r="G41" s="123"/>
      <c r="H41" s="866" t="str">
        <f>IF(AR40="〇","þ","¨")</f>
        <v>þ</v>
      </c>
      <c r="I41" s="867" t="str">
        <f>IF(AR41="〇","þ","¨")</f>
        <v>þ</v>
      </c>
      <c r="J41" s="867" t="str">
        <f>IF(AR42="〇","þ","¨")</f>
        <v>þ</v>
      </c>
      <c r="K41" s="868" t="str">
        <f>IF(AR43="〇","þ","¨")</f>
        <v>¨</v>
      </c>
      <c r="L41" s="95" t="s">
        <v>1948</v>
      </c>
      <c r="M41" s="607"/>
      <c r="N41" s="123"/>
      <c r="O41" s="126"/>
      <c r="P41" s="124"/>
      <c r="Q41" s="60"/>
      <c r="R41" s="744" t="s">
        <v>733</v>
      </c>
      <c r="S41" s="340"/>
      <c r="T41" s="340"/>
      <c r="U41" s="340"/>
      <c r="V41" s="340"/>
      <c r="W41" s="340"/>
      <c r="X41" s="340"/>
      <c r="Y41" s="340"/>
      <c r="Z41" s="745">
        <f>採点LR3!E47</f>
        <v>5</v>
      </c>
      <c r="AA41" s="745">
        <f>採点LR3!F47</f>
        <v>5</v>
      </c>
      <c r="AB41" s="745">
        <f>採点LR3!G47</f>
        <v>5</v>
      </c>
      <c r="AC41" s="745">
        <f>採点LR3!H47</f>
        <v>5</v>
      </c>
      <c r="AD41" s="340"/>
      <c r="AF41" s="1697" t="s">
        <v>1941</v>
      </c>
      <c r="AG41" s="654">
        <f>IF(AI23=AF23,街区環境SDGsチェックリスト!X149,0)</f>
        <v>0</v>
      </c>
      <c r="AL41" s="792">
        <f>_xlfn.RANK.EQ(AN41,$AN$29:$AN$44,0)+COUNTIF($AN$29:AN41,AN41)-1</f>
        <v>12</v>
      </c>
      <c r="AM41" s="793" t="s">
        <v>810</v>
      </c>
      <c r="AN41" s="789">
        <f>採点LR3!$E$46</f>
        <v>10</v>
      </c>
      <c r="AO41" s="789">
        <f>採点LR3!$E$47</f>
        <v>5</v>
      </c>
      <c r="AP41" s="790">
        <f>採点LR3!$E$48</f>
        <v>-0.5</v>
      </c>
      <c r="AQ41" s="791"/>
      <c r="AR41" s="861" t="str">
        <f>採点LR3!$E$66</f>
        <v>〇</v>
      </c>
      <c r="AS41" s="862" t="s">
        <v>1065</v>
      </c>
    </row>
    <row r="42" spans="2:48" ht="15" customHeight="1" thickBot="1">
      <c r="B42" s="98" t="s">
        <v>212</v>
      </c>
      <c r="C42" s="99"/>
      <c r="D42" s="100"/>
      <c r="E42" s="99"/>
      <c r="F42" s="99"/>
      <c r="G42" s="99"/>
      <c r="H42" s="1002"/>
      <c r="I42" s="1002"/>
      <c r="J42" s="1003"/>
      <c r="K42" s="1003"/>
      <c r="L42" s="99"/>
      <c r="M42" s="221" t="s">
        <v>1212</v>
      </c>
      <c r="N42" s="103"/>
      <c r="O42" s="1004"/>
      <c r="R42" s="744" t="s">
        <v>728</v>
      </c>
      <c r="S42" s="340"/>
      <c r="T42" s="340"/>
      <c r="U42" s="340"/>
      <c r="V42" s="340"/>
      <c r="W42" s="340"/>
      <c r="X42" s="745">
        <f>採点LR3!E37</f>
        <v>5</v>
      </c>
      <c r="Y42" s="745">
        <f>採点LR3!F37</f>
        <v>5</v>
      </c>
      <c r="Z42" s="340"/>
      <c r="AA42" s="340"/>
      <c r="AB42" s="340"/>
      <c r="AC42" s="340"/>
      <c r="AD42" s="340"/>
      <c r="AF42" s="651" t="s">
        <v>220</v>
      </c>
      <c r="AG42" s="654">
        <f>IF(AI23=AF23,街区環境SDGsチェックリスト!X155,0)</f>
        <v>0</v>
      </c>
      <c r="AL42" s="792">
        <f>_xlfn.RANK.EQ(AN42,$AN$29:$AN$44,0)+COUNTIF($AN$29:AN42,AN42)-1</f>
        <v>13</v>
      </c>
      <c r="AM42" s="793" t="s">
        <v>811</v>
      </c>
      <c r="AN42" s="787">
        <f>採点LR3!$F$46</f>
        <v>10</v>
      </c>
      <c r="AO42" s="787">
        <f>採点LR3!$F$47</f>
        <v>5</v>
      </c>
      <c r="AP42" s="788">
        <f>採点LR3!$F$48</f>
        <v>-0.5</v>
      </c>
      <c r="AQ42" s="791"/>
      <c r="AR42" s="861" t="str">
        <f>採点LR3!$E$67</f>
        <v>〇</v>
      </c>
      <c r="AS42" s="862" t="s">
        <v>1066</v>
      </c>
    </row>
    <row r="43" spans="2:48" ht="15" customHeight="1" thickBot="1">
      <c r="B43" s="1005" t="s">
        <v>1091</v>
      </c>
      <c r="C43" s="634"/>
      <c r="D43" s="634"/>
      <c r="E43" s="1006"/>
      <c r="F43" s="634"/>
      <c r="G43" s="634"/>
      <c r="H43" s="634"/>
      <c r="I43" s="634"/>
      <c r="J43" s="634"/>
      <c r="K43" s="1007" t="s">
        <v>1089</v>
      </c>
      <c r="L43" s="1008">
        <f>スコア!R7</f>
        <v>3</v>
      </c>
      <c r="M43" s="1009" t="s">
        <v>1213</v>
      </c>
      <c r="N43" s="634"/>
      <c r="O43" s="1001"/>
      <c r="R43" s="744" t="s">
        <v>720</v>
      </c>
      <c r="S43" s="745">
        <f>採点LR3!E32</f>
        <v>5</v>
      </c>
      <c r="T43" s="745">
        <f>採点LR3!F32</f>
        <v>5</v>
      </c>
      <c r="U43" s="745">
        <f>採点LR3!G32</f>
        <v>5</v>
      </c>
      <c r="V43" s="745">
        <f>採点LR3!H32</f>
        <v>5</v>
      </c>
      <c r="W43" s="745">
        <f>採点LR3!I32</f>
        <v>5</v>
      </c>
      <c r="X43" s="340"/>
      <c r="Y43" s="340"/>
      <c r="Z43" s="340"/>
      <c r="AA43" s="340"/>
      <c r="AB43" s="340"/>
      <c r="AC43" s="340"/>
      <c r="AD43" s="340"/>
      <c r="AH43"/>
      <c r="AL43" s="792">
        <f>_xlfn.RANK.EQ(AN43,$AN$29:$AN$44,0)+COUNTIF($AN$29:AN43,AN43)-1</f>
        <v>8</v>
      </c>
      <c r="AM43" s="793" t="s">
        <v>812</v>
      </c>
      <c r="AN43" s="789">
        <f>採点LR3!$G$46</f>
        <v>20</v>
      </c>
      <c r="AO43" s="789">
        <f>採点LR3!$G$47</f>
        <v>5</v>
      </c>
      <c r="AP43" s="790">
        <f>採点LR3!$G$48</f>
        <v>-0.75</v>
      </c>
      <c r="AQ43" s="791"/>
      <c r="AR43" s="861" t="str">
        <f>採点LR3!$E$68</f>
        <v>-</v>
      </c>
      <c r="AS43" s="862" t="s">
        <v>1067</v>
      </c>
    </row>
    <row r="44" spans="2:48" ht="15" customHeight="1" thickBot="1">
      <c r="B44" s="124"/>
      <c r="C44" s="553" t="str">
        <f>配慮!B7</f>
        <v>Q-1 環境</v>
      </c>
      <c r="D44" s="617"/>
      <c r="E44" s="617"/>
      <c r="F44" s="617"/>
      <c r="G44" s="694" t="str">
        <f>配慮!B8</f>
        <v>Q-2 社会</v>
      </c>
      <c r="J44" s="63"/>
      <c r="K44" s="657" t="str">
        <f>配慮!B9</f>
        <v>Q-3 経済</v>
      </c>
      <c r="M44" s="662"/>
      <c r="N44" s="63"/>
      <c r="O44" s="620">
        <f>AG46</f>
        <v>12</v>
      </c>
      <c r="S44" s="60"/>
      <c r="AA44" s="63"/>
      <c r="AB44" s="63"/>
      <c r="AC44" s="63"/>
      <c r="AD44" s="63"/>
      <c r="AE44" s="63"/>
      <c r="AH44"/>
      <c r="AI44" s="622"/>
      <c r="AJ44" s="622"/>
      <c r="AL44" s="792">
        <f>_xlfn.RANK.EQ(AN44,$AN$29:$AN$44,0)+COUNTIF($AN$29:AN44,AN44)-1</f>
        <v>16</v>
      </c>
      <c r="AM44" s="793" t="s">
        <v>813</v>
      </c>
      <c r="AN44" s="789">
        <f>採点LR3!$H$46</f>
        <v>5</v>
      </c>
      <c r="AO44" s="789">
        <f>採点LR3!$H$47</f>
        <v>5</v>
      </c>
      <c r="AP44" s="790">
        <f>採点LR3!$H$48</f>
        <v>0</v>
      </c>
      <c r="AQ44" s="791"/>
      <c r="AR44" s="861" t="str">
        <f>採点LR3!$E$69</f>
        <v>〇</v>
      </c>
      <c r="AS44" s="862" t="s">
        <v>1068</v>
      </c>
    </row>
    <row r="45" spans="2:48" ht="15" customHeight="1" thickBot="1">
      <c r="B45" s="124"/>
      <c r="C45" s="75"/>
      <c r="D45" s="76"/>
      <c r="E45" s="659">
        <f>S46</f>
        <v>3</v>
      </c>
      <c r="F45" s="60"/>
      <c r="H45" s="60"/>
      <c r="I45" s="60"/>
      <c r="J45" s="617">
        <f>V46</f>
        <v>3</v>
      </c>
      <c r="K45" s="617"/>
      <c r="L45" s="659">
        <f>Y46</f>
        <v>3.1</v>
      </c>
      <c r="M45" s="663"/>
      <c r="N45" s="619"/>
      <c r="O45" s="620"/>
      <c r="R45" s="455"/>
      <c r="S45" s="455" t="s">
        <v>144</v>
      </c>
      <c r="T45" s="455" t="s">
        <v>223</v>
      </c>
      <c r="U45" s="455"/>
      <c r="V45" s="455" t="s">
        <v>144</v>
      </c>
      <c r="W45" s="455" t="s">
        <v>223</v>
      </c>
      <c r="X45" s="455"/>
      <c r="Y45" s="455" t="s">
        <v>144</v>
      </c>
      <c r="Z45" s="455" t="s">
        <v>223</v>
      </c>
      <c r="AA45" s="63"/>
      <c r="AB45" s="63"/>
      <c r="AC45" s="63"/>
      <c r="AD45" s="63"/>
      <c r="AE45" s="63"/>
      <c r="AF45" s="455"/>
      <c r="AG45" s="455" t="s">
        <v>224</v>
      </c>
      <c r="AH45"/>
      <c r="AL45" s="792" t="e">
        <f>_xlfn.RANK.EQ(AN45,$AN$29:$AN$44,0)+COUNTIF($AN$29:AN45,AN45)-1</f>
        <v>#N/A</v>
      </c>
      <c r="AM45" s="794" t="s">
        <v>797</v>
      </c>
      <c r="AN45" s="789">
        <f>採点LR3!$H$51</f>
        <v>0</v>
      </c>
      <c r="AO45" s="789">
        <f>採点LR3!$H$52</f>
        <v>0</v>
      </c>
      <c r="AP45" s="790">
        <f>採点LR3!$H$53</f>
        <v>0</v>
      </c>
      <c r="AQ45" s="791"/>
      <c r="AR45" s="861" t="str">
        <f>採点LR3!$E$70</f>
        <v>-</v>
      </c>
      <c r="AS45" s="862" t="s">
        <v>1069</v>
      </c>
    </row>
    <row r="46" spans="2:48" ht="15" customHeight="1">
      <c r="B46" s="124"/>
      <c r="C46" s="60"/>
      <c r="D46" s="60"/>
      <c r="E46" s="60"/>
      <c r="F46" s="60"/>
      <c r="L46" s="63"/>
      <c r="M46" s="664"/>
      <c r="N46" s="63"/>
      <c r="O46" s="564"/>
      <c r="R46" s="623" t="str">
        <f>C44</f>
        <v>Q-1 環境</v>
      </c>
      <c r="S46" s="716">
        <f>スコア!R8</f>
        <v>3</v>
      </c>
      <c r="T46" s="715">
        <f>スコア!V8</f>
        <v>3</v>
      </c>
      <c r="U46" s="658" t="str">
        <f>G44</f>
        <v>Q-2 社会</v>
      </c>
      <c r="V46" s="625">
        <f>スコア!R41</f>
        <v>3</v>
      </c>
      <c r="W46" s="715">
        <f>スコア!V41</f>
        <v>3</v>
      </c>
      <c r="X46" s="623" t="e">
        <f>#REF!</f>
        <v>#REF!</v>
      </c>
      <c r="Y46" s="625">
        <f>スコア!R74</f>
        <v>3.1</v>
      </c>
      <c r="Z46" s="715">
        <f>スコア!V74</f>
        <v>3.1428571428571428</v>
      </c>
      <c r="AA46" s="63"/>
      <c r="AB46" s="63"/>
      <c r="AC46" s="63"/>
      <c r="AD46" s="63"/>
      <c r="AE46" s="63"/>
      <c r="AF46" s="558">
        <f>'結果(2-3SDGs)'!M44</f>
        <v>0</v>
      </c>
      <c r="AG46" s="718">
        <f>スコア!J152</f>
        <v>12</v>
      </c>
      <c r="AH46"/>
      <c r="AT46"/>
      <c r="AU46"/>
      <c r="AV46"/>
    </row>
    <row r="47" spans="2:48" ht="15" customHeight="1" thickBot="1">
      <c r="B47" s="124"/>
      <c r="C47" s="60"/>
      <c r="D47" s="60"/>
      <c r="E47" s="60"/>
      <c r="F47" s="60"/>
      <c r="L47" s="63"/>
      <c r="M47" s="664"/>
      <c r="N47" s="63"/>
      <c r="O47" s="564"/>
      <c r="S47" s="60"/>
      <c r="AA47" s="63"/>
      <c r="AB47" s="63"/>
      <c r="AC47" s="63"/>
      <c r="AD47" s="63"/>
      <c r="AE47" s="63"/>
      <c r="AH47"/>
      <c r="AR47" s="1798" t="s">
        <v>1070</v>
      </c>
      <c r="AS47" s="1799"/>
      <c r="AT47"/>
      <c r="AU47"/>
      <c r="AV47"/>
    </row>
    <row r="48" spans="2:48" ht="15" customHeight="1" thickBot="1">
      <c r="B48" s="124"/>
      <c r="C48" s="60"/>
      <c r="D48" s="60"/>
      <c r="E48" s="60"/>
      <c r="F48" s="60"/>
      <c r="L48" s="63"/>
      <c r="M48" s="664"/>
      <c r="N48" s="63"/>
      <c r="O48" s="564"/>
      <c r="R48" s="455"/>
      <c r="S48" s="455" t="s">
        <v>144</v>
      </c>
      <c r="T48" s="455" t="s">
        <v>225</v>
      </c>
      <c r="U48" s="455"/>
      <c r="V48" s="455" t="s">
        <v>144</v>
      </c>
      <c r="W48" s="455" t="s">
        <v>225</v>
      </c>
      <c r="X48" s="455"/>
      <c r="Y48" s="626" t="s">
        <v>144</v>
      </c>
      <c r="Z48" s="455" t="s">
        <v>225</v>
      </c>
      <c r="AA48" s="63"/>
      <c r="AB48" s="63"/>
      <c r="AC48" s="63"/>
      <c r="AD48" s="63"/>
      <c r="AE48" s="63"/>
      <c r="AF48" s="455"/>
      <c r="AG48" s="455" t="s">
        <v>224</v>
      </c>
      <c r="AH48"/>
      <c r="AR48" s="1011" t="str">
        <f>採点LR3!$E$21</f>
        <v>〇</v>
      </c>
      <c r="AS48" s="1012" t="s">
        <v>1071</v>
      </c>
      <c r="AT48"/>
      <c r="AU48"/>
      <c r="AV48"/>
    </row>
    <row r="49" spans="1:45" ht="15" customHeight="1" thickBot="1">
      <c r="B49" s="124"/>
      <c r="C49" s="60"/>
      <c r="D49" s="60"/>
      <c r="E49" s="60"/>
      <c r="F49" s="60"/>
      <c r="L49" s="63"/>
      <c r="M49" s="664"/>
      <c r="N49" s="63"/>
      <c r="O49" s="564"/>
      <c r="R49" s="628" t="s">
        <v>226</v>
      </c>
      <c r="S49" s="624">
        <f>スコア!R9</f>
        <v>3</v>
      </c>
      <c r="T49" s="455" t="str">
        <f>IF(S49=0,"N.A.","")</f>
        <v/>
      </c>
      <c r="U49" s="558" t="s">
        <v>227</v>
      </c>
      <c r="V49" s="625">
        <f>スコア!R42</f>
        <v>3</v>
      </c>
      <c r="W49" s="455" t="str">
        <f>IF(V49=0,"N.A.","")</f>
        <v/>
      </c>
      <c r="X49" s="628" t="s">
        <v>228</v>
      </c>
      <c r="Y49" s="625">
        <f>スコア!R75</f>
        <v>3</v>
      </c>
      <c r="Z49" s="455" t="str">
        <f>IF(Y49=0,"N.A.","")</f>
        <v/>
      </c>
      <c r="AA49" s="63"/>
      <c r="AB49" s="63"/>
      <c r="AC49" s="63"/>
      <c r="AD49" s="63"/>
      <c r="AE49" s="63"/>
      <c r="AF49" s="640" t="str">
        <f>スコア!C153</f>
        <v>エリアマネジメント</v>
      </c>
      <c r="AG49" s="719">
        <f>スコア!J153</f>
        <v>3</v>
      </c>
      <c r="AH49"/>
      <c r="AR49" s="1011" t="str">
        <f>採点LR3!$E$22</f>
        <v>-</v>
      </c>
      <c r="AS49" s="1012" t="s">
        <v>1072</v>
      </c>
    </row>
    <row r="50" spans="1:45" ht="15" customHeight="1" thickBot="1">
      <c r="B50" s="124"/>
      <c r="C50" s="60"/>
      <c r="D50" s="60"/>
      <c r="E50" s="60"/>
      <c r="F50" s="60"/>
      <c r="L50" s="63"/>
      <c r="M50" s="664"/>
      <c r="N50" s="63"/>
      <c r="O50" s="564"/>
      <c r="R50" s="628" t="s">
        <v>229</v>
      </c>
      <c r="S50" s="624">
        <f>スコア!R25</f>
        <v>3</v>
      </c>
      <c r="T50" s="455" t="str">
        <f>IF(S50=0,"N.A.","")</f>
        <v/>
      </c>
      <c r="U50" s="558" t="s">
        <v>230</v>
      </c>
      <c r="V50" s="625">
        <f>スコア!R50</f>
        <v>3</v>
      </c>
      <c r="W50" s="455" t="str">
        <f>IF(V50=0,"N.A.","")</f>
        <v/>
      </c>
      <c r="X50" s="692" t="s">
        <v>231</v>
      </c>
      <c r="Y50" s="625">
        <f>スコア!R85</f>
        <v>3.5</v>
      </c>
      <c r="Z50" s="455" t="str">
        <f>IF(Y50=0,"N.A.","")</f>
        <v/>
      </c>
      <c r="AA50" s="63"/>
      <c r="AB50" s="63"/>
      <c r="AC50" s="63"/>
      <c r="AD50" s="63"/>
      <c r="AE50" s="63"/>
      <c r="AF50" s="640" t="str">
        <f>スコア!L153</f>
        <v>エネルギーマネジメント</v>
      </c>
      <c r="AG50" s="719">
        <f>スコア!R153</f>
        <v>3</v>
      </c>
      <c r="AH50"/>
      <c r="AR50" s="1011" t="str">
        <f>採点LR3!$E$23</f>
        <v>-</v>
      </c>
      <c r="AS50" s="1012" t="s">
        <v>1073</v>
      </c>
    </row>
    <row r="51" spans="1:45" ht="15" customHeight="1" thickBot="1">
      <c r="B51" s="124"/>
      <c r="C51" s="60"/>
      <c r="D51" s="60"/>
      <c r="E51" s="60"/>
      <c r="F51" s="60"/>
      <c r="G51" s="627"/>
      <c r="H51" s="627"/>
      <c r="I51" s="627"/>
      <c r="L51" s="63"/>
      <c r="M51" s="664"/>
      <c r="N51" s="63"/>
      <c r="O51" s="564"/>
      <c r="R51" s="692" t="s">
        <v>232</v>
      </c>
      <c r="S51" s="624">
        <f>スコア!R39</f>
        <v>3</v>
      </c>
      <c r="T51" s="455" t="str">
        <f>IF(S51=0,"N.A.","")</f>
        <v/>
      </c>
      <c r="U51" s="558" t="s">
        <v>233</v>
      </c>
      <c r="V51" s="625">
        <f>スコア!R55</f>
        <v>3</v>
      </c>
      <c r="W51" s="455" t="str">
        <f>IF(V51=0,"N.A.","")</f>
        <v/>
      </c>
      <c r="X51" s="628" t="s">
        <v>234</v>
      </c>
      <c r="Y51" s="625">
        <f>スコア!R90</f>
        <v>3</v>
      </c>
      <c r="Z51" s="455" t="str">
        <f>IF(Y51=0,"N.A.","")</f>
        <v/>
      </c>
      <c r="AA51" s="63"/>
      <c r="AB51" s="63"/>
      <c r="AC51" s="63"/>
      <c r="AD51" s="63"/>
      <c r="AE51" s="63"/>
      <c r="AF51" s="640" t="str">
        <f>スコア!C158</f>
        <v>交通マネジメント</v>
      </c>
      <c r="AG51" s="719">
        <f>スコア!J158</f>
        <v>3</v>
      </c>
      <c r="AH51"/>
      <c r="AR51" s="1011" t="str">
        <f>採点LR3!$E$24</f>
        <v>-</v>
      </c>
      <c r="AS51" s="1012" t="s">
        <v>1074</v>
      </c>
    </row>
    <row r="52" spans="1:45" ht="15" customHeight="1" thickBot="1">
      <c r="B52" s="124"/>
      <c r="C52" s="60"/>
      <c r="D52" s="60"/>
      <c r="E52" s="60"/>
      <c r="F52" s="60"/>
      <c r="G52" s="627"/>
      <c r="H52" s="627"/>
      <c r="I52" s="627"/>
      <c r="L52" s="63"/>
      <c r="M52" s="664"/>
      <c r="N52" s="63"/>
      <c r="O52" s="564"/>
      <c r="R52" s="692" t="s">
        <v>237</v>
      </c>
      <c r="S52" s="624">
        <f>スコア!R40</f>
        <v>3</v>
      </c>
      <c r="T52" s="455" t="str">
        <f>IF(S52=0,"N.A.","")</f>
        <v/>
      </c>
      <c r="U52" s="558" t="s">
        <v>238</v>
      </c>
      <c r="V52" s="625">
        <f>スコア!R60</f>
        <v>3</v>
      </c>
      <c r="W52" s="455" t="str">
        <f t="shared" ref="W52:W54" si="1">IF(V52=0,"N.A.","")</f>
        <v/>
      </c>
      <c r="X52" s="692" t="s">
        <v>239</v>
      </c>
      <c r="Y52" s="625">
        <f>スコア!R98</f>
        <v>3</v>
      </c>
      <c r="Z52" s="455" t="str">
        <f>IF(Y52=0,"N.A.","")</f>
        <v/>
      </c>
      <c r="AA52" s="63"/>
      <c r="AB52" s="63"/>
      <c r="AC52" s="63"/>
      <c r="AD52" s="63"/>
      <c r="AE52" s="63"/>
      <c r="AF52" s="640" t="str">
        <f>スコア!L158</f>
        <v>発展的マネジメント</v>
      </c>
      <c r="AG52" s="719">
        <f>スコア!R168</f>
        <v>3</v>
      </c>
      <c r="AH52"/>
      <c r="AR52" s="1011" t="str">
        <f>採点LR3!$E$25</f>
        <v>-</v>
      </c>
      <c r="AS52" s="1013" t="s">
        <v>1075</v>
      </c>
    </row>
    <row r="53" spans="1:45" ht="15" customHeight="1" thickBot="1">
      <c r="B53" s="124"/>
      <c r="C53" s="60"/>
      <c r="D53" s="60"/>
      <c r="E53" s="60"/>
      <c r="F53" s="60"/>
      <c r="G53" s="81"/>
      <c r="H53" s="560"/>
      <c r="I53" s="560"/>
      <c r="J53" s="629"/>
      <c r="K53" s="629"/>
      <c r="L53" s="631"/>
      <c r="M53" s="664"/>
      <c r="N53" s="63"/>
      <c r="O53" s="564"/>
      <c r="R53"/>
      <c r="S53"/>
      <c r="T53"/>
      <c r="U53" s="558" t="s">
        <v>240</v>
      </c>
      <c r="V53" s="625">
        <f>スコア!R68</f>
        <v>3</v>
      </c>
      <c r="W53" s="455" t="str">
        <f t="shared" si="1"/>
        <v/>
      </c>
      <c r="X53" s="63"/>
      <c r="Y53" s="63"/>
      <c r="Z53" s="63"/>
      <c r="AA53" s="63"/>
      <c r="AB53" s="63"/>
      <c r="AC53" s="63"/>
      <c r="AD53" s="63"/>
      <c r="AE53" s="63"/>
      <c r="AH53"/>
      <c r="AR53" s="1011" t="str">
        <f>採点LR3!$E$26</f>
        <v>-</v>
      </c>
      <c r="AS53" s="1013" t="s">
        <v>821</v>
      </c>
    </row>
    <row r="54" spans="1:45" ht="15" customHeight="1">
      <c r="A54" s="632"/>
      <c r="B54" s="633" t="s">
        <v>1092</v>
      </c>
      <c r="C54" s="634"/>
      <c r="D54" s="635"/>
      <c r="E54" s="634"/>
      <c r="F54" s="634"/>
      <c r="G54" s="634"/>
      <c r="H54" s="614"/>
      <c r="I54" s="614"/>
      <c r="J54" s="614"/>
      <c r="K54" s="616" t="s">
        <v>1090</v>
      </c>
      <c r="L54" s="723">
        <f>スコア!R99</f>
        <v>2.9</v>
      </c>
      <c r="M54" s="1009" t="s">
        <v>1214</v>
      </c>
      <c r="N54" s="634"/>
      <c r="O54" s="1001"/>
      <c r="R54"/>
      <c r="S54"/>
      <c r="T54"/>
      <c r="U54" s="693" t="s">
        <v>241</v>
      </c>
      <c r="V54" s="625">
        <f>スコア!R72</f>
        <v>3</v>
      </c>
      <c r="W54" s="455" t="str">
        <f t="shared" si="1"/>
        <v/>
      </c>
      <c r="X54" s="63"/>
      <c r="Y54" s="63"/>
      <c r="Z54" s="63"/>
      <c r="AA54" s="63"/>
      <c r="AB54" s="63"/>
      <c r="AC54" s="63"/>
      <c r="AD54" s="63"/>
      <c r="AE54" s="63"/>
      <c r="AH54"/>
    </row>
    <row r="55" spans="1:45" ht="15" customHeight="1">
      <c r="B55" s="71"/>
      <c r="C55" s="72" t="str">
        <f>配慮!B10</f>
        <v>LR-1 エネルギー</v>
      </c>
      <c r="D55" s="72"/>
      <c r="E55" s="636"/>
      <c r="F55" s="72"/>
      <c r="G55" s="72" t="str">
        <f>配慮!B11</f>
        <v>LR-2 資源</v>
      </c>
      <c r="J55" s="72"/>
      <c r="K55" s="721" t="str">
        <f>配慮!B12</f>
        <v>LR-3 周辺環境</v>
      </c>
      <c r="L55" s="657"/>
      <c r="M55" s="662"/>
      <c r="N55" s="63"/>
      <c r="O55" s="620">
        <f>AG57</f>
        <v>9</v>
      </c>
      <c r="S55" s="60"/>
      <c r="AA55" s="63"/>
      <c r="AB55" s="63"/>
      <c r="AC55" s="63"/>
      <c r="AD55" s="63"/>
      <c r="AE55" s="63"/>
      <c r="AH55"/>
    </row>
    <row r="56" spans="1:45" ht="15" customHeight="1">
      <c r="B56" s="74"/>
      <c r="C56" s="75"/>
      <c r="D56" s="76"/>
      <c r="E56" s="619"/>
      <c r="F56" s="617">
        <f>S57</f>
        <v>3</v>
      </c>
      <c r="H56" s="60"/>
      <c r="I56" s="60"/>
      <c r="J56" s="617">
        <f>V57</f>
        <v>3</v>
      </c>
      <c r="K56" s="617"/>
      <c r="L56" s="659">
        <f>Y57</f>
        <v>2.6</v>
      </c>
      <c r="M56" s="664"/>
      <c r="N56" s="63"/>
      <c r="O56" s="620"/>
      <c r="R56" s="455"/>
      <c r="S56" s="455" t="s">
        <v>144</v>
      </c>
      <c r="T56" s="455" t="s">
        <v>223</v>
      </c>
      <c r="U56" s="455"/>
      <c r="V56" s="455" t="s">
        <v>144</v>
      </c>
      <c r="W56" s="455" t="s">
        <v>223</v>
      </c>
      <c r="X56" s="455"/>
      <c r="Y56" s="455" t="s">
        <v>144</v>
      </c>
      <c r="Z56" s="455" t="s">
        <v>223</v>
      </c>
      <c r="AA56" s="63"/>
      <c r="AB56" s="63"/>
      <c r="AC56" s="63"/>
      <c r="AD56" s="63"/>
      <c r="AE56" s="63"/>
      <c r="AF56" s="455"/>
      <c r="AG56" s="455" t="s">
        <v>224</v>
      </c>
      <c r="AH56"/>
    </row>
    <row r="57" spans="1:45" ht="15" customHeight="1">
      <c r="B57" s="74"/>
      <c r="C57" s="79"/>
      <c r="D57" s="79"/>
      <c r="E57" s="80"/>
      <c r="F57" s="81"/>
      <c r="G57" s="81"/>
      <c r="H57" s="81"/>
      <c r="I57" s="81"/>
      <c r="M57" s="664"/>
      <c r="N57" s="63"/>
      <c r="O57" s="564"/>
      <c r="R57" s="558" t="str">
        <f>C55</f>
        <v>LR-1 エネルギー</v>
      </c>
      <c r="S57" s="625">
        <f>スコア!R100</f>
        <v>3</v>
      </c>
      <c r="T57" s="715">
        <f>スコア!V100</f>
        <v>3</v>
      </c>
      <c r="U57" s="558" t="str">
        <f>G55</f>
        <v>LR-2 資源</v>
      </c>
      <c r="V57" s="637">
        <f>スコア!R107</f>
        <v>3</v>
      </c>
      <c r="W57" s="715">
        <f>スコア!V107</f>
        <v>3.0555555555555554</v>
      </c>
      <c r="X57" s="558">
        <f>L55</f>
        <v>0</v>
      </c>
      <c r="Y57" s="625">
        <f>スコア!R127</f>
        <v>2.6</v>
      </c>
      <c r="Z57" s="715">
        <f>スコア!V127</f>
        <v>2.6481481481481479</v>
      </c>
      <c r="AA57" s="63"/>
      <c r="AB57" s="63"/>
      <c r="AC57" s="63"/>
      <c r="AD57" s="63"/>
      <c r="AE57" s="63"/>
      <c r="AF57" s="558">
        <f>'結果(2-3SDGs)'!M55</f>
        <v>0</v>
      </c>
      <c r="AG57" s="718">
        <f>スコア!J167</f>
        <v>9</v>
      </c>
      <c r="AH57"/>
    </row>
    <row r="58" spans="1:45" ht="15" customHeight="1">
      <c r="B58" s="74"/>
      <c r="C58" s="64"/>
      <c r="D58" s="83"/>
      <c r="M58" s="664"/>
      <c r="N58" s="63"/>
      <c r="O58" s="564"/>
      <c r="S58" s="60"/>
      <c r="Y58" s="638"/>
      <c r="AA58" s="63"/>
      <c r="AB58" s="63"/>
      <c r="AC58" s="63"/>
      <c r="AD58" s="63"/>
      <c r="AE58" s="63"/>
      <c r="AH58"/>
    </row>
    <row r="59" spans="1:45" ht="15" customHeight="1">
      <c r="B59" s="74"/>
      <c r="M59" s="74"/>
      <c r="O59" s="564"/>
      <c r="R59" s="455"/>
      <c r="S59" s="455" t="s">
        <v>144</v>
      </c>
      <c r="T59" s="455" t="s">
        <v>225</v>
      </c>
      <c r="U59" s="455"/>
      <c r="V59" s="455" t="s">
        <v>144</v>
      </c>
      <c r="W59" s="455" t="s">
        <v>225</v>
      </c>
      <c r="X59" s="455"/>
      <c r="Y59" s="626" t="s">
        <v>144</v>
      </c>
      <c r="Z59" s="455" t="s">
        <v>225</v>
      </c>
      <c r="AA59" s="63"/>
      <c r="AB59" s="63"/>
      <c r="AC59" s="63"/>
      <c r="AD59" s="63"/>
      <c r="AE59" s="63"/>
      <c r="AF59" s="455"/>
      <c r="AG59" s="455" t="s">
        <v>224</v>
      </c>
      <c r="AH59"/>
    </row>
    <row r="60" spans="1:45" ht="15" customHeight="1">
      <c r="B60" s="88"/>
      <c r="M60" s="74"/>
      <c r="O60" s="65"/>
      <c r="R60" s="693" t="s">
        <v>242</v>
      </c>
      <c r="S60" s="639">
        <f>スコア!R101</f>
        <v>3</v>
      </c>
      <c r="T60" s="455" t="str">
        <f>IF(S60=0,"N.A.","")</f>
        <v/>
      </c>
      <c r="U60" s="640" t="s">
        <v>243</v>
      </c>
      <c r="V60" s="625">
        <f>スコア!R108</f>
        <v>3</v>
      </c>
      <c r="W60" s="455" t="str">
        <f>IF(V60=0,"N.A.","")</f>
        <v/>
      </c>
      <c r="X60" s="693" t="s">
        <v>751</v>
      </c>
      <c r="Y60" s="625">
        <f>スコア!R128</f>
        <v>2</v>
      </c>
      <c r="Z60" s="455" t="str">
        <f>IF(Y60=0,"N.A.","")</f>
        <v/>
      </c>
      <c r="AA60" s="63"/>
      <c r="AB60" s="63"/>
      <c r="AC60" s="63"/>
      <c r="AD60" s="63"/>
      <c r="AE60" s="63"/>
      <c r="AF60" s="640" t="str">
        <f>スコア!C168</f>
        <v>環境のスマート化</v>
      </c>
      <c r="AG60" s="719">
        <f>スコア!J168</f>
        <v>3</v>
      </c>
      <c r="AH60"/>
    </row>
    <row r="61" spans="1:45" ht="15" customHeight="1">
      <c r="B61" s="88"/>
      <c r="M61" s="74"/>
      <c r="O61" s="65"/>
      <c r="R61" s="693" t="s">
        <v>245</v>
      </c>
      <c r="S61" s="639">
        <f>スコア!R102</f>
        <v>3</v>
      </c>
      <c r="T61" s="455" t="str">
        <f>IF(S61=0,"N.A.","")</f>
        <v/>
      </c>
      <c r="U61" s="640" t="s">
        <v>246</v>
      </c>
      <c r="V61" s="625">
        <f>スコア!R111</f>
        <v>3.1</v>
      </c>
      <c r="W61" s="455" t="str">
        <f>IF(V61=0,"N.A.","")</f>
        <v/>
      </c>
      <c r="X61" s="693" t="s">
        <v>247</v>
      </c>
      <c r="Y61" s="625">
        <f>スコア!R129</f>
        <v>3</v>
      </c>
      <c r="Z61" s="455" t="str">
        <f>IF(Y61=0,"N.A.","")</f>
        <v/>
      </c>
      <c r="AA61" s="63"/>
      <c r="AB61" s="63"/>
      <c r="AC61" s="63"/>
      <c r="AD61" s="63"/>
      <c r="AE61" s="63"/>
      <c r="AF61" s="640" t="str">
        <f>スコア!C170</f>
        <v>社会のスマート化</v>
      </c>
      <c r="AG61" s="719">
        <f>スコア!J170</f>
        <v>3</v>
      </c>
      <c r="AH61"/>
    </row>
    <row r="62" spans="1:45" ht="15" customHeight="1">
      <c r="B62" s="88"/>
      <c r="M62" s="74"/>
      <c r="O62" s="65"/>
      <c r="R62" s="693" t="s">
        <v>248</v>
      </c>
      <c r="S62" s="639">
        <f>スコア!R103</f>
        <v>3</v>
      </c>
      <c r="T62" s="455" t="str">
        <f>IF(S62=0,"N.A.","")</f>
        <v/>
      </c>
      <c r="U62" s="447" t="s">
        <v>249</v>
      </c>
      <c r="V62" s="625">
        <f>スコア!R119</f>
        <v>3</v>
      </c>
      <c r="W62" s="455" t="str">
        <f>IF(V62=0,"N.A.","")</f>
        <v/>
      </c>
      <c r="X62" s="693" t="s">
        <v>250</v>
      </c>
      <c r="Y62" s="625">
        <f>スコア!R136</f>
        <v>2.9</v>
      </c>
      <c r="Z62" s="455" t="str">
        <f>IF(Y62=0,"N.A.","")</f>
        <v/>
      </c>
      <c r="AA62" s="63"/>
      <c r="AB62" s="63"/>
      <c r="AC62" s="63"/>
      <c r="AD62" s="63"/>
      <c r="AE62" s="63"/>
      <c r="AF62" s="640" t="str">
        <f>スコア!L168</f>
        <v>経済のスマート化</v>
      </c>
      <c r="AG62" s="719">
        <f>スコア!R168</f>
        <v>3</v>
      </c>
      <c r="AH62"/>
    </row>
    <row r="63" spans="1:45" ht="15" customHeight="1">
      <c r="B63" s="88"/>
      <c r="M63" s="74"/>
      <c r="O63" s="65"/>
      <c r="R63" s="693" t="s">
        <v>251</v>
      </c>
      <c r="S63" s="639">
        <f>スコア!R104</f>
        <v>3</v>
      </c>
      <c r="T63" s="455" t="str">
        <f>IF(S63=0,"N.A.","")</f>
        <v/>
      </c>
      <c r="U63" s="63"/>
      <c r="V63" s="643"/>
      <c r="W63" s="643"/>
      <c r="X63" s="643"/>
      <c r="Y63" s="643"/>
      <c r="Z63" s="643"/>
      <c r="AA63" s="63"/>
      <c r="AB63" s="63"/>
      <c r="AC63" s="63"/>
      <c r="AD63" s="63"/>
      <c r="AE63" s="63"/>
      <c r="AH63"/>
    </row>
    <row r="64" spans="1:45" ht="15" customHeight="1" thickBot="1">
      <c r="B64" s="89"/>
      <c r="C64" s="90"/>
      <c r="D64" s="91"/>
      <c r="E64" s="90"/>
      <c r="F64" s="92"/>
      <c r="G64" s="92"/>
      <c r="H64" s="92"/>
      <c r="I64" s="92"/>
      <c r="J64" s="94"/>
      <c r="K64" s="94"/>
      <c r="L64" s="94"/>
      <c r="M64" s="649"/>
      <c r="N64" s="95"/>
      <c r="O64" s="96"/>
      <c r="R64"/>
      <c r="S64"/>
      <c r="T64"/>
      <c r="U64"/>
      <c r="V64"/>
      <c r="W64"/>
      <c r="X64"/>
      <c r="Y64"/>
      <c r="Z64"/>
      <c r="AA64"/>
      <c r="AB64"/>
      <c r="AC64"/>
      <c r="AD64"/>
      <c r="AE64"/>
      <c r="AF64"/>
      <c r="AG64"/>
      <c r="AH64"/>
      <c r="AI64"/>
      <c r="AJ64"/>
      <c r="AK64"/>
      <c r="AL64"/>
      <c r="AM64"/>
      <c r="AN64"/>
      <c r="AO64"/>
      <c r="AP64"/>
      <c r="AQ64"/>
      <c r="AR64"/>
      <c r="AS64"/>
    </row>
    <row r="65" spans="2:15" ht="3.6" customHeight="1" thickBot="1">
      <c r="B65" s="641"/>
      <c r="C65" s="85"/>
      <c r="D65" s="642"/>
    </row>
    <row r="66" spans="2:15" customFormat="1" ht="15" customHeight="1">
      <c r="B66" s="98" t="s">
        <v>164</v>
      </c>
      <c r="C66" s="99"/>
      <c r="D66" s="100"/>
      <c r="E66" s="99"/>
      <c r="F66" s="99"/>
      <c r="G66" s="99"/>
      <c r="H66" s="101"/>
      <c r="I66" s="101"/>
      <c r="J66" s="99"/>
      <c r="K66" s="99"/>
      <c r="L66" s="99"/>
      <c r="M66" s="103"/>
      <c r="N66" s="103"/>
      <c r="O66" s="183"/>
    </row>
    <row r="67" spans="2:15" customFormat="1" ht="15" customHeight="1">
      <c r="B67" s="184" t="str">
        <f>配慮!B6</f>
        <v>総合</v>
      </c>
      <c r="C67" s="185"/>
      <c r="D67" s="186"/>
      <c r="E67" s="185"/>
      <c r="F67" s="185"/>
      <c r="G67" s="185"/>
      <c r="H67" s="185"/>
      <c r="I67" s="185"/>
      <c r="J67" s="185"/>
      <c r="K67" s="185"/>
      <c r="L67" s="818" t="str">
        <f>配慮!B13</f>
        <v>その他</v>
      </c>
      <c r="M67" s="189"/>
      <c r="N67" s="189"/>
      <c r="O67" s="190"/>
    </row>
    <row r="68" spans="2:15" customFormat="1" ht="28.2" customHeight="1">
      <c r="B68" s="1754" t="str">
        <f>IF(配慮!C6="","",配慮!C6)</f>
        <v/>
      </c>
      <c r="C68" s="1755"/>
      <c r="D68" s="1755"/>
      <c r="E68" s="1755"/>
      <c r="F68" s="1755"/>
      <c r="G68" s="1755"/>
      <c r="H68" s="1755"/>
      <c r="I68" s="1755"/>
      <c r="J68" s="1755"/>
      <c r="K68" s="1755"/>
      <c r="L68" s="1767" t="str">
        <f>IF(配慮!C13="","",配慮!C13)</f>
        <v/>
      </c>
      <c r="M68" s="1757"/>
      <c r="N68" s="1757"/>
      <c r="O68" s="1758"/>
    </row>
    <row r="69" spans="2:15" customFormat="1" ht="15" customHeight="1">
      <c r="B69" s="191" t="str">
        <f>配慮!B7</f>
        <v>Q-1 環境</v>
      </c>
      <c r="C69" s="189"/>
      <c r="D69" s="189"/>
      <c r="E69" s="189"/>
      <c r="F69" s="189"/>
      <c r="G69" s="192"/>
      <c r="H69" s="276" t="str">
        <f>配慮!B8</f>
        <v>Q-2 社会</v>
      </c>
      <c r="I69" s="278"/>
      <c r="J69" s="193"/>
      <c r="K69" s="193"/>
      <c r="L69" s="277" t="str">
        <f>配慮!B9</f>
        <v>Q-3 経済</v>
      </c>
      <c r="M69" s="195"/>
      <c r="N69" s="196"/>
      <c r="O69" s="197"/>
    </row>
    <row r="70" spans="2:15" customFormat="1" ht="29.4" customHeight="1">
      <c r="B70" s="1765" t="str">
        <f>IF(配慮!C7="","",配慮!C7)</f>
        <v/>
      </c>
      <c r="C70" s="1757"/>
      <c r="D70" s="1757"/>
      <c r="E70" s="1757"/>
      <c r="F70" s="1757"/>
      <c r="G70" s="1766"/>
      <c r="H70" s="1767" t="str">
        <f>IF(配慮!C8="","",配慮!C8)</f>
        <v/>
      </c>
      <c r="I70" s="1757"/>
      <c r="J70" s="1757"/>
      <c r="K70" s="1757"/>
      <c r="L70" s="1767" t="str">
        <f>IF(配慮!C9="","",配慮!C9)</f>
        <v/>
      </c>
      <c r="M70" s="1757"/>
      <c r="N70" s="1757"/>
      <c r="O70" s="1758"/>
    </row>
    <row r="71" spans="2:15" customFormat="1" ht="15" customHeight="1">
      <c r="B71" s="191" t="str">
        <f>配慮!B10</f>
        <v>LR-1 エネルギー</v>
      </c>
      <c r="C71" s="198"/>
      <c r="D71" s="186"/>
      <c r="E71" s="186"/>
      <c r="F71" s="186"/>
      <c r="G71" s="199"/>
      <c r="H71" s="278" t="str">
        <f>配慮!B11</f>
        <v>LR-2 資源</v>
      </c>
      <c r="I71" s="278"/>
      <c r="J71" s="189"/>
      <c r="K71" s="189"/>
      <c r="L71" s="277" t="str">
        <f>配慮!B12</f>
        <v>LR-3 周辺環境</v>
      </c>
      <c r="M71" s="198"/>
      <c r="N71" s="186"/>
      <c r="O71" s="200"/>
    </row>
    <row r="72" spans="2:15" customFormat="1" ht="28.95" customHeight="1" thickBot="1">
      <c r="B72" s="1768" t="str">
        <f>IF(配慮!C10="","",配慮!C10)</f>
        <v/>
      </c>
      <c r="C72" s="1769"/>
      <c r="D72" s="1769"/>
      <c r="E72" s="1769"/>
      <c r="F72" s="1769"/>
      <c r="G72" s="1770"/>
      <c r="H72" s="1771" t="str">
        <f>IF(配慮!C11="","",配慮!C11)</f>
        <v/>
      </c>
      <c r="I72" s="1769"/>
      <c r="J72" s="1769"/>
      <c r="K72" s="1769"/>
      <c r="L72" s="1771" t="str">
        <f>IF(配慮!C12="","",配慮!C12)</f>
        <v/>
      </c>
      <c r="M72" s="1769"/>
      <c r="N72" s="1769"/>
      <c r="O72" s="1772"/>
    </row>
    <row r="73" spans="2:15" customFormat="1" ht="7.2" customHeight="1" thickBot="1"/>
    <row r="74" spans="2:15" customFormat="1" ht="15" customHeight="1">
      <c r="B74" s="98" t="s">
        <v>171</v>
      </c>
      <c r="C74" s="99"/>
      <c r="D74" s="100"/>
      <c r="E74" s="99"/>
      <c r="F74" s="99"/>
      <c r="G74" s="99"/>
      <c r="H74" s="101"/>
      <c r="I74" s="101"/>
      <c r="J74" s="99"/>
      <c r="K74" s="99"/>
      <c r="L74" s="99"/>
      <c r="M74" s="103"/>
      <c r="N74" s="103"/>
      <c r="O74" s="183"/>
    </row>
    <row r="75" spans="2:15" customFormat="1" ht="15" customHeight="1">
      <c r="B75" s="1751" t="s">
        <v>172</v>
      </c>
      <c r="C75" s="1752"/>
      <c r="D75" s="1752"/>
      <c r="E75" s="1752"/>
      <c r="F75" s="1752"/>
      <c r="G75" s="1752"/>
      <c r="H75" s="1752"/>
      <c r="I75" s="1752"/>
      <c r="J75" s="1752"/>
      <c r="K75" s="1752"/>
      <c r="L75" s="1752"/>
      <c r="M75" s="1752"/>
      <c r="N75" s="1752"/>
      <c r="O75" s="1753"/>
    </row>
    <row r="76" spans="2:15" customFormat="1" ht="13.95" customHeight="1">
      <c r="B76" s="1759" t="str">
        <f>IF(メイン!C37="","",メイン!C37)</f>
        <v>○○○</v>
      </c>
      <c r="C76" s="1760"/>
      <c r="D76" s="1760"/>
      <c r="E76" s="1760"/>
      <c r="F76" s="1760"/>
      <c r="G76" s="1760"/>
      <c r="H76" s="1760"/>
      <c r="I76" s="1760"/>
      <c r="J76" s="1760"/>
      <c r="K76" s="1760"/>
      <c r="L76" s="1760"/>
      <c r="M76" s="1760"/>
      <c r="N76" s="1760"/>
      <c r="O76" s="1761"/>
    </row>
    <row r="77" spans="2:15" customFormat="1" ht="13.95" customHeight="1" thickBot="1">
      <c r="B77" s="1762" t="str">
        <f>IF(メイン!C38="","",メイン!C38)</f>
        <v>○○○</v>
      </c>
      <c r="C77" s="1763"/>
      <c r="D77" s="1763"/>
      <c r="E77" s="1763"/>
      <c r="F77" s="1763"/>
      <c r="G77" s="1763"/>
      <c r="H77" s="1763"/>
      <c r="I77" s="1763"/>
      <c r="J77" s="1763"/>
      <c r="K77" s="1763"/>
      <c r="L77" s="1763"/>
      <c r="M77" s="1763"/>
      <c r="N77" s="1763"/>
      <c r="O77" s="1764"/>
    </row>
    <row r="78" spans="2:15" customFormat="1" ht="6" customHeight="1"/>
    <row r="79" spans="2:15" customFormat="1" ht="13.95" customHeight="1">
      <c r="B79" s="307" t="s">
        <v>252</v>
      </c>
    </row>
    <row r="80" spans="2:15" customFormat="1" ht="13.95" customHeight="1">
      <c r="B80" s="307" t="s">
        <v>1225</v>
      </c>
    </row>
  </sheetData>
  <sheetProtection sheet="1" objects="1" scenarios="1"/>
  <mergeCells count="29">
    <mergeCell ref="AF26:AH26"/>
    <mergeCell ref="Q2:Q5"/>
    <mergeCell ref="D11:E11"/>
    <mergeCell ref="L23:O23"/>
    <mergeCell ref="AF24:AH24"/>
    <mergeCell ref="AF25:AH25"/>
    <mergeCell ref="AR47:AS47"/>
    <mergeCell ref="J28:J30"/>
    <mergeCell ref="K28:K30"/>
    <mergeCell ref="H31:K31"/>
    <mergeCell ref="H32:I32"/>
    <mergeCell ref="H33:I33"/>
    <mergeCell ref="H34:I34"/>
    <mergeCell ref="H35:I35"/>
    <mergeCell ref="AR35:AS35"/>
    <mergeCell ref="H36:I36"/>
    <mergeCell ref="H37:I37"/>
    <mergeCell ref="H38:K38"/>
    <mergeCell ref="B77:O77"/>
    <mergeCell ref="B68:K68"/>
    <mergeCell ref="L68:O68"/>
    <mergeCell ref="B70:G70"/>
    <mergeCell ref="H70:K70"/>
    <mergeCell ref="L70:O70"/>
    <mergeCell ref="B72:G72"/>
    <mergeCell ref="H72:K72"/>
    <mergeCell ref="L72:O72"/>
    <mergeCell ref="B75:O75"/>
    <mergeCell ref="B76:O76"/>
  </mergeCells>
  <phoneticPr fontId="3"/>
  <conditionalFormatting sqref="D11 E12 E14 E16 E18">
    <cfRule type="cellIs" dxfId="143" priority="4" stopIfTrue="1" operator="equal">
      <formula>0</formula>
    </cfRule>
  </conditionalFormatting>
  <conditionalFormatting sqref="H28">
    <cfRule type="expression" dxfId="142" priority="5">
      <formula>(AR48="-")</formula>
    </cfRule>
  </conditionalFormatting>
  <conditionalFormatting sqref="H28:H30">
    <cfRule type="expression" dxfId="141" priority="6">
      <formula>(AR48="〇")</formula>
    </cfRule>
  </conditionalFormatting>
  <conditionalFormatting sqref="H29:H30">
    <cfRule type="expression" dxfId="140" priority="7">
      <formula>(AR49="-")</formula>
    </cfRule>
  </conditionalFormatting>
  <conditionalFormatting sqref="I28">
    <cfRule type="expression" dxfId="139" priority="8">
      <formula>(AR51="〇")</formula>
    </cfRule>
    <cfRule type="expression" dxfId="138" priority="9">
      <formula>(AR51="-")</formula>
    </cfRule>
  </conditionalFormatting>
  <conditionalFormatting sqref="I30">
    <cfRule type="expression" dxfId="137" priority="10">
      <formula>(AR52="〇")</formula>
    </cfRule>
    <cfRule type="expression" dxfId="136" priority="11">
      <formula>(AR52="-")</formula>
    </cfRule>
  </conditionalFormatting>
  <conditionalFormatting sqref="J28">
    <cfRule type="expression" dxfId="135" priority="12">
      <formula>AND(AR51="〇",AR52="〇")</formula>
    </cfRule>
    <cfRule type="expression" dxfId="134" priority="13">
      <formula>OR(AR51="-",AR52="-")</formula>
    </cfRule>
  </conditionalFormatting>
  <conditionalFormatting sqref="K28">
    <cfRule type="expression" dxfId="133" priority="14">
      <formula>(AR53="〇")</formula>
    </cfRule>
    <cfRule type="expression" dxfId="132" priority="15">
      <formula>(AR53="-")</formula>
    </cfRule>
  </conditionalFormatting>
  <conditionalFormatting sqref="AN29:AP33 AN38:AP41">
    <cfRule type="expression" dxfId="131" priority="1" stopIfTrue="1">
      <formula>$U$36=$W$37</formula>
    </cfRule>
  </conditionalFormatting>
  <conditionalFormatting sqref="AN34:AP37">
    <cfRule type="expression" dxfId="130" priority="2" stopIfTrue="1">
      <formula>$U$36=$W$37</formula>
    </cfRule>
  </conditionalFormatting>
  <conditionalFormatting sqref="AN42:AP42">
    <cfRule type="expression" dxfId="129" priority="3" stopIfTrue="1">
      <formula>$U$36=$W$37</formula>
    </cfRule>
  </conditionalFormatting>
  <hyperlinks>
    <hyperlink ref="Q2" location="メイン!A1" display="戻る" xr:uid="{7AA1040C-0F4E-4BD5-A0D8-C0CCC0CE567B}"/>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fitToPage="1"/>
  </sheetPr>
  <dimension ref="A1:BN207"/>
  <sheetViews>
    <sheetView showGridLines="0" view="pageBreakPreview" zoomScaleNormal="85" zoomScaleSheetLayoutView="100" workbookViewId="0">
      <selection activeCell="G13" sqref="G13"/>
    </sheetView>
  </sheetViews>
  <sheetFormatPr defaultColWidth="9" defaultRowHeight="13.2"/>
  <cols>
    <col min="1" max="1" width="0.88671875" style="9" customWidth="1"/>
    <col min="2" max="2" width="2.77734375" style="9" customWidth="1"/>
    <col min="3" max="3" width="4.109375" style="306" customWidth="1"/>
    <col min="4" max="4" width="3.44140625" style="6" customWidth="1"/>
    <col min="5" max="5" width="17.33203125" style="9" customWidth="1"/>
    <col min="6" max="8" width="7.77734375" style="9" customWidth="1"/>
    <col min="9" max="15" width="7.77734375" style="1" customWidth="1"/>
    <col min="16" max="16" width="7.77734375" style="54" customWidth="1"/>
    <col min="17" max="17" width="7.77734375" style="55" customWidth="1"/>
    <col min="18" max="18" width="7.77734375" style="7" customWidth="1"/>
    <col min="19" max="19" width="2.6640625" style="679" customWidth="1"/>
    <col min="20" max="23" width="6.21875" style="679" hidden="1" customWidth="1"/>
    <col min="24" max="24" width="6.21875" style="58" hidden="1" customWidth="1"/>
    <col min="25" max="35" width="7.6640625" style="58" hidden="1" customWidth="1"/>
    <col min="36" max="41" width="7.6640625" hidden="1" customWidth="1"/>
    <col min="42" max="47" width="7.6640625" style="58" hidden="1" customWidth="1"/>
    <col min="48" max="52" width="7.6640625" hidden="1" customWidth="1"/>
    <col min="53" max="54" width="9" style="58" customWidth="1"/>
    <col min="55" max="55" width="9" customWidth="1"/>
    <col min="56" max="68" width="9" style="58" customWidth="1"/>
    <col min="69" max="16384" width="9" style="58"/>
  </cols>
  <sheetData>
    <row r="1" spans="2:66" ht="7.2" customHeight="1" thickBot="1">
      <c r="I1"/>
      <c r="J1"/>
      <c r="K1"/>
      <c r="L1"/>
      <c r="M1"/>
      <c r="N1"/>
      <c r="O1"/>
      <c r="P1"/>
      <c r="Q1"/>
      <c r="R1"/>
      <c r="S1"/>
    </row>
    <row r="2" spans="2:66" ht="16.2">
      <c r="B2" s="1048" t="str">
        <f>メイン!C6</f>
        <v>CASBEE-街区 2024年SDGs対応試行版</v>
      </c>
      <c r="C2" s="1049"/>
      <c r="D2" s="1050"/>
      <c r="E2" s="1051"/>
      <c r="F2" s="1051"/>
      <c r="G2" s="1051"/>
      <c r="H2" s="1052"/>
      <c r="I2"/>
      <c r="J2"/>
      <c r="K2"/>
      <c r="L2"/>
      <c r="M2"/>
      <c r="N2" s="1709" t="s">
        <v>2009</v>
      </c>
      <c r="O2" s="1053"/>
      <c r="P2" s="1710" t="str">
        <f>メイン!C6</f>
        <v>CASBEE-街区 2024年SDGs対応試行版</v>
      </c>
      <c r="Q2"/>
      <c r="R2" s="307"/>
      <c r="S2"/>
      <c r="T2" s="711"/>
      <c r="U2" s="711"/>
      <c r="V2" s="711"/>
      <c r="W2" s="711"/>
    </row>
    <row r="3" spans="2:66" ht="13.8" thickBot="1">
      <c r="B3" s="1054" t="str">
        <f>メイン!C10</f>
        <v>Aプロジェクト</v>
      </c>
      <c r="C3" s="1055"/>
      <c r="D3" s="1056"/>
      <c r="E3" s="1057"/>
      <c r="F3" s="1057"/>
      <c r="G3" s="1057"/>
      <c r="H3" s="1058"/>
      <c r="I3"/>
      <c r="J3"/>
      <c r="K3"/>
      <c r="L3"/>
      <c r="M3"/>
      <c r="N3" s="1053" t="s">
        <v>254</v>
      </c>
      <c r="O3" s="1053"/>
      <c r="P3" s="1709" t="str">
        <f>メイン!C5</f>
        <v>CASBEE-UD_2024SDGs試行版v1.0</v>
      </c>
      <c r="Q3"/>
      <c r="R3"/>
      <c r="S3"/>
      <c r="T3" s="712"/>
      <c r="U3" s="712"/>
      <c r="V3" s="712"/>
      <c r="W3" s="712"/>
      <c r="X3" s="695" t="s">
        <v>255</v>
      </c>
      <c r="Y3" s="343"/>
      <c r="Z3" s="343"/>
      <c r="AA3" s="343"/>
      <c r="AB3" s="342"/>
      <c r="AD3" s="695" t="s">
        <v>256</v>
      </c>
      <c r="AE3" s="343"/>
      <c r="AF3" s="343"/>
      <c r="AG3" s="343"/>
      <c r="AH3" s="342"/>
      <c r="AJ3" s="695" t="s">
        <v>257</v>
      </c>
      <c r="AK3" s="343"/>
      <c r="AL3" s="343"/>
      <c r="AM3" s="343"/>
      <c r="AN3" s="342"/>
      <c r="AP3" s="695" t="s">
        <v>258</v>
      </c>
      <c r="AQ3" s="343"/>
      <c r="AR3" s="343"/>
      <c r="AS3" s="343"/>
      <c r="AT3" s="342"/>
      <c r="AV3" s="695" t="s">
        <v>259</v>
      </c>
      <c r="AW3" s="343"/>
      <c r="AX3" s="343"/>
      <c r="AY3" s="343"/>
      <c r="AZ3" s="342"/>
    </row>
    <row r="4" spans="2:66" ht="5.4" customHeight="1" thickBot="1">
      <c r="B4" s="1059"/>
      <c r="C4" s="1060"/>
      <c r="D4" s="1061"/>
      <c r="E4" s="1062"/>
      <c r="F4" s="1062"/>
      <c r="G4" s="1062"/>
      <c r="H4" s="1062"/>
      <c r="I4"/>
      <c r="J4"/>
      <c r="K4"/>
      <c r="L4"/>
      <c r="M4"/>
      <c r="N4"/>
      <c r="O4"/>
      <c r="P4"/>
      <c r="Q4"/>
      <c r="R4"/>
      <c r="S4"/>
      <c r="T4" s="712"/>
      <c r="U4" s="712"/>
      <c r="V4" s="712"/>
      <c r="W4" s="712"/>
    </row>
    <row r="5" spans="2:66" ht="15" thickBot="1">
      <c r="B5" s="1063" t="s">
        <v>260</v>
      </c>
      <c r="C5" s="1064"/>
      <c r="D5" s="1065"/>
      <c r="E5" s="1066"/>
      <c r="F5" s="1066"/>
      <c r="G5" s="1066"/>
      <c r="H5" s="1066"/>
      <c r="I5" s="1067"/>
      <c r="J5" s="1068"/>
      <c r="K5" s="1068"/>
      <c r="L5" s="1068"/>
      <c r="M5" s="1068"/>
      <c r="N5" s="1068"/>
      <c r="O5" s="1069"/>
      <c r="P5" s="1070"/>
      <c r="Q5" s="1070"/>
      <c r="R5" s="1071"/>
      <c r="S5" s="1072"/>
      <c r="T5" s="712"/>
      <c r="U5" s="712"/>
      <c r="V5" s="712"/>
      <c r="W5" s="712"/>
      <c r="X5" s="340" t="s">
        <v>261</v>
      </c>
      <c r="Y5" s="340" t="s">
        <v>262</v>
      </c>
      <c r="Z5" s="340" t="s">
        <v>263</v>
      </c>
      <c r="AA5" s="340" t="s">
        <v>264</v>
      </c>
      <c r="AB5" s="340" t="s">
        <v>265</v>
      </c>
      <c r="AD5" s="340" t="s">
        <v>261</v>
      </c>
      <c r="AE5" s="340" t="s">
        <v>262</v>
      </c>
      <c r="AF5" s="340" t="s">
        <v>263</v>
      </c>
      <c r="AG5" s="340" t="s">
        <v>264</v>
      </c>
      <c r="AH5" s="340" t="s">
        <v>265</v>
      </c>
      <c r="AJ5" s="340" t="s">
        <v>261</v>
      </c>
      <c r="AK5" s="340" t="s">
        <v>262</v>
      </c>
      <c r="AL5" s="340" t="s">
        <v>263</v>
      </c>
      <c r="AM5" s="340" t="s">
        <v>264</v>
      </c>
      <c r="AN5" s="340" t="s">
        <v>265</v>
      </c>
      <c r="AP5" s="340" t="s">
        <v>261</v>
      </c>
      <c r="AQ5" s="340" t="s">
        <v>262</v>
      </c>
      <c r="AR5" s="340" t="s">
        <v>263</v>
      </c>
      <c r="AS5" s="340" t="s">
        <v>264</v>
      </c>
      <c r="AT5" s="340" t="s">
        <v>265</v>
      </c>
      <c r="AV5" s="340" t="s">
        <v>261</v>
      </c>
      <c r="AW5" s="340" t="s">
        <v>262</v>
      </c>
      <c r="AX5" s="340" t="s">
        <v>263</v>
      </c>
      <c r="AY5" s="340" t="s">
        <v>264</v>
      </c>
      <c r="AZ5" s="340" t="s">
        <v>265</v>
      </c>
    </row>
    <row r="6" spans="2:66" ht="22.2" thickBot="1">
      <c r="B6" s="1073" t="s">
        <v>266</v>
      </c>
      <c r="C6" s="1074"/>
      <c r="D6" s="1075"/>
      <c r="E6" s="1076"/>
      <c r="F6" s="1076"/>
      <c r="G6" s="1076"/>
      <c r="H6" s="1076"/>
      <c r="I6" s="1820" t="s">
        <v>267</v>
      </c>
      <c r="J6" s="1821"/>
      <c r="K6" s="1821"/>
      <c r="L6" s="1821"/>
      <c r="M6" s="1821"/>
      <c r="N6" s="1821"/>
      <c r="O6" s="1822"/>
      <c r="P6" s="1077" t="s">
        <v>268</v>
      </c>
      <c r="Q6" s="1078" t="s">
        <v>269</v>
      </c>
      <c r="R6" s="1079" t="s">
        <v>270</v>
      </c>
      <c r="S6" s="1072"/>
      <c r="T6" s="714" t="s">
        <v>271</v>
      </c>
      <c r="U6" s="714" t="s">
        <v>258</v>
      </c>
      <c r="V6" s="714" t="s">
        <v>185</v>
      </c>
      <c r="W6" s="712"/>
      <c r="AC6"/>
      <c r="AI6"/>
      <c r="AJ6" s="58"/>
      <c r="AK6" s="58"/>
      <c r="AL6" s="58"/>
      <c r="AM6" s="58"/>
      <c r="AN6" s="58"/>
      <c r="AV6" s="58"/>
      <c r="AW6" s="58"/>
      <c r="AX6" s="58"/>
      <c r="AY6" s="58"/>
      <c r="AZ6" s="58"/>
    </row>
    <row r="7" spans="2:66" ht="18" customHeight="1" thickBot="1">
      <c r="B7" s="1080" t="s">
        <v>1087</v>
      </c>
      <c r="C7" s="1081"/>
      <c r="D7" s="1082"/>
      <c r="E7" s="1083"/>
      <c r="F7" s="1083"/>
      <c r="G7" s="1083"/>
      <c r="H7" s="1083"/>
      <c r="I7" s="1084"/>
      <c r="J7" s="1085"/>
      <c r="K7" s="1085"/>
      <c r="L7" s="1085"/>
      <c r="M7" s="1085"/>
      <c r="N7" s="1085"/>
      <c r="O7" s="1086"/>
      <c r="P7" s="1014"/>
      <c r="Q7" s="1015"/>
      <c r="R7" s="1016">
        <f>ROUNDDOWN($V7,1)</f>
        <v>3</v>
      </c>
      <c r="S7" s="1072"/>
      <c r="T7" s="696"/>
      <c r="U7" s="696">
        <f>AP7</f>
        <v>3.0476190476190474</v>
      </c>
      <c r="V7" s="696">
        <f>T7+U7</f>
        <v>3.0476190476190474</v>
      </c>
      <c r="W7" s="712"/>
      <c r="X7" s="340"/>
      <c r="Y7" s="340"/>
      <c r="Z7" s="340"/>
      <c r="AA7" s="340"/>
      <c r="AB7" s="340"/>
      <c r="AC7"/>
      <c r="AD7" s="697">
        <f>SUM(AD8:AD98)</f>
        <v>3</v>
      </c>
      <c r="AE7" s="340"/>
      <c r="AF7" s="340"/>
      <c r="AG7" s="340"/>
      <c r="AH7" s="340">
        <f t="shared" ref="AH7" si="0">IF($T7=0,0,1)*AB7</f>
        <v>0</v>
      </c>
      <c r="AI7"/>
      <c r="AJ7" s="697"/>
      <c r="AK7" s="340"/>
      <c r="AL7" s="340"/>
      <c r="AM7" s="340"/>
      <c r="AN7" s="340"/>
      <c r="AP7" s="701">
        <f>SUM(AP8:AP98)</f>
        <v>3.0476190476190474</v>
      </c>
      <c r="AQ7" s="703">
        <f>($T7+AR7)*AK7</f>
        <v>0</v>
      </c>
      <c r="AR7" s="703">
        <f>($T7+AS7)*AL7</f>
        <v>0</v>
      </c>
      <c r="AS7" s="703">
        <f>($T7+AT7)*AM7</f>
        <v>0</v>
      </c>
      <c r="AT7" s="702">
        <f t="shared" ref="AT7:AT14" si="1">T7*AN7</f>
        <v>0</v>
      </c>
      <c r="AV7" s="697">
        <f>SUM(AV8:AV98)</f>
        <v>1</v>
      </c>
      <c r="AW7" s="340"/>
      <c r="AX7" s="340"/>
      <c r="AY7" s="340"/>
      <c r="AZ7" s="340"/>
    </row>
    <row r="8" spans="2:66" ht="13.2" customHeight="1" thickBot="1">
      <c r="B8" s="1087" t="str">
        <f>採点Q1!B9</f>
        <v>Q-1 環境</v>
      </c>
      <c r="C8" s="1088"/>
      <c r="D8" s="1088"/>
      <c r="E8" s="1088"/>
      <c r="F8" s="1088"/>
      <c r="G8" s="1088"/>
      <c r="H8" s="1089"/>
      <c r="I8" s="1090"/>
      <c r="J8" s="1091"/>
      <c r="K8" s="1091"/>
      <c r="L8" s="1091"/>
      <c r="M8" s="1091"/>
      <c r="N8" s="1091"/>
      <c r="O8" s="1092"/>
      <c r="P8" s="1017"/>
      <c r="Q8" s="1018">
        <f>SUM(AJ8:AN8)</f>
        <v>0.33333333333333331</v>
      </c>
      <c r="R8" s="1019">
        <f>ROUNDDOWN($V8,1)</f>
        <v>3</v>
      </c>
      <c r="S8" s="1093"/>
      <c r="T8" s="696"/>
      <c r="U8" s="696">
        <f>AQ8</f>
        <v>3</v>
      </c>
      <c r="V8" s="696">
        <f t="shared" ref="V8:V71" si="2">T8+U8</f>
        <v>3</v>
      </c>
      <c r="W8" s="712"/>
      <c r="X8" s="1817">
        <v>1</v>
      </c>
      <c r="Y8" s="696"/>
      <c r="Z8" s="696"/>
      <c r="AA8" s="696"/>
      <c r="AB8" s="696"/>
      <c r="AC8"/>
      <c r="AD8" s="698">
        <f>IF(AE8=0,0,X8)</f>
        <v>1</v>
      </c>
      <c r="AE8" s="697">
        <f>SUM(AE9:AE40)</f>
        <v>3</v>
      </c>
      <c r="AF8" s="696"/>
      <c r="AG8" s="696"/>
      <c r="AH8" s="696">
        <f t="shared" ref="AH8:AH67" si="3">IF($T8=0,0,1)*AB8</f>
        <v>0</v>
      </c>
      <c r="AI8"/>
      <c r="AJ8" s="698">
        <f>AD8/AD7</f>
        <v>0.33333333333333331</v>
      </c>
      <c r="AK8" s="697"/>
      <c r="AL8" s="696"/>
      <c r="AM8" s="696"/>
      <c r="AN8" s="696"/>
      <c r="AP8" s="703">
        <f>($T8+AQ8)*AJ8</f>
        <v>1</v>
      </c>
      <c r="AQ8" s="701">
        <f>SUM(AQ9:AQ40)</f>
        <v>3</v>
      </c>
      <c r="AR8" s="703">
        <f>($T8+AS8)*AL8</f>
        <v>0</v>
      </c>
      <c r="AS8" s="703">
        <f>($T8+AT8)*AM8</f>
        <v>0</v>
      </c>
      <c r="AT8" s="702">
        <f t="shared" si="1"/>
        <v>0</v>
      </c>
      <c r="AV8" s="698">
        <f>AJ8</f>
        <v>0.33333333333333331</v>
      </c>
      <c r="AW8" s="697">
        <f>SUM(AW9:AW40)</f>
        <v>0.99999999999999989</v>
      </c>
      <c r="AX8" s="696"/>
      <c r="AY8" s="696"/>
      <c r="AZ8" s="696"/>
    </row>
    <row r="9" spans="2:66" ht="13.2" customHeight="1">
      <c r="B9" s="1094" t="str">
        <f>採点Q1!B12</f>
        <v>1.1 自然環境</v>
      </c>
      <c r="C9" s="1095"/>
      <c r="D9" s="1096"/>
      <c r="E9" s="1096"/>
      <c r="F9" s="1096"/>
      <c r="G9" s="1096"/>
      <c r="H9" s="1096"/>
      <c r="I9" s="1097"/>
      <c r="J9" s="1098"/>
      <c r="K9" s="1098"/>
      <c r="L9" s="1098"/>
      <c r="M9" s="1098"/>
      <c r="N9" s="1098"/>
      <c r="O9" s="1099"/>
      <c r="P9" s="1020"/>
      <c r="Q9" s="1021">
        <f t="shared" ref="Q9:Q72" si="4">SUM(AJ9:AN9)</f>
        <v>0.33333333333333331</v>
      </c>
      <c r="R9" s="1022">
        <f>ROUNDDOWN($V9,1)</f>
        <v>3</v>
      </c>
      <c r="S9" s="1072"/>
      <c r="T9" s="696"/>
      <c r="U9" s="696">
        <f>AR9</f>
        <v>3</v>
      </c>
      <c r="V9" s="696">
        <f t="shared" si="2"/>
        <v>3</v>
      </c>
      <c r="W9" s="712"/>
      <c r="X9" s="1818"/>
      <c r="Y9" s="1817">
        <v>1</v>
      </c>
      <c r="Z9" s="696"/>
      <c r="AA9" s="696"/>
      <c r="AB9" s="696"/>
      <c r="AC9"/>
      <c r="AD9" s="699"/>
      <c r="AE9" s="698">
        <f>IF(AF9=0,0,Y9)</f>
        <v>1</v>
      </c>
      <c r="AF9" s="697">
        <f>SUM(AF10:AF24)</f>
        <v>2</v>
      </c>
      <c r="AG9" s="696"/>
      <c r="AH9" s="696">
        <f t="shared" si="3"/>
        <v>0</v>
      </c>
      <c r="AI9"/>
      <c r="AJ9" s="699"/>
      <c r="AK9" s="698">
        <f>AE9/AE8</f>
        <v>0.33333333333333331</v>
      </c>
      <c r="AL9" s="697"/>
      <c r="AM9" s="696"/>
      <c r="AN9" s="696"/>
      <c r="AP9" s="704"/>
      <c r="AQ9" s="703">
        <f>($T9+AR9)*AK9</f>
        <v>1</v>
      </c>
      <c r="AR9" s="701">
        <f>SUM(AR10:AR24)</f>
        <v>3</v>
      </c>
      <c r="AS9" s="703">
        <f>($T9+AT9)*AM9</f>
        <v>0</v>
      </c>
      <c r="AT9" s="702">
        <f t="shared" si="1"/>
        <v>0</v>
      </c>
      <c r="AV9" s="699"/>
      <c r="AW9" s="698">
        <f>AK9</f>
        <v>0.33333333333333331</v>
      </c>
      <c r="AX9" s="697">
        <f>SUM(AX10:AX24)</f>
        <v>1</v>
      </c>
      <c r="AY9" s="696"/>
      <c r="AZ9" s="696"/>
      <c r="BN9" s="58" t="str">
        <f>B9&amp;C9&amp;D9&amp;E9</f>
        <v>1.1 自然環境</v>
      </c>
    </row>
    <row r="10" spans="2:66" ht="13.2" customHeight="1">
      <c r="B10" s="1100"/>
      <c r="C10" s="1101" t="str">
        <f>採点Q1!C13</f>
        <v>1.1.1 自然環境の保全</v>
      </c>
      <c r="D10" s="1102"/>
      <c r="E10" s="1103"/>
      <c r="F10" s="1103"/>
      <c r="G10" s="1103"/>
      <c r="H10" s="1103"/>
      <c r="I10" s="1104"/>
      <c r="J10" s="1105"/>
      <c r="K10" s="1105"/>
      <c r="L10" s="1105"/>
      <c r="M10" s="1105"/>
      <c r="N10" s="1105"/>
      <c r="O10" s="1106"/>
      <c r="P10" s="1023">
        <f t="shared" ref="P10:P24" si="5">ROUNDDOWN($V10,1)</f>
        <v>3</v>
      </c>
      <c r="Q10" s="1024">
        <f t="shared" si="4"/>
        <v>0.5</v>
      </c>
      <c r="R10" s="1025"/>
      <c r="S10" s="1072"/>
      <c r="T10" s="696"/>
      <c r="U10" s="696">
        <f>AS10</f>
        <v>3</v>
      </c>
      <c r="V10" s="696">
        <f>T10+U10</f>
        <v>3</v>
      </c>
      <c r="W10" s="712"/>
      <c r="X10" s="1818"/>
      <c r="Y10" s="1818"/>
      <c r="Z10" s="1817">
        <v>1</v>
      </c>
      <c r="AA10" s="696"/>
      <c r="AB10" s="696"/>
      <c r="AC10"/>
      <c r="AD10" s="699"/>
      <c r="AE10" s="699"/>
      <c r="AF10" s="698">
        <f>IF(AG10=0,0,Z10)</f>
        <v>1</v>
      </c>
      <c r="AG10" s="697">
        <f>SUM(AG12:AG14)</f>
        <v>2</v>
      </c>
      <c r="AH10" s="696"/>
      <c r="AI10"/>
      <c r="AJ10" s="699"/>
      <c r="AK10" s="699"/>
      <c r="AL10" s="698">
        <f>AF10/AF9</f>
        <v>0.5</v>
      </c>
      <c r="AM10" s="697"/>
      <c r="AN10" s="696"/>
      <c r="AP10" s="704"/>
      <c r="AQ10" s="704"/>
      <c r="AR10" s="703">
        <f>($T10+AS10)*AL10</f>
        <v>1.5</v>
      </c>
      <c r="AS10" s="697">
        <f>SUM(AS12:AS14)</f>
        <v>3</v>
      </c>
      <c r="AT10" s="702">
        <f t="shared" si="1"/>
        <v>0</v>
      </c>
      <c r="AV10" s="699"/>
      <c r="AW10" s="699"/>
      <c r="AX10" s="698">
        <f>AL10</f>
        <v>0.5</v>
      </c>
      <c r="AY10" s="697">
        <f>SUM(AY12:AY14)</f>
        <v>1</v>
      </c>
      <c r="AZ10" s="696"/>
      <c r="BN10" s="58" t="str">
        <f t="shared" ref="BN10:BN73" si="6">B10&amp;C10&amp;D10&amp;E10</f>
        <v>1.1.1 自然環境の保全</v>
      </c>
    </row>
    <row r="11" spans="2:66" ht="13.2" hidden="1" customHeight="1">
      <c r="B11" s="1100"/>
      <c r="C11" s="1107"/>
      <c r="D11" s="1108"/>
      <c r="E11" s="1103"/>
      <c r="F11" s="1103"/>
      <c r="G11" s="1103"/>
      <c r="H11" s="1103"/>
      <c r="I11" s="1104"/>
      <c r="J11" s="1105"/>
      <c r="K11" s="1105"/>
      <c r="L11" s="1105"/>
      <c r="M11" s="1105"/>
      <c r="N11" s="1105"/>
      <c r="O11" s="1106"/>
      <c r="P11" s="1023"/>
      <c r="Q11" s="1024"/>
      <c r="R11" s="1025"/>
      <c r="S11" s="1072"/>
      <c r="T11" s="696"/>
      <c r="U11" s="696"/>
      <c r="V11" s="696"/>
      <c r="W11" s="712"/>
      <c r="X11" s="1818"/>
      <c r="Y11" s="1818"/>
      <c r="Z11" s="1818"/>
      <c r="AA11" s="696"/>
      <c r="AB11" s="696"/>
      <c r="AC11"/>
      <c r="AD11" s="699"/>
      <c r="AE11" s="699"/>
      <c r="AF11" s="699"/>
      <c r="AG11" s="697"/>
      <c r="AH11" s="696"/>
      <c r="AI11"/>
      <c r="AJ11" s="699"/>
      <c r="AK11" s="699"/>
      <c r="AL11" s="699"/>
      <c r="AM11" s="697"/>
      <c r="AN11" s="696"/>
      <c r="AP11" s="704"/>
      <c r="AQ11" s="704"/>
      <c r="AR11" s="704"/>
      <c r="AS11" s="697"/>
      <c r="AT11" s="702"/>
      <c r="AV11" s="699"/>
      <c r="AW11" s="699"/>
      <c r="AX11" s="699"/>
      <c r="AY11" s="697"/>
      <c r="AZ11" s="696"/>
      <c r="BN11" s="58" t="str">
        <f t="shared" si="6"/>
        <v/>
      </c>
    </row>
    <row r="12" spans="2:66" ht="13.2" customHeight="1">
      <c r="B12" s="1100"/>
      <c r="C12" s="1109"/>
      <c r="D12" s="1110" t="str">
        <f>採点Q1!D14</f>
        <v>1.1.1.1 動植物の保全</v>
      </c>
      <c r="E12" s="1111"/>
      <c r="F12" s="1111"/>
      <c r="G12" s="1112"/>
      <c r="H12" s="1111"/>
      <c r="I12" s="1113">
        <f>採点Q1!E21</f>
        <v>0</v>
      </c>
      <c r="J12" s="1105"/>
      <c r="K12" s="1105"/>
      <c r="L12" s="1105"/>
      <c r="M12" s="1105"/>
      <c r="N12" s="1105"/>
      <c r="O12" s="1106"/>
      <c r="P12" s="1023">
        <f t="shared" si="5"/>
        <v>0</v>
      </c>
      <c r="Q12" s="1024">
        <f>SUM(AJ12:AM12)</f>
        <v>0</v>
      </c>
      <c r="R12" s="1025"/>
      <c r="S12" s="1072"/>
      <c r="T12" s="696">
        <f>採点Q1!D15</f>
        <v>0</v>
      </c>
      <c r="U12" s="696"/>
      <c r="V12" s="696">
        <f t="shared" si="2"/>
        <v>0</v>
      </c>
      <c r="W12" s="712"/>
      <c r="X12" s="1818"/>
      <c r="Y12" s="1818"/>
      <c r="Z12" s="1818"/>
      <c r="AA12" s="696">
        <v>1</v>
      </c>
      <c r="AB12" s="696"/>
      <c r="AC12"/>
      <c r="AD12" s="699"/>
      <c r="AE12" s="699"/>
      <c r="AF12" s="699"/>
      <c r="AG12" s="696">
        <f>IF($T12=0,0,1)*AA12</f>
        <v>0</v>
      </c>
      <c r="AH12" s="696">
        <f t="shared" si="3"/>
        <v>0</v>
      </c>
      <c r="AI12"/>
      <c r="AJ12" s="699"/>
      <c r="AK12" s="699"/>
      <c r="AL12" s="699"/>
      <c r="AM12" s="696">
        <f>AG12/AG10</f>
        <v>0</v>
      </c>
      <c r="AN12" s="696"/>
      <c r="AP12" s="704"/>
      <c r="AQ12" s="704"/>
      <c r="AR12" s="704"/>
      <c r="AS12" s="702">
        <f>T12*AM12</f>
        <v>0</v>
      </c>
      <c r="AT12" s="702">
        <f t="shared" si="1"/>
        <v>0</v>
      </c>
      <c r="AV12" s="699"/>
      <c r="AW12" s="699"/>
      <c r="AX12" s="699"/>
      <c r="AY12" s="696">
        <f>AM12</f>
        <v>0</v>
      </c>
      <c r="AZ12" s="696"/>
      <c r="BN12" s="58" t="str">
        <f t="shared" si="6"/>
        <v>1.1.1.1 動植物の保全</v>
      </c>
    </row>
    <row r="13" spans="2:66" ht="13.2" customHeight="1">
      <c r="B13" s="1100"/>
      <c r="C13" s="1109"/>
      <c r="D13" s="1110" t="str">
        <f>採点Q1!D23</f>
        <v>1.1.1.2 地形の保全</v>
      </c>
      <c r="E13" s="1111"/>
      <c r="F13" s="1111"/>
      <c r="G13" s="1112"/>
      <c r="H13" s="1112"/>
      <c r="I13" s="1113">
        <f>採点Q1!E30</f>
        <v>0</v>
      </c>
      <c r="J13" s="1105"/>
      <c r="K13" s="1105"/>
      <c r="L13" s="1105"/>
      <c r="M13" s="1105"/>
      <c r="N13" s="1105"/>
      <c r="O13" s="1106"/>
      <c r="P13" s="1023">
        <f t="shared" si="5"/>
        <v>3</v>
      </c>
      <c r="Q13" s="1024">
        <f>SUM(AJ13:AM13)</f>
        <v>0.5</v>
      </c>
      <c r="R13" s="1025"/>
      <c r="S13" s="1072"/>
      <c r="T13" s="696">
        <f>採点Q1!D24</f>
        <v>3</v>
      </c>
      <c r="U13" s="696"/>
      <c r="V13" s="696">
        <f t="shared" si="2"/>
        <v>3</v>
      </c>
      <c r="W13" s="712"/>
      <c r="X13" s="1818"/>
      <c r="Y13" s="1818"/>
      <c r="Z13" s="1818"/>
      <c r="AA13" s="696">
        <v>1</v>
      </c>
      <c r="AB13" s="696"/>
      <c r="AC13"/>
      <c r="AD13" s="699"/>
      <c r="AE13" s="699"/>
      <c r="AF13" s="699"/>
      <c r="AG13" s="696">
        <f>IF($T13=0,0,1)*AA13</f>
        <v>1</v>
      </c>
      <c r="AH13" s="696">
        <f>IF($T13=0,0,1)*AB13</f>
        <v>0</v>
      </c>
      <c r="AI13"/>
      <c r="AJ13" s="699"/>
      <c r="AK13" s="699"/>
      <c r="AL13" s="699"/>
      <c r="AM13" s="696">
        <f>AG13/AG10</f>
        <v>0.5</v>
      </c>
      <c r="AN13" s="696"/>
      <c r="AP13" s="704"/>
      <c r="AQ13" s="704"/>
      <c r="AR13" s="704"/>
      <c r="AS13" s="702">
        <f>T13*AM13</f>
        <v>1.5</v>
      </c>
      <c r="AT13" s="702">
        <f t="shared" si="1"/>
        <v>0</v>
      </c>
      <c r="AV13" s="699"/>
      <c r="AW13" s="699"/>
      <c r="AX13" s="699"/>
      <c r="AY13" s="696">
        <f>AM13</f>
        <v>0.5</v>
      </c>
      <c r="AZ13" s="696"/>
      <c r="BN13" s="58" t="str">
        <f t="shared" si="6"/>
        <v>1.1.1.2 地形の保全</v>
      </c>
    </row>
    <row r="14" spans="2:66" ht="13.2" customHeight="1">
      <c r="B14" s="1100"/>
      <c r="C14" s="1109"/>
      <c r="D14" s="1110" t="str">
        <f>採点Q1!D32</f>
        <v>1.1.1.3 土壌の保全</v>
      </c>
      <c r="E14" s="1111"/>
      <c r="F14" s="1111"/>
      <c r="G14" s="1112"/>
      <c r="H14" s="1112"/>
      <c r="I14" s="1113">
        <f>採点Q1!E39</f>
        <v>0</v>
      </c>
      <c r="J14" s="1105"/>
      <c r="K14" s="1105"/>
      <c r="L14" s="1105"/>
      <c r="M14" s="1105"/>
      <c r="N14" s="1105"/>
      <c r="O14" s="1106"/>
      <c r="P14" s="1023">
        <f t="shared" si="5"/>
        <v>3</v>
      </c>
      <c r="Q14" s="1024">
        <f>SUM(AJ14:AM14)</f>
        <v>0.5</v>
      </c>
      <c r="R14" s="1025"/>
      <c r="S14" s="1072"/>
      <c r="T14" s="696">
        <f>採点Q1!D33</f>
        <v>3</v>
      </c>
      <c r="U14" s="696"/>
      <c r="V14" s="696">
        <f t="shared" si="2"/>
        <v>3</v>
      </c>
      <c r="W14" s="712"/>
      <c r="X14" s="1818"/>
      <c r="Y14" s="1818"/>
      <c r="Z14" s="1819"/>
      <c r="AA14" s="696">
        <v>1</v>
      </c>
      <c r="AB14" s="696"/>
      <c r="AC14"/>
      <c r="AD14" s="699"/>
      <c r="AE14" s="699"/>
      <c r="AF14" s="700"/>
      <c r="AG14" s="696">
        <f>IF($T14=0,0,1)*AA14</f>
        <v>1</v>
      </c>
      <c r="AH14" s="696">
        <f t="shared" si="3"/>
        <v>0</v>
      </c>
      <c r="AI14"/>
      <c r="AJ14" s="699"/>
      <c r="AK14" s="699"/>
      <c r="AL14" s="700"/>
      <c r="AM14" s="696">
        <f>AG14/AG10</f>
        <v>0.5</v>
      </c>
      <c r="AN14" s="696"/>
      <c r="AP14" s="704"/>
      <c r="AQ14" s="704"/>
      <c r="AR14" s="705"/>
      <c r="AS14" s="702">
        <f>T14*AM14</f>
        <v>1.5</v>
      </c>
      <c r="AT14" s="702">
        <f t="shared" si="1"/>
        <v>0</v>
      </c>
      <c r="AV14" s="699"/>
      <c r="AW14" s="699"/>
      <c r="AX14" s="700"/>
      <c r="AY14" s="696">
        <f>AM14</f>
        <v>0.5</v>
      </c>
      <c r="AZ14" s="696"/>
      <c r="BN14" s="58" t="str">
        <f t="shared" si="6"/>
        <v>1.1.1.3 土壌の保全</v>
      </c>
    </row>
    <row r="15" spans="2:66" ht="13.2" customHeight="1">
      <c r="B15" s="1114"/>
      <c r="C15" s="1101" t="str">
        <f>採点Q1!C41</f>
        <v>1.1.2 生物の生息空間の確保</v>
      </c>
      <c r="D15" s="1102"/>
      <c r="E15" s="1103"/>
      <c r="F15" s="1103"/>
      <c r="G15" s="1103"/>
      <c r="H15" s="1103"/>
      <c r="I15" s="1104"/>
      <c r="J15" s="1105"/>
      <c r="K15" s="1105"/>
      <c r="L15" s="1105"/>
      <c r="M15" s="1105"/>
      <c r="N15" s="1105"/>
      <c r="O15" s="1106"/>
      <c r="P15" s="1023">
        <f t="shared" si="5"/>
        <v>3</v>
      </c>
      <c r="Q15" s="1024">
        <f t="shared" si="4"/>
        <v>0.5</v>
      </c>
      <c r="R15" s="1025"/>
      <c r="S15" s="1072"/>
      <c r="T15" s="696"/>
      <c r="U15" s="696">
        <f>AS15</f>
        <v>3</v>
      </c>
      <c r="V15" s="696">
        <f t="shared" si="2"/>
        <v>3</v>
      </c>
      <c r="W15" s="712"/>
      <c r="X15" s="1818"/>
      <c r="Y15" s="1818"/>
      <c r="Z15" s="1817">
        <v>1</v>
      </c>
      <c r="AA15" s="696"/>
      <c r="AB15" s="696"/>
      <c r="AC15"/>
      <c r="AD15" s="699"/>
      <c r="AE15" s="699"/>
      <c r="AF15" s="698">
        <f>IF(AG15=0,0,Z15)</f>
        <v>1</v>
      </c>
      <c r="AG15" s="697">
        <f>SUM(AG16:AG24)</f>
        <v>4</v>
      </c>
      <c r="AH15" s="696"/>
      <c r="AI15"/>
      <c r="AJ15" s="699"/>
      <c r="AK15" s="699"/>
      <c r="AL15" s="698">
        <f>AF15/AF9</f>
        <v>0.5</v>
      </c>
      <c r="AM15" s="697"/>
      <c r="AN15" s="696"/>
      <c r="AP15" s="704"/>
      <c r="AQ15" s="704"/>
      <c r="AR15" s="703">
        <f>($T15+AS15)*AL15</f>
        <v>1.5</v>
      </c>
      <c r="AS15" s="701">
        <f>SUM(AS16:AS24)</f>
        <v>3</v>
      </c>
      <c r="AT15" s="702">
        <f>T15*AN15</f>
        <v>0</v>
      </c>
      <c r="AV15" s="699"/>
      <c r="AW15" s="699"/>
      <c r="AX15" s="698">
        <f>AL15</f>
        <v>0.5</v>
      </c>
      <c r="AY15" s="697">
        <f>SUM(AY16:AY24)</f>
        <v>1</v>
      </c>
      <c r="AZ15" s="696"/>
      <c r="BN15" s="58" t="str">
        <f t="shared" si="6"/>
        <v>1.1.2 生物の生息空間の確保</v>
      </c>
    </row>
    <row r="16" spans="2:66" ht="13.2" customHeight="1">
      <c r="B16" s="1100"/>
      <c r="C16" s="1109"/>
      <c r="D16" s="1110" t="str">
        <f>採点Q1!D42</f>
        <v>1.1.2.1 生物の生息空間のまとまり</v>
      </c>
      <c r="E16" s="1111"/>
      <c r="F16" s="1111"/>
      <c r="G16" s="1111"/>
      <c r="H16" s="1111"/>
      <c r="I16" s="1113">
        <f>採点Q1!E49</f>
        <v>0</v>
      </c>
      <c r="J16" s="1105"/>
      <c r="K16" s="1105"/>
      <c r="L16" s="1105"/>
      <c r="M16" s="1105"/>
      <c r="N16" s="1105"/>
      <c r="O16" s="1106"/>
      <c r="P16" s="1023">
        <f t="shared" si="5"/>
        <v>3</v>
      </c>
      <c r="Q16" s="1024">
        <f t="shared" si="4"/>
        <v>0.25</v>
      </c>
      <c r="R16" s="1025"/>
      <c r="S16" s="1072"/>
      <c r="T16" s="696">
        <f>採点Q1!D43</f>
        <v>3</v>
      </c>
      <c r="U16" s="696"/>
      <c r="V16" s="696">
        <f t="shared" si="2"/>
        <v>3</v>
      </c>
      <c r="W16" s="712"/>
      <c r="X16" s="1818"/>
      <c r="Y16" s="1818"/>
      <c r="Z16" s="1818"/>
      <c r="AA16" s="696">
        <v>1</v>
      </c>
      <c r="AB16" s="696"/>
      <c r="AC16"/>
      <c r="AD16" s="699"/>
      <c r="AE16" s="699"/>
      <c r="AF16" s="699"/>
      <c r="AG16" s="696">
        <f t="shared" ref="AG16:AG40" si="7">IF($T16=0,0,1)*AA16</f>
        <v>1</v>
      </c>
      <c r="AH16" s="696">
        <f t="shared" si="3"/>
        <v>0</v>
      </c>
      <c r="AI16"/>
      <c r="AJ16" s="699"/>
      <c r="AK16" s="699"/>
      <c r="AL16" s="699"/>
      <c r="AM16" s="696">
        <f>AG16/AG15</f>
        <v>0.25</v>
      </c>
      <c r="AN16" s="696"/>
      <c r="AP16" s="704"/>
      <c r="AQ16" s="704"/>
      <c r="AR16" s="704"/>
      <c r="AS16" s="703">
        <f>($T16+AT16)*AM16</f>
        <v>0.75</v>
      </c>
      <c r="AT16" s="702">
        <f>T16*AN16</f>
        <v>0</v>
      </c>
      <c r="AV16" s="699"/>
      <c r="AW16" s="699"/>
      <c r="AX16" s="699"/>
      <c r="AY16" s="696">
        <f t="shared" ref="AY16:AY17" si="8">AM16</f>
        <v>0.25</v>
      </c>
      <c r="AZ16" s="696"/>
      <c r="BN16" s="58" t="str">
        <f t="shared" si="6"/>
        <v>1.1.2.1 生物の生息空間のまとまり</v>
      </c>
    </row>
    <row r="17" spans="2:66" ht="13.2" customHeight="1">
      <c r="B17" s="1100"/>
      <c r="C17" s="1109"/>
      <c r="D17" s="1110" t="str">
        <f>採点Q1!D51</f>
        <v>1.1.2.2 生物の生息空間の質</v>
      </c>
      <c r="E17" s="1111"/>
      <c r="F17" s="1111"/>
      <c r="G17" s="1111"/>
      <c r="H17" s="1111"/>
      <c r="I17" s="1104"/>
      <c r="J17" s="1105"/>
      <c r="K17" s="1105"/>
      <c r="L17" s="1105"/>
      <c r="M17" s="1105"/>
      <c r="N17" s="1105"/>
      <c r="O17" s="1106"/>
      <c r="P17" s="1023">
        <f t="shared" si="5"/>
        <v>3</v>
      </c>
      <c r="Q17" s="1024">
        <f t="shared" si="4"/>
        <v>0.25</v>
      </c>
      <c r="R17" s="1025"/>
      <c r="S17" s="1072"/>
      <c r="T17" s="696"/>
      <c r="U17" s="696">
        <f>AT17</f>
        <v>3</v>
      </c>
      <c r="V17" s="696">
        <f t="shared" si="2"/>
        <v>3</v>
      </c>
      <c r="W17" s="712"/>
      <c r="X17" s="1818"/>
      <c r="Y17" s="1818"/>
      <c r="Z17" s="1818"/>
      <c r="AA17" s="1817">
        <v>1</v>
      </c>
      <c r="AB17" s="696"/>
      <c r="AC17"/>
      <c r="AD17" s="699"/>
      <c r="AE17" s="699"/>
      <c r="AF17" s="699"/>
      <c r="AG17" s="698">
        <f>IF(AH17=0,0,AA17)</f>
        <v>1</v>
      </c>
      <c r="AH17" s="697">
        <f>SUM(AH18:AH20)</f>
        <v>3</v>
      </c>
      <c r="AI17"/>
      <c r="AJ17" s="699"/>
      <c r="AK17" s="699"/>
      <c r="AL17" s="699"/>
      <c r="AM17" s="698">
        <f>AG17/AG15</f>
        <v>0.25</v>
      </c>
      <c r="AN17" s="697"/>
      <c r="AP17" s="704"/>
      <c r="AQ17" s="704"/>
      <c r="AR17" s="704"/>
      <c r="AS17" s="703">
        <f>($T17+AT17)*AM17</f>
        <v>0.75</v>
      </c>
      <c r="AT17" s="701">
        <f>SUM(AT18:AT20)</f>
        <v>3</v>
      </c>
      <c r="AV17" s="699"/>
      <c r="AW17" s="699"/>
      <c r="AX17" s="699"/>
      <c r="AY17" s="698">
        <f t="shared" si="8"/>
        <v>0.25</v>
      </c>
      <c r="AZ17" s="697">
        <f>SUM(AZ18:AZ20)</f>
        <v>1</v>
      </c>
      <c r="BN17" s="58" t="str">
        <f t="shared" si="6"/>
        <v>1.1.2.2 生物の生息空間の質</v>
      </c>
    </row>
    <row r="18" spans="2:66" ht="13.2" customHeight="1">
      <c r="B18" s="1100"/>
      <c r="C18" s="1109"/>
      <c r="D18" s="1107"/>
      <c r="E18" s="1115" t="str">
        <f>採点Q1!D52</f>
        <v>1）樹林</v>
      </c>
      <c r="F18" s="1112"/>
      <c r="G18" s="1112"/>
      <c r="H18" s="1111"/>
      <c r="I18" s="1113">
        <f>採点Q1!E59</f>
        <v>0</v>
      </c>
      <c r="J18" s="1105"/>
      <c r="K18" s="1105"/>
      <c r="L18" s="1105"/>
      <c r="M18" s="1105"/>
      <c r="N18" s="1105"/>
      <c r="O18" s="1106"/>
      <c r="P18" s="1023">
        <f t="shared" si="5"/>
        <v>3</v>
      </c>
      <c r="Q18" s="1024">
        <f>SUM(AJ18:AN18)</f>
        <v>0.33333333333333331</v>
      </c>
      <c r="R18" s="1025"/>
      <c r="S18" s="1072"/>
      <c r="T18" s="696">
        <f>採点Q1!D53</f>
        <v>3</v>
      </c>
      <c r="U18" s="696"/>
      <c r="V18" s="696">
        <f t="shared" si="2"/>
        <v>3</v>
      </c>
      <c r="W18" s="712"/>
      <c r="X18" s="1818"/>
      <c r="Y18" s="1818"/>
      <c r="Z18" s="1818"/>
      <c r="AA18" s="1818"/>
      <c r="AB18" s="696">
        <v>1</v>
      </c>
      <c r="AC18"/>
      <c r="AD18" s="699"/>
      <c r="AE18" s="699"/>
      <c r="AF18" s="699"/>
      <c r="AG18" s="699"/>
      <c r="AH18" s="696">
        <f t="shared" si="3"/>
        <v>1</v>
      </c>
      <c r="AI18"/>
      <c r="AJ18" s="699"/>
      <c r="AK18" s="699"/>
      <c r="AL18" s="699"/>
      <c r="AM18" s="699"/>
      <c r="AN18" s="696">
        <f>AH18/AH17</f>
        <v>0.33333333333333331</v>
      </c>
      <c r="AP18" s="704"/>
      <c r="AQ18" s="704"/>
      <c r="AR18" s="704"/>
      <c r="AS18" s="704"/>
      <c r="AT18" s="702">
        <f>T18*AN18</f>
        <v>1</v>
      </c>
      <c r="AV18" s="699"/>
      <c r="AW18" s="699"/>
      <c r="AX18" s="699"/>
      <c r="AY18" s="699"/>
      <c r="AZ18" s="696">
        <f t="shared" ref="AZ18:AZ20" si="9">AN18</f>
        <v>0.33333333333333331</v>
      </c>
      <c r="BN18" s="58" t="str">
        <f t="shared" si="6"/>
        <v>1）樹林</v>
      </c>
    </row>
    <row r="19" spans="2:66" ht="13.2" customHeight="1">
      <c r="B19" s="1100"/>
      <c r="C19" s="1109"/>
      <c r="D19" s="1107"/>
      <c r="E19" s="1115" t="str">
        <f>採点Q1!D60</f>
        <v>2）草地</v>
      </c>
      <c r="F19" s="1112"/>
      <c r="G19" s="1112"/>
      <c r="H19" s="1112"/>
      <c r="I19" s="1113">
        <f>採点Q1!E67</f>
        <v>0</v>
      </c>
      <c r="J19" s="1105"/>
      <c r="K19" s="1105"/>
      <c r="L19" s="1105"/>
      <c r="M19" s="1105"/>
      <c r="N19" s="1105"/>
      <c r="O19" s="1106"/>
      <c r="P19" s="1023">
        <f t="shared" si="5"/>
        <v>3</v>
      </c>
      <c r="Q19" s="1024">
        <f t="shared" si="4"/>
        <v>0.33333333333333331</v>
      </c>
      <c r="R19" s="1025"/>
      <c r="S19" s="1072"/>
      <c r="T19" s="696">
        <f>採点Q1!D61</f>
        <v>3</v>
      </c>
      <c r="U19" s="696"/>
      <c r="V19" s="696">
        <f t="shared" si="2"/>
        <v>3</v>
      </c>
      <c r="W19" s="712"/>
      <c r="X19" s="1818"/>
      <c r="Y19" s="1818"/>
      <c r="Z19" s="1818"/>
      <c r="AA19" s="1818"/>
      <c r="AB19" s="696">
        <v>1</v>
      </c>
      <c r="AC19"/>
      <c r="AD19" s="699"/>
      <c r="AE19" s="699"/>
      <c r="AF19" s="699"/>
      <c r="AG19" s="699"/>
      <c r="AH19" s="696">
        <f t="shared" si="3"/>
        <v>1</v>
      </c>
      <c r="AI19"/>
      <c r="AJ19" s="699"/>
      <c r="AK19" s="699"/>
      <c r="AL19" s="699"/>
      <c r="AM19" s="699"/>
      <c r="AN19" s="696">
        <f>AH19/AH17</f>
        <v>0.33333333333333331</v>
      </c>
      <c r="AP19" s="704"/>
      <c r="AQ19" s="704"/>
      <c r="AR19" s="704"/>
      <c r="AS19" s="704"/>
      <c r="AT19" s="702">
        <f>T19*AN19</f>
        <v>1</v>
      </c>
      <c r="AV19" s="699"/>
      <c r="AW19" s="699"/>
      <c r="AX19" s="699"/>
      <c r="AY19" s="699"/>
      <c r="AZ19" s="696">
        <f t="shared" si="9"/>
        <v>0.33333333333333331</v>
      </c>
      <c r="BN19" s="58" t="str">
        <f t="shared" si="6"/>
        <v>2）草地</v>
      </c>
    </row>
    <row r="20" spans="2:66" ht="13.2" customHeight="1">
      <c r="B20" s="1100"/>
      <c r="C20" s="1109"/>
      <c r="D20" s="1107"/>
      <c r="E20" s="1115" t="str">
        <f>採点Q1!D68</f>
        <v>3）水辺</v>
      </c>
      <c r="F20" s="1112"/>
      <c r="G20" s="1112"/>
      <c r="H20" s="1116"/>
      <c r="I20" s="1113">
        <f>採点Q1!E75</f>
        <v>0</v>
      </c>
      <c r="J20" s="1105"/>
      <c r="K20" s="1105"/>
      <c r="L20" s="1105"/>
      <c r="M20" s="1105"/>
      <c r="N20" s="1105"/>
      <c r="O20" s="1106"/>
      <c r="P20" s="1023">
        <f t="shared" si="5"/>
        <v>3</v>
      </c>
      <c r="Q20" s="1024">
        <f t="shared" si="4"/>
        <v>0.33333333333333331</v>
      </c>
      <c r="R20" s="1025"/>
      <c r="S20" s="1072"/>
      <c r="T20" s="696">
        <f>採点Q1!D69</f>
        <v>3</v>
      </c>
      <c r="U20" s="696"/>
      <c r="V20" s="696">
        <f t="shared" si="2"/>
        <v>3</v>
      </c>
      <c r="W20" s="712"/>
      <c r="X20" s="1818"/>
      <c r="Y20" s="1818"/>
      <c r="Z20" s="1818"/>
      <c r="AA20" s="1819"/>
      <c r="AB20" s="696">
        <v>1</v>
      </c>
      <c r="AC20"/>
      <c r="AD20" s="699"/>
      <c r="AE20" s="699"/>
      <c r="AF20" s="699"/>
      <c r="AG20" s="700"/>
      <c r="AH20" s="696">
        <f t="shared" si="3"/>
        <v>1</v>
      </c>
      <c r="AI20"/>
      <c r="AJ20" s="699"/>
      <c r="AK20" s="699"/>
      <c r="AL20" s="699"/>
      <c r="AM20" s="700"/>
      <c r="AN20" s="696">
        <f>AH20/AH17</f>
        <v>0.33333333333333331</v>
      </c>
      <c r="AP20" s="704"/>
      <c r="AQ20" s="704"/>
      <c r="AR20" s="704"/>
      <c r="AS20" s="705"/>
      <c r="AT20" s="702">
        <f>T20*AN20</f>
        <v>1</v>
      </c>
      <c r="AV20" s="699"/>
      <c r="AW20" s="699"/>
      <c r="AX20" s="699"/>
      <c r="AY20" s="700"/>
      <c r="AZ20" s="696">
        <f t="shared" si="9"/>
        <v>0.33333333333333331</v>
      </c>
      <c r="BN20" s="58" t="str">
        <f t="shared" si="6"/>
        <v>3）水辺</v>
      </c>
    </row>
    <row r="21" spans="2:66" ht="13.2" customHeight="1">
      <c r="B21" s="1100"/>
      <c r="C21" s="1109"/>
      <c r="D21" s="1110" t="str">
        <f>採点Q1!D77</f>
        <v>1.1.2.3 地域性への配慮</v>
      </c>
      <c r="E21" s="1111"/>
      <c r="F21" s="1111"/>
      <c r="G21" s="1111"/>
      <c r="H21" s="1111"/>
      <c r="I21" s="1104"/>
      <c r="J21" s="1105"/>
      <c r="K21" s="1105"/>
      <c r="L21" s="1105"/>
      <c r="M21" s="1105"/>
      <c r="N21" s="1105"/>
      <c r="O21" s="1106"/>
      <c r="P21" s="1023">
        <f t="shared" si="5"/>
        <v>3</v>
      </c>
      <c r="Q21" s="1024">
        <f t="shared" si="4"/>
        <v>0.25</v>
      </c>
      <c r="R21" s="1025"/>
      <c r="S21" s="1072"/>
      <c r="T21" s="696"/>
      <c r="U21" s="696">
        <f>AT21</f>
        <v>3</v>
      </c>
      <c r="V21" s="696">
        <f t="shared" si="2"/>
        <v>3</v>
      </c>
      <c r="W21" s="712"/>
      <c r="X21" s="1818"/>
      <c r="Y21" s="1818"/>
      <c r="Z21" s="1818"/>
      <c r="AA21" s="1817">
        <v>1</v>
      </c>
      <c r="AB21" s="696"/>
      <c r="AC21"/>
      <c r="AD21" s="699"/>
      <c r="AE21" s="699"/>
      <c r="AF21" s="699"/>
      <c r="AG21" s="698">
        <f>IF(AH21=0,0,AA21)</f>
        <v>1</v>
      </c>
      <c r="AH21" s="697">
        <f>SUM(AH22:AH23)</f>
        <v>2</v>
      </c>
      <c r="AI21"/>
      <c r="AJ21" s="699"/>
      <c r="AK21" s="699"/>
      <c r="AL21" s="699"/>
      <c r="AM21" s="698">
        <f>AG21/AG15</f>
        <v>0.25</v>
      </c>
      <c r="AN21" s="697"/>
      <c r="AP21" s="704"/>
      <c r="AQ21" s="704"/>
      <c r="AR21" s="704"/>
      <c r="AS21" s="703">
        <f>($T21+AT21)*AM21</f>
        <v>0.75</v>
      </c>
      <c r="AT21" s="701">
        <f>SUM(AT22:AT23)</f>
        <v>3</v>
      </c>
      <c r="AV21" s="699"/>
      <c r="AW21" s="699"/>
      <c r="AX21" s="699"/>
      <c r="AY21" s="698">
        <f>AM21</f>
        <v>0.25</v>
      </c>
      <c r="AZ21" s="697">
        <f>SUM(AZ22:AZ23)</f>
        <v>1</v>
      </c>
      <c r="BN21" s="58" t="str">
        <f t="shared" si="6"/>
        <v>1.1.2.3 地域性への配慮</v>
      </c>
    </row>
    <row r="22" spans="2:66" ht="13.2" customHeight="1">
      <c r="B22" s="1100"/>
      <c r="C22" s="1109"/>
      <c r="D22" s="1107"/>
      <c r="E22" s="1115" t="str">
        <f>採点Q1!D78</f>
        <v>1）木本（中高木）</v>
      </c>
      <c r="F22" s="1112"/>
      <c r="G22" s="1112"/>
      <c r="H22" s="1111"/>
      <c r="I22" s="1113">
        <f>採点Q1!E85</f>
        <v>0</v>
      </c>
      <c r="J22" s="1105"/>
      <c r="K22" s="1105"/>
      <c r="L22" s="1105"/>
      <c r="M22" s="1105"/>
      <c r="N22" s="1105"/>
      <c r="O22" s="1106"/>
      <c r="P22" s="1023">
        <f t="shared" si="5"/>
        <v>3</v>
      </c>
      <c r="Q22" s="1024">
        <f t="shared" si="4"/>
        <v>0.5</v>
      </c>
      <c r="R22" s="1025"/>
      <c r="S22" s="1072"/>
      <c r="T22" s="696">
        <f>採点Q1!D79</f>
        <v>3</v>
      </c>
      <c r="U22" s="696"/>
      <c r="V22" s="696">
        <f t="shared" si="2"/>
        <v>3</v>
      </c>
      <c r="W22" s="712"/>
      <c r="X22" s="1818"/>
      <c r="Y22" s="1818"/>
      <c r="Z22" s="1818"/>
      <c r="AA22" s="1818"/>
      <c r="AB22" s="696">
        <v>1</v>
      </c>
      <c r="AC22"/>
      <c r="AD22" s="699"/>
      <c r="AE22" s="699"/>
      <c r="AF22" s="699"/>
      <c r="AG22" s="699"/>
      <c r="AH22" s="696">
        <f t="shared" si="3"/>
        <v>1</v>
      </c>
      <c r="AI22"/>
      <c r="AJ22" s="699"/>
      <c r="AK22" s="699"/>
      <c r="AL22" s="699"/>
      <c r="AM22" s="699"/>
      <c r="AN22" s="696">
        <f>AH22/AH21</f>
        <v>0.5</v>
      </c>
      <c r="AP22" s="704"/>
      <c r="AQ22" s="704"/>
      <c r="AR22" s="704"/>
      <c r="AS22" s="704"/>
      <c r="AT22" s="702">
        <f t="shared" ref="AT22:AT27" si="10">T22*AN22</f>
        <v>1.5</v>
      </c>
      <c r="AV22" s="699"/>
      <c r="AW22" s="699"/>
      <c r="AX22" s="699"/>
      <c r="AY22" s="699"/>
      <c r="AZ22" s="696">
        <f t="shared" ref="AZ22:AZ23" si="11">AN22</f>
        <v>0.5</v>
      </c>
      <c r="BN22" s="58" t="str">
        <f t="shared" si="6"/>
        <v>1）木本（中高木）</v>
      </c>
    </row>
    <row r="23" spans="2:66" ht="13.2" customHeight="1">
      <c r="B23" s="1100"/>
      <c r="C23" s="1109"/>
      <c r="D23" s="1107"/>
      <c r="E23" s="1115" t="str">
        <f>採点Q1!D86</f>
        <v>2）木本（低木）・草本</v>
      </c>
      <c r="F23" s="1112"/>
      <c r="G23" s="1112"/>
      <c r="H23" s="1112"/>
      <c r="I23" s="1113">
        <f>採点Q1!E93</f>
        <v>0</v>
      </c>
      <c r="J23" s="1105"/>
      <c r="K23" s="1105"/>
      <c r="L23" s="1105"/>
      <c r="M23" s="1105"/>
      <c r="N23" s="1105"/>
      <c r="O23" s="1106"/>
      <c r="P23" s="1023">
        <f t="shared" si="5"/>
        <v>3</v>
      </c>
      <c r="Q23" s="1024">
        <f t="shared" si="4"/>
        <v>0.5</v>
      </c>
      <c r="R23" s="1025"/>
      <c r="S23" s="1072"/>
      <c r="T23" s="696">
        <f>採点Q1!D87</f>
        <v>3</v>
      </c>
      <c r="U23" s="696"/>
      <c r="V23" s="696">
        <f t="shared" si="2"/>
        <v>3</v>
      </c>
      <c r="W23" s="712"/>
      <c r="X23" s="1818"/>
      <c r="Y23" s="1818"/>
      <c r="Z23" s="1818"/>
      <c r="AA23" s="1819"/>
      <c r="AB23" s="696">
        <v>1</v>
      </c>
      <c r="AC23"/>
      <c r="AD23" s="699"/>
      <c r="AE23" s="699"/>
      <c r="AF23" s="699"/>
      <c r="AG23" s="700"/>
      <c r="AH23" s="696">
        <f t="shared" si="3"/>
        <v>1</v>
      </c>
      <c r="AI23"/>
      <c r="AJ23" s="699"/>
      <c r="AK23" s="699"/>
      <c r="AL23" s="699"/>
      <c r="AM23" s="700"/>
      <c r="AN23" s="696">
        <f>AH23/AH21</f>
        <v>0.5</v>
      </c>
      <c r="AP23" s="704"/>
      <c r="AQ23" s="704"/>
      <c r="AR23" s="704"/>
      <c r="AS23" s="705"/>
      <c r="AT23" s="702">
        <f t="shared" si="10"/>
        <v>1.5</v>
      </c>
      <c r="AV23" s="699"/>
      <c r="AW23" s="699"/>
      <c r="AX23" s="699"/>
      <c r="AY23" s="700"/>
      <c r="AZ23" s="696">
        <f t="shared" si="11"/>
        <v>0.5</v>
      </c>
      <c r="BN23" s="58" t="str">
        <f t="shared" si="6"/>
        <v>2）木本（低木）・草本</v>
      </c>
    </row>
    <row r="24" spans="2:66" ht="13.2" customHeight="1">
      <c r="B24" s="1100"/>
      <c r="C24" s="1109"/>
      <c r="D24" s="1110" t="str">
        <f>採点Q1!D95</f>
        <v>1.1.2.4 エコロジカルネットワーク</v>
      </c>
      <c r="E24" s="1116"/>
      <c r="F24" s="1116"/>
      <c r="G24" s="1116"/>
      <c r="H24" s="1111"/>
      <c r="I24" s="1113">
        <f>採点Q1!E102</f>
        <v>0</v>
      </c>
      <c r="J24" s="1105"/>
      <c r="K24" s="1105"/>
      <c r="L24" s="1105"/>
      <c r="M24" s="1105"/>
      <c r="N24" s="1105"/>
      <c r="O24" s="1106"/>
      <c r="P24" s="1023">
        <f t="shared" si="5"/>
        <v>3</v>
      </c>
      <c r="Q24" s="1024">
        <f t="shared" si="4"/>
        <v>0.25</v>
      </c>
      <c r="R24" s="1026"/>
      <c r="S24" s="1072"/>
      <c r="T24" s="696">
        <f>採点Q1!D96</f>
        <v>3</v>
      </c>
      <c r="U24" s="696"/>
      <c r="V24" s="696">
        <f t="shared" si="2"/>
        <v>3</v>
      </c>
      <c r="W24" s="712"/>
      <c r="X24" s="1818"/>
      <c r="Y24" s="1819"/>
      <c r="Z24" s="1819"/>
      <c r="AA24" s="696">
        <v>1</v>
      </c>
      <c r="AB24" s="696"/>
      <c r="AC24"/>
      <c r="AD24" s="699"/>
      <c r="AE24" s="700"/>
      <c r="AF24" s="700"/>
      <c r="AG24" s="696">
        <f t="shared" si="7"/>
        <v>1</v>
      </c>
      <c r="AH24" s="696">
        <f t="shared" si="3"/>
        <v>0</v>
      </c>
      <c r="AI24"/>
      <c r="AJ24" s="699"/>
      <c r="AK24" s="700"/>
      <c r="AL24" s="700"/>
      <c r="AM24" s="696">
        <f>AG24/AG15</f>
        <v>0.25</v>
      </c>
      <c r="AN24" s="696"/>
      <c r="AP24" s="704"/>
      <c r="AQ24" s="705"/>
      <c r="AR24" s="705"/>
      <c r="AS24" s="703">
        <f>($T24+AT24)*AM24</f>
        <v>0.75</v>
      </c>
      <c r="AT24" s="702">
        <f t="shared" si="10"/>
        <v>0</v>
      </c>
      <c r="AV24" s="699"/>
      <c r="AW24" s="700"/>
      <c r="AX24" s="700"/>
      <c r="AY24" s="696">
        <f>AM24</f>
        <v>0.25</v>
      </c>
      <c r="AZ24" s="696"/>
      <c r="BN24" s="58" t="str">
        <f t="shared" si="6"/>
        <v>1.1.2.4 エコロジカルネットワーク</v>
      </c>
    </row>
    <row r="25" spans="2:66" ht="13.2" customHeight="1">
      <c r="B25" s="1117" t="str">
        <f>採点Q1!B104</f>
        <v>1.2 生活環境</v>
      </c>
      <c r="C25" s="1118"/>
      <c r="D25" s="1103"/>
      <c r="E25" s="1103"/>
      <c r="F25" s="1103"/>
      <c r="G25" s="1103"/>
      <c r="H25" s="1103"/>
      <c r="I25" s="1104"/>
      <c r="J25" s="1105"/>
      <c r="K25" s="1105"/>
      <c r="L25" s="1105"/>
      <c r="M25" s="1105"/>
      <c r="N25" s="1105"/>
      <c r="O25" s="1106"/>
      <c r="P25" s="1023"/>
      <c r="Q25" s="1027">
        <f t="shared" si="4"/>
        <v>0.33333333333333331</v>
      </c>
      <c r="R25" s="1028">
        <f>ROUNDDOWN($V25,1)</f>
        <v>3</v>
      </c>
      <c r="S25" s="1072"/>
      <c r="T25" s="696"/>
      <c r="U25" s="696">
        <f>AR25</f>
        <v>3</v>
      </c>
      <c r="V25" s="696">
        <f t="shared" si="2"/>
        <v>3</v>
      </c>
      <c r="W25" s="712"/>
      <c r="X25" s="1818"/>
      <c r="Y25" s="1817">
        <v>1</v>
      </c>
      <c r="Z25" s="696"/>
      <c r="AA25" s="696"/>
      <c r="AB25" s="696"/>
      <c r="AC25"/>
      <c r="AD25" s="699"/>
      <c r="AE25" s="698">
        <f>IF(AF25=0,0,Y25)</f>
        <v>1</v>
      </c>
      <c r="AF25" s="697">
        <f>SUM(AF26:AF38)</f>
        <v>3</v>
      </c>
      <c r="AG25" s="696"/>
      <c r="AH25" s="696">
        <f t="shared" si="3"/>
        <v>0</v>
      </c>
      <c r="AI25"/>
      <c r="AJ25" s="699"/>
      <c r="AK25" s="698">
        <f>AE25/AE8</f>
        <v>0.33333333333333331</v>
      </c>
      <c r="AL25" s="697"/>
      <c r="AM25" s="696"/>
      <c r="AN25" s="696"/>
      <c r="AP25" s="704"/>
      <c r="AQ25" s="703">
        <f>($T25+AR25)*AK25</f>
        <v>1</v>
      </c>
      <c r="AR25" s="701">
        <f>SUM(AR26:AR38)</f>
        <v>3</v>
      </c>
      <c r="AS25" s="703">
        <f>($T25+AT25)*AM25</f>
        <v>0</v>
      </c>
      <c r="AT25" s="702">
        <f t="shared" si="10"/>
        <v>0</v>
      </c>
      <c r="AV25" s="699"/>
      <c r="AW25" s="698">
        <f>AK25</f>
        <v>0.33333333333333331</v>
      </c>
      <c r="AX25" s="697">
        <f>SUM(AX26:AX38)</f>
        <v>1</v>
      </c>
      <c r="AY25" s="696"/>
      <c r="AZ25" s="696"/>
      <c r="BN25" s="58" t="str">
        <f t="shared" si="6"/>
        <v>1.2 生活環境</v>
      </c>
    </row>
    <row r="26" spans="2:66" ht="13.2" customHeight="1">
      <c r="B26" s="1100"/>
      <c r="C26" s="1101" t="str">
        <f>採点Q1!C105</f>
        <v>1.2.1 水と緑</v>
      </c>
      <c r="D26" s="1102"/>
      <c r="E26" s="1103"/>
      <c r="F26" s="1103"/>
      <c r="G26" s="1103"/>
      <c r="H26" s="1119"/>
      <c r="I26" s="1104"/>
      <c r="J26" s="1105"/>
      <c r="K26" s="1105"/>
      <c r="L26" s="1105"/>
      <c r="M26" s="1105"/>
      <c r="N26" s="1105"/>
      <c r="O26" s="1106"/>
      <c r="P26" s="1023">
        <f t="shared" ref="P26:P38" si="12">ROUNDDOWN($V26,1)</f>
        <v>3</v>
      </c>
      <c r="Q26" s="1024">
        <f t="shared" si="4"/>
        <v>0.33333333333333331</v>
      </c>
      <c r="R26" s="1029"/>
      <c r="S26" s="1072"/>
      <c r="T26" s="696"/>
      <c r="U26" s="696">
        <f>AS26</f>
        <v>3</v>
      </c>
      <c r="V26" s="696">
        <f t="shared" si="2"/>
        <v>3</v>
      </c>
      <c r="W26" s="712"/>
      <c r="X26" s="1818"/>
      <c r="Y26" s="1818"/>
      <c r="Z26" s="1817">
        <v>1</v>
      </c>
      <c r="AA26" s="696"/>
      <c r="AB26" s="696"/>
      <c r="AC26"/>
      <c r="AD26" s="699"/>
      <c r="AE26" s="699"/>
      <c r="AF26" s="698">
        <f>IF(AG26=0,0,Z26)</f>
        <v>1</v>
      </c>
      <c r="AG26" s="697">
        <f>SUM(AG27:AG30)</f>
        <v>2</v>
      </c>
      <c r="AH26" s="696"/>
      <c r="AI26"/>
      <c r="AJ26" s="699"/>
      <c r="AK26" s="699"/>
      <c r="AL26" s="698">
        <f>AF26/AF25</f>
        <v>0.33333333333333331</v>
      </c>
      <c r="AM26" s="697"/>
      <c r="AN26" s="696"/>
      <c r="AP26" s="704"/>
      <c r="AQ26" s="704"/>
      <c r="AR26" s="703">
        <f>($T26+AS26)*AL26</f>
        <v>1</v>
      </c>
      <c r="AS26" s="701">
        <f>SUM(AS27:AS30)</f>
        <v>3</v>
      </c>
      <c r="AT26" s="702">
        <f t="shared" si="10"/>
        <v>0</v>
      </c>
      <c r="AV26" s="699"/>
      <c r="AW26" s="699"/>
      <c r="AX26" s="698">
        <f>AL26</f>
        <v>0.33333333333333331</v>
      </c>
      <c r="AY26" s="697">
        <f>SUM(AY27:AY30)</f>
        <v>1</v>
      </c>
      <c r="AZ26" s="696"/>
      <c r="BN26" s="58" t="str">
        <f t="shared" si="6"/>
        <v>1.2.1 水と緑</v>
      </c>
    </row>
    <row r="27" spans="2:66" ht="13.2" customHeight="1">
      <c r="B27" s="1100"/>
      <c r="C27" s="1120"/>
      <c r="D27" s="1110" t="str">
        <f>採点Q1!D106</f>
        <v>1.2.1.1 地上部の水と緑</v>
      </c>
      <c r="E27" s="1111"/>
      <c r="F27" s="1111"/>
      <c r="G27" s="1111"/>
      <c r="H27" s="1119"/>
      <c r="I27" s="1113">
        <f>採点Q1!E113</f>
        <v>0</v>
      </c>
      <c r="J27" s="1105"/>
      <c r="K27" s="1105"/>
      <c r="L27" s="1105"/>
      <c r="M27" s="1105"/>
      <c r="N27" s="1105"/>
      <c r="O27" s="1106"/>
      <c r="P27" s="1023">
        <f t="shared" si="12"/>
        <v>3</v>
      </c>
      <c r="Q27" s="1024">
        <f t="shared" si="4"/>
        <v>0.5</v>
      </c>
      <c r="R27" s="1029"/>
      <c r="S27" s="1072"/>
      <c r="T27" s="696">
        <f>採点Q1!D107</f>
        <v>3</v>
      </c>
      <c r="U27" s="696"/>
      <c r="V27" s="696">
        <f t="shared" si="2"/>
        <v>3</v>
      </c>
      <c r="W27" s="712"/>
      <c r="X27" s="1818"/>
      <c r="Y27" s="1818"/>
      <c r="Z27" s="1818"/>
      <c r="AA27" s="696">
        <v>1</v>
      </c>
      <c r="AB27" s="696"/>
      <c r="AC27"/>
      <c r="AD27" s="699"/>
      <c r="AE27" s="699"/>
      <c r="AF27" s="699"/>
      <c r="AG27" s="696">
        <f t="shared" si="7"/>
        <v>1</v>
      </c>
      <c r="AH27" s="696">
        <f t="shared" si="3"/>
        <v>0</v>
      </c>
      <c r="AI27"/>
      <c r="AJ27" s="699"/>
      <c r="AK27" s="699"/>
      <c r="AL27" s="699"/>
      <c r="AM27" s="698">
        <f>AG27/AG26</f>
        <v>0.5</v>
      </c>
      <c r="AN27" s="696"/>
      <c r="AP27" s="704"/>
      <c r="AQ27" s="704"/>
      <c r="AR27" s="704"/>
      <c r="AS27" s="703">
        <f>($T27+AT27)*AM27</f>
        <v>1.5</v>
      </c>
      <c r="AT27" s="702">
        <f t="shared" si="10"/>
        <v>0</v>
      </c>
      <c r="AV27" s="699"/>
      <c r="AW27" s="699"/>
      <c r="AX27" s="699"/>
      <c r="AY27" s="698">
        <f t="shared" ref="AY27:AY28" si="13">AM27</f>
        <v>0.5</v>
      </c>
      <c r="AZ27" s="696"/>
      <c r="BN27" s="58" t="str">
        <f t="shared" si="6"/>
        <v>1.2.1.1 地上部の水と緑</v>
      </c>
    </row>
    <row r="28" spans="2:66" ht="13.2" customHeight="1">
      <c r="B28" s="1100"/>
      <c r="C28" s="1109"/>
      <c r="D28" s="1110" t="str">
        <f>採点Q1!D115</f>
        <v>1.2.1.2 建物の緑</v>
      </c>
      <c r="E28" s="1111"/>
      <c r="F28" s="1111"/>
      <c r="G28" s="1111"/>
      <c r="H28" s="1111"/>
      <c r="I28" s="1104"/>
      <c r="J28" s="1105"/>
      <c r="K28" s="1105"/>
      <c r="L28" s="1105"/>
      <c r="M28" s="1105"/>
      <c r="N28" s="1105"/>
      <c r="O28" s="1106"/>
      <c r="P28" s="1023">
        <f t="shared" si="12"/>
        <v>3</v>
      </c>
      <c r="Q28" s="1024">
        <f t="shared" si="4"/>
        <v>0.5</v>
      </c>
      <c r="R28" s="1029"/>
      <c r="S28" s="1072"/>
      <c r="T28" s="696"/>
      <c r="U28" s="696">
        <f>AT28</f>
        <v>3</v>
      </c>
      <c r="V28" s="696">
        <f t="shared" si="2"/>
        <v>3</v>
      </c>
      <c r="W28" s="712"/>
      <c r="X28" s="1818"/>
      <c r="Y28" s="1818"/>
      <c r="Z28" s="1818"/>
      <c r="AA28" s="1817">
        <v>1</v>
      </c>
      <c r="AB28" s="696"/>
      <c r="AC28"/>
      <c r="AD28" s="699"/>
      <c r="AE28" s="699"/>
      <c r="AF28" s="699"/>
      <c r="AG28" s="698">
        <f>IF(AH28=0,0,AA28)</f>
        <v>1</v>
      </c>
      <c r="AH28" s="697">
        <f>SUM(AH29:AH30)</f>
        <v>2</v>
      </c>
      <c r="AI28"/>
      <c r="AJ28" s="699"/>
      <c r="AK28" s="699"/>
      <c r="AL28" s="699"/>
      <c r="AM28" s="698">
        <f>AG28/AG26</f>
        <v>0.5</v>
      </c>
      <c r="AN28" s="697"/>
      <c r="AP28" s="704"/>
      <c r="AQ28" s="704"/>
      <c r="AR28" s="704"/>
      <c r="AS28" s="703">
        <f>($T28+AT28)*AM28</f>
        <v>1.5</v>
      </c>
      <c r="AT28" s="701">
        <f>SUM(AT29:AT30)</f>
        <v>3</v>
      </c>
      <c r="AV28" s="699"/>
      <c r="AW28" s="699"/>
      <c r="AX28" s="699"/>
      <c r="AY28" s="698">
        <f t="shared" si="13"/>
        <v>0.5</v>
      </c>
      <c r="AZ28" s="697">
        <f>SUM(AZ29:AZ30)</f>
        <v>1</v>
      </c>
      <c r="BN28" s="58" t="str">
        <f t="shared" si="6"/>
        <v>1.2.1.2 建物の緑</v>
      </c>
    </row>
    <row r="29" spans="2:66" ht="13.2" customHeight="1">
      <c r="B29" s="1100"/>
      <c r="C29" s="1109"/>
      <c r="D29" s="1107"/>
      <c r="E29" s="1115" t="str">
        <f>採点Q1!D116</f>
        <v>1）屋上緑化</v>
      </c>
      <c r="F29" s="1112"/>
      <c r="G29" s="1112"/>
      <c r="H29" s="1111"/>
      <c r="I29" s="1113">
        <f>採点Q1!E123</f>
        <v>0</v>
      </c>
      <c r="J29" s="1105"/>
      <c r="K29" s="1105"/>
      <c r="L29" s="1105"/>
      <c r="M29" s="1105"/>
      <c r="N29" s="1105"/>
      <c r="O29" s="1106"/>
      <c r="P29" s="1023">
        <f t="shared" si="12"/>
        <v>3</v>
      </c>
      <c r="Q29" s="1024">
        <f t="shared" si="4"/>
        <v>0.5</v>
      </c>
      <c r="R29" s="1029"/>
      <c r="S29" s="1072"/>
      <c r="T29" s="696">
        <f>採点Q1!D117</f>
        <v>3</v>
      </c>
      <c r="U29" s="696"/>
      <c r="V29" s="696">
        <f t="shared" si="2"/>
        <v>3</v>
      </c>
      <c r="W29" s="712"/>
      <c r="X29" s="1818"/>
      <c r="Y29" s="1818"/>
      <c r="Z29" s="1818"/>
      <c r="AA29" s="1818"/>
      <c r="AB29" s="696">
        <v>1</v>
      </c>
      <c r="AC29"/>
      <c r="AD29" s="699"/>
      <c r="AE29" s="699"/>
      <c r="AF29" s="699"/>
      <c r="AG29" s="699"/>
      <c r="AH29" s="696">
        <f t="shared" si="3"/>
        <v>1</v>
      </c>
      <c r="AI29"/>
      <c r="AJ29" s="699"/>
      <c r="AK29" s="699"/>
      <c r="AL29" s="699"/>
      <c r="AM29" s="699"/>
      <c r="AN29" s="696">
        <f>AH29/AH28</f>
        <v>0.5</v>
      </c>
      <c r="AP29" s="704"/>
      <c r="AQ29" s="704"/>
      <c r="AR29" s="704"/>
      <c r="AS29" s="704"/>
      <c r="AT29" s="702">
        <f t="shared" ref="AT29:AT38" si="14">T29*AN29</f>
        <v>1.5</v>
      </c>
      <c r="AV29" s="699"/>
      <c r="AW29" s="699"/>
      <c r="AX29" s="699"/>
      <c r="AY29" s="699"/>
      <c r="AZ29" s="696">
        <f t="shared" ref="AZ29:AZ30" si="15">AN29</f>
        <v>0.5</v>
      </c>
      <c r="BN29" s="58" t="str">
        <f t="shared" si="6"/>
        <v>1）屋上緑化</v>
      </c>
    </row>
    <row r="30" spans="2:66" ht="13.2" customHeight="1">
      <c r="B30" s="1100"/>
      <c r="C30" s="1109"/>
      <c r="D30" s="1107"/>
      <c r="E30" s="1115" t="str">
        <f>採点Q1!D124</f>
        <v>2）壁面緑化</v>
      </c>
      <c r="F30" s="1112"/>
      <c r="G30" s="1112"/>
      <c r="H30" s="1112"/>
      <c r="I30" s="1113">
        <f>採点Q1!E131</f>
        <v>0</v>
      </c>
      <c r="J30" s="1105"/>
      <c r="K30" s="1105"/>
      <c r="L30" s="1105"/>
      <c r="M30" s="1105"/>
      <c r="N30" s="1105"/>
      <c r="O30" s="1106"/>
      <c r="P30" s="1023">
        <f t="shared" si="12"/>
        <v>3</v>
      </c>
      <c r="Q30" s="1024">
        <f t="shared" si="4"/>
        <v>0.5</v>
      </c>
      <c r="R30" s="1029"/>
      <c r="S30" s="1072"/>
      <c r="T30" s="696">
        <f>採点Q1!D125</f>
        <v>3</v>
      </c>
      <c r="U30" s="696"/>
      <c r="V30" s="696">
        <f t="shared" si="2"/>
        <v>3</v>
      </c>
      <c r="W30" s="712"/>
      <c r="X30" s="1818"/>
      <c r="Y30" s="1818"/>
      <c r="Z30" s="1819"/>
      <c r="AA30" s="1819"/>
      <c r="AB30" s="696">
        <v>1</v>
      </c>
      <c r="AC30"/>
      <c r="AD30" s="699"/>
      <c r="AE30" s="699"/>
      <c r="AF30" s="700"/>
      <c r="AG30" s="700"/>
      <c r="AH30" s="696">
        <f t="shared" si="3"/>
        <v>1</v>
      </c>
      <c r="AI30"/>
      <c r="AJ30" s="699"/>
      <c r="AK30" s="699"/>
      <c r="AL30" s="700"/>
      <c r="AM30" s="700"/>
      <c r="AN30" s="696">
        <f>AH30/AH28</f>
        <v>0.5</v>
      </c>
      <c r="AP30" s="704"/>
      <c r="AQ30" s="704"/>
      <c r="AR30" s="705"/>
      <c r="AS30" s="705"/>
      <c r="AT30" s="702">
        <f t="shared" si="14"/>
        <v>1.5</v>
      </c>
      <c r="AV30" s="699"/>
      <c r="AW30" s="699"/>
      <c r="AX30" s="700"/>
      <c r="AY30" s="700"/>
      <c r="AZ30" s="696">
        <f t="shared" si="15"/>
        <v>0.5</v>
      </c>
      <c r="BN30" s="58" t="str">
        <f t="shared" si="6"/>
        <v>2）壁面緑化</v>
      </c>
    </row>
    <row r="31" spans="2:66" ht="13.2" customHeight="1">
      <c r="B31" s="1121"/>
      <c r="C31" s="1101" t="str">
        <f>採点Q1!C133</f>
        <v>1.2.2 熱環境</v>
      </c>
      <c r="D31" s="1102"/>
      <c r="E31" s="1103"/>
      <c r="F31" s="1103"/>
      <c r="G31" s="1103"/>
      <c r="H31" s="1119"/>
      <c r="I31" s="1104"/>
      <c r="J31" s="1105"/>
      <c r="K31" s="1105"/>
      <c r="L31" s="1105"/>
      <c r="M31" s="1105"/>
      <c r="N31" s="1105"/>
      <c r="O31" s="1106"/>
      <c r="P31" s="1023">
        <f t="shared" si="12"/>
        <v>3</v>
      </c>
      <c r="Q31" s="1024">
        <f t="shared" si="4"/>
        <v>0.33333333333333331</v>
      </c>
      <c r="R31" s="1029"/>
      <c r="S31" s="1072"/>
      <c r="T31" s="696"/>
      <c r="U31" s="696">
        <f>AS31</f>
        <v>3</v>
      </c>
      <c r="V31" s="696">
        <f t="shared" si="2"/>
        <v>3</v>
      </c>
      <c r="W31" s="712"/>
      <c r="X31" s="1818"/>
      <c r="Y31" s="1818"/>
      <c r="Z31" s="1817">
        <v>1</v>
      </c>
      <c r="AA31" s="696"/>
      <c r="AB31" s="696"/>
      <c r="AC31"/>
      <c r="AD31" s="699"/>
      <c r="AE31" s="699"/>
      <c r="AF31" s="698">
        <f>IF(AG31=0,0,Z31)</f>
        <v>1</v>
      </c>
      <c r="AG31" s="697">
        <f>SUM(AG32:AG34)</f>
        <v>3</v>
      </c>
      <c r="AH31" s="696"/>
      <c r="AI31"/>
      <c r="AJ31" s="699"/>
      <c r="AK31" s="699"/>
      <c r="AL31" s="698">
        <f>AF31/AF25</f>
        <v>0.33333333333333331</v>
      </c>
      <c r="AM31" s="697"/>
      <c r="AN31" s="696"/>
      <c r="AP31" s="704"/>
      <c r="AQ31" s="704"/>
      <c r="AR31" s="703">
        <f>($T31+AS31)*AL31</f>
        <v>1</v>
      </c>
      <c r="AS31" s="701">
        <f>SUM(AS32:AS34)</f>
        <v>3</v>
      </c>
      <c r="AT31" s="702">
        <f t="shared" si="14"/>
        <v>0</v>
      </c>
      <c r="AV31" s="699"/>
      <c r="AW31" s="699"/>
      <c r="AX31" s="698">
        <f>AL31</f>
        <v>0.33333333333333331</v>
      </c>
      <c r="AY31" s="697">
        <f>SUM(AY32:AY34)</f>
        <v>1</v>
      </c>
      <c r="AZ31" s="696"/>
      <c r="BN31" s="58" t="str">
        <f t="shared" si="6"/>
        <v>1.2.2 熱環境</v>
      </c>
    </row>
    <row r="32" spans="2:66" ht="13.2" customHeight="1">
      <c r="B32" s="1100"/>
      <c r="C32" s="1120"/>
      <c r="D32" s="1110" t="str">
        <f>採点Q1!D134</f>
        <v>1.2.2.1 日射の遮蔽</v>
      </c>
      <c r="E32" s="1111"/>
      <c r="F32" s="1111"/>
      <c r="G32" s="1111"/>
      <c r="H32" s="1119"/>
      <c r="I32" s="1113" t="str">
        <f>採点Q1!D142</f>
        <v>評価する取組</v>
      </c>
      <c r="J32" s="1105"/>
      <c r="K32" s="1122">
        <f>採点Q1!E141</f>
        <v>0</v>
      </c>
      <c r="L32" s="1105"/>
      <c r="M32" s="1105"/>
      <c r="N32" s="1105"/>
      <c r="O32" s="1106"/>
      <c r="P32" s="1023">
        <f t="shared" si="12"/>
        <v>3</v>
      </c>
      <c r="Q32" s="1024">
        <f t="shared" si="4"/>
        <v>0.33333333333333331</v>
      </c>
      <c r="R32" s="1029"/>
      <c r="S32" s="1072"/>
      <c r="T32" s="696">
        <f>採点Q1!D135</f>
        <v>3</v>
      </c>
      <c r="U32" s="696"/>
      <c r="V32" s="696">
        <f t="shared" si="2"/>
        <v>3</v>
      </c>
      <c r="W32" s="712"/>
      <c r="X32" s="1818"/>
      <c r="Y32" s="1818"/>
      <c r="Z32" s="1818"/>
      <c r="AA32" s="696">
        <v>1</v>
      </c>
      <c r="AB32" s="696"/>
      <c r="AC32"/>
      <c r="AD32" s="699"/>
      <c r="AE32" s="699"/>
      <c r="AF32" s="699"/>
      <c r="AG32" s="696">
        <f t="shared" si="7"/>
        <v>1</v>
      </c>
      <c r="AH32" s="696">
        <f t="shared" si="3"/>
        <v>0</v>
      </c>
      <c r="AI32"/>
      <c r="AJ32" s="699"/>
      <c r="AK32" s="699"/>
      <c r="AL32" s="699"/>
      <c r="AM32" s="696">
        <f>AG32/AG31</f>
        <v>0.33333333333333331</v>
      </c>
      <c r="AN32" s="696"/>
      <c r="AP32" s="704"/>
      <c r="AQ32" s="704"/>
      <c r="AR32" s="704"/>
      <c r="AS32" s="703">
        <f>($T32+AT32)*AM32</f>
        <v>1</v>
      </c>
      <c r="AT32" s="702">
        <f t="shared" si="14"/>
        <v>0</v>
      </c>
      <c r="AV32" s="699"/>
      <c r="AW32" s="699"/>
      <c r="AX32" s="699"/>
      <c r="AY32" s="696">
        <f t="shared" ref="AY32:AY34" si="16">AM32</f>
        <v>0.33333333333333331</v>
      </c>
      <c r="AZ32" s="696"/>
      <c r="BN32" s="58" t="str">
        <f t="shared" si="6"/>
        <v>1.2.2.1 日射の遮蔽</v>
      </c>
    </row>
    <row r="33" spans="2:66" ht="13.2" customHeight="1">
      <c r="B33" s="1100"/>
      <c r="C33" s="1109"/>
      <c r="D33" s="1110" t="str">
        <f>採点Q1!D147</f>
        <v>1.2.2.2 輻射熱・反射の抑制</v>
      </c>
      <c r="E33" s="1111"/>
      <c r="F33" s="1111"/>
      <c r="G33" s="1111"/>
      <c r="H33" s="1111"/>
      <c r="I33" s="1113" t="str">
        <f>採点Q1!D155</f>
        <v>評価する取組</v>
      </c>
      <c r="J33" s="1105"/>
      <c r="K33" s="1122">
        <f>採点Q1!E154</f>
        <v>0</v>
      </c>
      <c r="L33" s="1105"/>
      <c r="M33" s="1105"/>
      <c r="N33" s="1105"/>
      <c r="O33" s="1106"/>
      <c r="P33" s="1023">
        <f t="shared" si="12"/>
        <v>3</v>
      </c>
      <c r="Q33" s="1024">
        <f t="shared" si="4"/>
        <v>0.33333333333333331</v>
      </c>
      <c r="R33" s="1029"/>
      <c r="S33" s="1072"/>
      <c r="T33" s="696">
        <f>採点Q1!D148</f>
        <v>3</v>
      </c>
      <c r="U33" s="696"/>
      <c r="V33" s="696">
        <f t="shared" si="2"/>
        <v>3</v>
      </c>
      <c r="W33" s="712"/>
      <c r="X33" s="1818"/>
      <c r="Y33" s="1818"/>
      <c r="Z33" s="1818"/>
      <c r="AA33" s="696">
        <v>1</v>
      </c>
      <c r="AB33" s="696"/>
      <c r="AC33"/>
      <c r="AD33" s="699"/>
      <c r="AE33" s="699"/>
      <c r="AF33" s="699"/>
      <c r="AG33" s="696">
        <f t="shared" si="7"/>
        <v>1</v>
      </c>
      <c r="AH33" s="696">
        <f>IF($T33=0,0,1)*AB33</f>
        <v>0</v>
      </c>
      <c r="AI33"/>
      <c r="AJ33" s="699"/>
      <c r="AK33" s="699"/>
      <c r="AL33" s="699"/>
      <c r="AM33" s="696">
        <f>AG33/AG31</f>
        <v>0.33333333333333331</v>
      </c>
      <c r="AN33" s="696"/>
      <c r="AP33" s="704"/>
      <c r="AQ33" s="704"/>
      <c r="AR33" s="704"/>
      <c r="AS33" s="703">
        <f>($T33+AT33)*AM33</f>
        <v>1</v>
      </c>
      <c r="AT33" s="702">
        <f t="shared" si="14"/>
        <v>0</v>
      </c>
      <c r="AV33" s="699"/>
      <c r="AW33" s="699"/>
      <c r="AX33" s="699"/>
      <c r="AY33" s="696">
        <f t="shared" si="16"/>
        <v>0.33333333333333331</v>
      </c>
      <c r="AZ33" s="696"/>
      <c r="BN33" s="58" t="str">
        <f t="shared" si="6"/>
        <v>1.2.2.2 輻射熱・反射の抑制</v>
      </c>
    </row>
    <row r="34" spans="2:66" ht="13.2" customHeight="1">
      <c r="B34" s="1100"/>
      <c r="C34" s="1109"/>
      <c r="D34" s="1110" t="str">
        <f>採点Q1!D160</f>
        <v>1.2.2.3 風通しの確保</v>
      </c>
      <c r="E34" s="1111"/>
      <c r="F34" s="1111"/>
      <c r="G34" s="1111"/>
      <c r="H34" s="1111"/>
      <c r="I34" s="1113" t="str">
        <f>採点Q1!D168</f>
        <v>評価する取組</v>
      </c>
      <c r="J34" s="1105"/>
      <c r="K34" s="1122">
        <f>採点Q1!E167</f>
        <v>0</v>
      </c>
      <c r="L34" s="1105"/>
      <c r="M34" s="1105"/>
      <c r="N34" s="1105"/>
      <c r="O34" s="1106"/>
      <c r="P34" s="1023">
        <f t="shared" si="12"/>
        <v>3</v>
      </c>
      <c r="Q34" s="1024">
        <f t="shared" si="4"/>
        <v>0.33333333333333331</v>
      </c>
      <c r="R34" s="1029"/>
      <c r="S34" s="1072"/>
      <c r="T34" s="696">
        <f>採点Q1!D161</f>
        <v>3</v>
      </c>
      <c r="U34" s="696"/>
      <c r="V34" s="696">
        <f t="shared" si="2"/>
        <v>3</v>
      </c>
      <c r="W34" s="712"/>
      <c r="X34" s="1818"/>
      <c r="Y34" s="1818"/>
      <c r="Z34" s="1819"/>
      <c r="AA34" s="696">
        <v>1</v>
      </c>
      <c r="AB34" s="696"/>
      <c r="AC34"/>
      <c r="AD34" s="699"/>
      <c r="AE34" s="699"/>
      <c r="AF34" s="700"/>
      <c r="AG34" s="696">
        <f t="shared" si="7"/>
        <v>1</v>
      </c>
      <c r="AH34" s="696">
        <f t="shared" si="3"/>
        <v>0</v>
      </c>
      <c r="AI34"/>
      <c r="AJ34" s="699"/>
      <c r="AK34" s="699"/>
      <c r="AL34" s="700"/>
      <c r="AM34" s="696">
        <f>AG34/AG31</f>
        <v>0.33333333333333331</v>
      </c>
      <c r="AN34" s="696"/>
      <c r="AP34" s="704"/>
      <c r="AQ34" s="704"/>
      <c r="AR34" s="705"/>
      <c r="AS34" s="703">
        <f>($T34+AT34)*AM34</f>
        <v>1</v>
      </c>
      <c r="AT34" s="702">
        <f t="shared" si="14"/>
        <v>0</v>
      </c>
      <c r="AV34" s="699"/>
      <c r="AW34" s="699"/>
      <c r="AX34" s="700"/>
      <c r="AY34" s="696">
        <f t="shared" si="16"/>
        <v>0.33333333333333331</v>
      </c>
      <c r="AZ34" s="696"/>
      <c r="BN34" s="58" t="str">
        <f t="shared" si="6"/>
        <v>1.2.2.3 風通しの確保</v>
      </c>
    </row>
    <row r="35" spans="2:66" ht="13.2" customHeight="1">
      <c r="B35" s="1100"/>
      <c r="C35" s="1101" t="str">
        <f>採点Q1!C174</f>
        <v>1.2.3 都市景観</v>
      </c>
      <c r="D35" s="1102"/>
      <c r="E35" s="1103"/>
      <c r="F35" s="1103"/>
      <c r="G35" s="1103"/>
      <c r="H35" s="1103"/>
      <c r="I35" s="1104"/>
      <c r="J35" s="1105"/>
      <c r="K35" s="1105"/>
      <c r="L35" s="1105"/>
      <c r="M35" s="1105"/>
      <c r="N35" s="1105"/>
      <c r="O35" s="1106"/>
      <c r="P35" s="1023">
        <f t="shared" si="12"/>
        <v>3</v>
      </c>
      <c r="Q35" s="1024">
        <f t="shared" si="4"/>
        <v>0.33333333333333331</v>
      </c>
      <c r="R35" s="1029"/>
      <c r="S35" s="1072"/>
      <c r="T35" s="696"/>
      <c r="U35" s="696">
        <f>AS35</f>
        <v>3</v>
      </c>
      <c r="V35" s="696">
        <f t="shared" si="2"/>
        <v>3</v>
      </c>
      <c r="W35" s="712"/>
      <c r="X35" s="1818"/>
      <c r="Y35" s="1818"/>
      <c r="Z35" s="1817">
        <v>1</v>
      </c>
      <c r="AA35" s="696"/>
      <c r="AB35" s="696"/>
      <c r="AC35"/>
      <c r="AD35" s="699"/>
      <c r="AE35" s="699"/>
      <c r="AF35" s="698">
        <f>IF(AG35=0,0,Z35)</f>
        <v>1</v>
      </c>
      <c r="AG35" s="697">
        <f>SUM(AG37:AG38)</f>
        <v>2</v>
      </c>
      <c r="AH35" s="696"/>
      <c r="AI35"/>
      <c r="AJ35" s="699"/>
      <c r="AK35" s="699"/>
      <c r="AL35" s="698">
        <f>AF35/AF25</f>
        <v>0.33333333333333331</v>
      </c>
      <c r="AM35" s="697"/>
      <c r="AN35" s="696"/>
      <c r="AP35" s="704"/>
      <c r="AQ35" s="704"/>
      <c r="AR35" s="703">
        <f>($T35+AS35)*AL35</f>
        <v>1</v>
      </c>
      <c r="AS35" s="697">
        <f>SUM(AS37:AS38)</f>
        <v>3</v>
      </c>
      <c r="AT35" s="702">
        <f t="shared" si="14"/>
        <v>0</v>
      </c>
      <c r="AV35" s="699"/>
      <c r="AW35" s="699"/>
      <c r="AX35" s="698">
        <f>AL35</f>
        <v>0.33333333333333331</v>
      </c>
      <c r="AY35" s="697">
        <f>SUM(AY37:AY38)</f>
        <v>1</v>
      </c>
      <c r="AZ35" s="696"/>
      <c r="BN35" s="58" t="str">
        <f t="shared" si="6"/>
        <v>1.2.3 都市景観</v>
      </c>
    </row>
    <row r="36" spans="2:66" ht="13.2" hidden="1" customHeight="1">
      <c r="B36" s="1100"/>
      <c r="C36" s="1107"/>
      <c r="D36" s="1108"/>
      <c r="E36" s="1103"/>
      <c r="F36" s="1103"/>
      <c r="G36" s="1103"/>
      <c r="H36" s="1103"/>
      <c r="I36" s="1104"/>
      <c r="J36" s="1105"/>
      <c r="K36" s="1105"/>
      <c r="L36" s="1105"/>
      <c r="M36" s="1105"/>
      <c r="N36" s="1105"/>
      <c r="O36" s="1106"/>
      <c r="P36" s="1023"/>
      <c r="Q36" s="1024"/>
      <c r="R36" s="1029"/>
      <c r="S36" s="1072"/>
      <c r="T36" s="696"/>
      <c r="U36" s="696"/>
      <c r="V36" s="696"/>
      <c r="W36" s="712"/>
      <c r="X36" s="1818"/>
      <c r="Y36" s="1818"/>
      <c r="Z36" s="1818"/>
      <c r="AA36" s="696"/>
      <c r="AB36" s="696"/>
      <c r="AC36"/>
      <c r="AD36" s="699"/>
      <c r="AE36" s="699"/>
      <c r="AF36" s="699"/>
      <c r="AG36" s="697"/>
      <c r="AH36" s="696"/>
      <c r="AI36"/>
      <c r="AJ36" s="699"/>
      <c r="AK36" s="699"/>
      <c r="AL36" s="699"/>
      <c r="AM36" s="697"/>
      <c r="AN36" s="696"/>
      <c r="AP36" s="704"/>
      <c r="AQ36" s="704"/>
      <c r="AR36" s="704"/>
      <c r="AS36" s="697"/>
      <c r="AT36" s="702"/>
      <c r="AV36" s="699"/>
      <c r="AW36" s="699"/>
      <c r="AX36" s="699"/>
      <c r="AY36" s="697"/>
      <c r="AZ36" s="696"/>
      <c r="BN36" s="58" t="str">
        <f t="shared" si="6"/>
        <v/>
      </c>
    </row>
    <row r="37" spans="2:66" ht="13.2" customHeight="1">
      <c r="B37" s="1100"/>
      <c r="C37" s="1109"/>
      <c r="D37" s="1110" t="str">
        <f>採点Q1!D175</f>
        <v>1.2.3.1 街並み・景観形成への配慮</v>
      </c>
      <c r="E37" s="1111"/>
      <c r="F37" s="1111"/>
      <c r="G37" s="1111"/>
      <c r="H37" s="1111"/>
      <c r="I37" s="1113" t="str">
        <f>採点Q1!D183</f>
        <v>評価する取組</v>
      </c>
      <c r="J37" s="1105"/>
      <c r="K37" s="1122">
        <f>採点Q1!E182</f>
        <v>0</v>
      </c>
      <c r="L37" s="1105"/>
      <c r="M37" s="1105"/>
      <c r="N37" s="1105"/>
      <c r="O37" s="1106"/>
      <c r="P37" s="1023">
        <f t="shared" si="12"/>
        <v>3</v>
      </c>
      <c r="Q37" s="1024">
        <f>SUM(AJ37:AM37)</f>
        <v>0.5</v>
      </c>
      <c r="R37" s="1030"/>
      <c r="S37" s="1072"/>
      <c r="T37" s="696">
        <f>採点Q1!D176</f>
        <v>3</v>
      </c>
      <c r="U37" s="696"/>
      <c r="V37" s="696">
        <f t="shared" si="2"/>
        <v>3</v>
      </c>
      <c r="W37" s="712"/>
      <c r="X37" s="1818"/>
      <c r="Y37" s="1818"/>
      <c r="Z37" s="1818"/>
      <c r="AA37" s="696">
        <v>1</v>
      </c>
      <c r="AB37" s="696"/>
      <c r="AC37"/>
      <c r="AD37" s="699"/>
      <c r="AE37" s="699"/>
      <c r="AF37" s="699"/>
      <c r="AG37" s="696">
        <f>IF($T37=0,0,1)*AA37</f>
        <v>1</v>
      </c>
      <c r="AH37" s="696">
        <f t="shared" si="3"/>
        <v>0</v>
      </c>
      <c r="AI37"/>
      <c r="AJ37" s="699"/>
      <c r="AK37" s="699"/>
      <c r="AL37" s="699"/>
      <c r="AM37" s="696">
        <f>AG37/AG35</f>
        <v>0.5</v>
      </c>
      <c r="AN37" s="696"/>
      <c r="AP37" s="704"/>
      <c r="AQ37" s="704"/>
      <c r="AR37" s="704"/>
      <c r="AS37" s="702">
        <f>T37*AM37</f>
        <v>1.5</v>
      </c>
      <c r="AT37" s="702">
        <f t="shared" si="14"/>
        <v>0</v>
      </c>
      <c r="AV37" s="699"/>
      <c r="AW37" s="699"/>
      <c r="AX37" s="699"/>
      <c r="AY37" s="696">
        <f>AM37</f>
        <v>0.5</v>
      </c>
      <c r="AZ37" s="696"/>
      <c r="BN37" s="58" t="str">
        <f t="shared" si="6"/>
        <v>1.2.3.1 街並み・景観形成への配慮</v>
      </c>
    </row>
    <row r="38" spans="2:66" ht="13.2" customHeight="1">
      <c r="B38" s="1100"/>
      <c r="C38" s="1109"/>
      <c r="D38" s="1110" t="str">
        <f>採点Q1!D194</f>
        <v>1.2.3.2 周辺との調和性</v>
      </c>
      <c r="E38" s="1111"/>
      <c r="F38" s="1111"/>
      <c r="G38" s="1111"/>
      <c r="H38" s="1112"/>
      <c r="I38" s="1113" t="str">
        <f>採点Q1!D202</f>
        <v>評価する取組</v>
      </c>
      <c r="J38" s="1105"/>
      <c r="K38" s="1122">
        <f>採点Q1!E201</f>
        <v>0</v>
      </c>
      <c r="L38" s="1105"/>
      <c r="M38" s="1105"/>
      <c r="N38" s="1105"/>
      <c r="O38" s="1106"/>
      <c r="P38" s="1023">
        <f t="shared" si="12"/>
        <v>3</v>
      </c>
      <c r="Q38" s="1024">
        <f>SUM(AJ38:AM38)</f>
        <v>0.5</v>
      </c>
      <c r="R38" s="1031"/>
      <c r="S38" s="1072"/>
      <c r="T38" s="696">
        <f>採点Q1!D195</f>
        <v>3</v>
      </c>
      <c r="U38" s="696"/>
      <c r="V38" s="696">
        <f t="shared" si="2"/>
        <v>3</v>
      </c>
      <c r="W38" s="712"/>
      <c r="X38" s="1818"/>
      <c r="Y38" s="1819"/>
      <c r="Z38" s="1819"/>
      <c r="AA38" s="696">
        <v>1</v>
      </c>
      <c r="AB38" s="696"/>
      <c r="AC38"/>
      <c r="AD38" s="699"/>
      <c r="AE38" s="700"/>
      <c r="AF38" s="700"/>
      <c r="AG38" s="696">
        <f>IF($T38=0,0,1)*AA38</f>
        <v>1</v>
      </c>
      <c r="AH38" s="696">
        <f t="shared" si="3"/>
        <v>0</v>
      </c>
      <c r="AI38"/>
      <c r="AJ38" s="699"/>
      <c r="AK38" s="700"/>
      <c r="AL38" s="700"/>
      <c r="AM38" s="696">
        <f>AG38/AG35</f>
        <v>0.5</v>
      </c>
      <c r="AN38" s="696"/>
      <c r="AP38" s="704"/>
      <c r="AQ38" s="705"/>
      <c r="AR38" s="705"/>
      <c r="AS38" s="702">
        <f>T38*AM38</f>
        <v>1.5</v>
      </c>
      <c r="AT38" s="702">
        <f t="shared" si="14"/>
        <v>0</v>
      </c>
      <c r="AV38" s="699"/>
      <c r="AW38" s="700"/>
      <c r="AX38" s="700"/>
      <c r="AY38" s="696">
        <f>AM38</f>
        <v>0.5</v>
      </c>
      <c r="AZ38" s="696"/>
      <c r="BN38" s="58" t="str">
        <f t="shared" si="6"/>
        <v>1.2.3.2 周辺との調和性</v>
      </c>
    </row>
    <row r="39" spans="2:66" ht="13.2" customHeight="1">
      <c r="B39" s="1117" t="str">
        <f>採点Q1!B208</f>
        <v>1.3 建築物における環境配慮</v>
      </c>
      <c r="C39" s="1118"/>
      <c r="D39" s="1103"/>
      <c r="E39" s="1103"/>
      <c r="F39" s="1103"/>
      <c r="G39" s="1103"/>
      <c r="H39" s="1103"/>
      <c r="I39" s="1113">
        <f>採点Q1!E215</f>
        <v>0</v>
      </c>
      <c r="J39" s="1105"/>
      <c r="K39" s="1105"/>
      <c r="L39" s="1105"/>
      <c r="M39" s="1105"/>
      <c r="N39" s="1105"/>
      <c r="O39" s="1106"/>
      <c r="P39" s="1023"/>
      <c r="Q39" s="1027">
        <f t="shared" si="4"/>
        <v>0.16666666666666666</v>
      </c>
      <c r="R39" s="1032">
        <f t="shared" ref="R39:R40" si="17">ROUNDDOWN($V39,1)</f>
        <v>3</v>
      </c>
      <c r="S39" s="1072"/>
      <c r="T39" s="696">
        <f>採点Q1!D209</f>
        <v>3</v>
      </c>
      <c r="U39" s="696"/>
      <c r="V39" s="696">
        <f t="shared" si="2"/>
        <v>3</v>
      </c>
      <c r="W39" s="712"/>
      <c r="X39" s="1818"/>
      <c r="Y39" s="696">
        <v>0.5</v>
      </c>
      <c r="Z39" s="696"/>
      <c r="AA39" s="696"/>
      <c r="AB39" s="696"/>
      <c r="AC39"/>
      <c r="AD39" s="699"/>
      <c r="AE39" s="696">
        <f t="shared" ref="AE39:AE40" si="18">IF($T39=0,0,1)*Y39</f>
        <v>0.5</v>
      </c>
      <c r="AF39" s="696">
        <f t="shared" ref="AF39:AF40" si="19">IF($T39=0,0,1)*Z39</f>
        <v>0</v>
      </c>
      <c r="AG39" s="696">
        <f t="shared" si="7"/>
        <v>0</v>
      </c>
      <c r="AH39" s="696">
        <f t="shared" si="3"/>
        <v>0</v>
      </c>
      <c r="AI39"/>
      <c r="AJ39" s="699"/>
      <c r="AK39" s="698">
        <f>AE39/AE8</f>
        <v>0.16666666666666666</v>
      </c>
      <c r="AL39" s="696"/>
      <c r="AM39" s="696"/>
      <c r="AN39" s="696"/>
      <c r="AP39" s="704"/>
      <c r="AQ39" s="703">
        <f>($T39+AR39)*AK39</f>
        <v>0.5</v>
      </c>
      <c r="AR39" s="703">
        <f t="shared" ref="AQ39:AS40" si="20">($T39+AS39)*AL39</f>
        <v>0</v>
      </c>
      <c r="AS39" s="703">
        <f t="shared" si="20"/>
        <v>0</v>
      </c>
      <c r="AT39" s="702">
        <f>T39*AN39</f>
        <v>0</v>
      </c>
      <c r="AV39" s="699"/>
      <c r="AW39" s="698">
        <f t="shared" ref="AW39:AW40" si="21">AK39</f>
        <v>0.16666666666666666</v>
      </c>
      <c r="AX39" s="696"/>
      <c r="AY39" s="696"/>
      <c r="AZ39" s="696"/>
      <c r="BN39" s="58" t="str">
        <f t="shared" si="6"/>
        <v>1.3 建築物における環境配慮</v>
      </c>
    </row>
    <row r="40" spans="2:66" ht="13.2" customHeight="1" thickBot="1">
      <c r="B40" s="1117" t="str">
        <f>採点Q1!B217</f>
        <v>1.4 環境性能に関するスマート化</v>
      </c>
      <c r="C40" s="1123"/>
      <c r="D40" s="1124"/>
      <c r="E40" s="1124"/>
      <c r="F40" s="1124"/>
      <c r="G40" s="1124"/>
      <c r="H40" s="1124"/>
      <c r="I40" s="1113" t="str">
        <f>採点Q1!D225</f>
        <v>評価する取組</v>
      </c>
      <c r="J40" s="1125"/>
      <c r="K40" s="1122">
        <f>採点Q1!E224</f>
        <v>0</v>
      </c>
      <c r="L40" s="1125"/>
      <c r="M40" s="1125"/>
      <c r="N40" s="1125"/>
      <c r="O40" s="1126"/>
      <c r="P40" s="1033"/>
      <c r="Q40" s="1034">
        <f t="shared" si="4"/>
        <v>0.16666666666666666</v>
      </c>
      <c r="R40" s="1028">
        <f t="shared" si="17"/>
        <v>3</v>
      </c>
      <c r="S40" s="1072"/>
      <c r="T40" s="696">
        <f>採点Q1!D218</f>
        <v>3</v>
      </c>
      <c r="U40" s="696"/>
      <c r="V40" s="696">
        <f t="shared" si="2"/>
        <v>3</v>
      </c>
      <c r="W40" s="712"/>
      <c r="X40" s="1819"/>
      <c r="Y40" s="696">
        <v>0.5</v>
      </c>
      <c r="Z40" s="696"/>
      <c r="AA40" s="696"/>
      <c r="AB40" s="696"/>
      <c r="AC40"/>
      <c r="AD40" s="700"/>
      <c r="AE40" s="696">
        <f t="shared" si="18"/>
        <v>0.5</v>
      </c>
      <c r="AF40" s="696">
        <f t="shared" si="19"/>
        <v>0</v>
      </c>
      <c r="AG40" s="696">
        <f t="shared" si="7"/>
        <v>0</v>
      </c>
      <c r="AH40" s="696">
        <f>IF($T40=0,0,1)*AB40</f>
        <v>0</v>
      </c>
      <c r="AI40"/>
      <c r="AJ40" s="700"/>
      <c r="AK40" s="698">
        <f>AE40/AE8</f>
        <v>0.16666666666666666</v>
      </c>
      <c r="AL40" s="696"/>
      <c r="AM40" s="696"/>
      <c r="AN40" s="696"/>
      <c r="AP40" s="705"/>
      <c r="AQ40" s="703">
        <f t="shared" si="20"/>
        <v>0.5</v>
      </c>
      <c r="AR40" s="703">
        <f t="shared" si="20"/>
        <v>0</v>
      </c>
      <c r="AS40" s="703">
        <f t="shared" si="20"/>
        <v>0</v>
      </c>
      <c r="AT40" s="702">
        <f>T40*AN40</f>
        <v>0</v>
      </c>
      <c r="AV40" s="700"/>
      <c r="AW40" s="698">
        <f t="shared" si="21"/>
        <v>0.16666666666666666</v>
      </c>
      <c r="AX40" s="696"/>
      <c r="AY40" s="696"/>
      <c r="AZ40" s="696"/>
      <c r="BN40" s="58" t="str">
        <f t="shared" si="6"/>
        <v>1.4 環境性能に関するスマート化</v>
      </c>
    </row>
    <row r="41" spans="2:66" ht="13.2" customHeight="1" thickBot="1">
      <c r="B41" s="1087" t="str">
        <f>採点Q2!B9</f>
        <v>Q-2 社会</v>
      </c>
      <c r="C41" s="1088"/>
      <c r="D41" s="1088"/>
      <c r="E41" s="1088"/>
      <c r="F41" s="1088"/>
      <c r="G41" s="1088"/>
      <c r="H41" s="1089"/>
      <c r="I41" s="1127"/>
      <c r="J41" s="1091"/>
      <c r="K41" s="1091"/>
      <c r="L41" s="1091"/>
      <c r="M41" s="1091"/>
      <c r="N41" s="1091"/>
      <c r="O41" s="1092"/>
      <c r="P41" s="1017"/>
      <c r="Q41" s="1018">
        <f>SUM(AJ41:AN41)</f>
        <v>0.33333333333333331</v>
      </c>
      <c r="R41" s="1019">
        <f>ROUNDDOWN($V41,1)</f>
        <v>3</v>
      </c>
      <c r="S41" s="1072"/>
      <c r="T41" s="696"/>
      <c r="U41" s="696">
        <f>AQ41</f>
        <v>3</v>
      </c>
      <c r="V41" s="696">
        <f t="shared" si="2"/>
        <v>3</v>
      </c>
      <c r="W41" s="712"/>
      <c r="X41" s="1817">
        <v>1</v>
      </c>
      <c r="Y41" s="696"/>
      <c r="Z41" s="696"/>
      <c r="AA41" s="696"/>
      <c r="AB41" s="696"/>
      <c r="AC41"/>
      <c r="AD41" s="698">
        <f>IF(AE41=0,0,X41)</f>
        <v>1</v>
      </c>
      <c r="AE41" s="697">
        <f>SUM(AE42:AE73)</f>
        <v>5.5</v>
      </c>
      <c r="AF41" s="696"/>
      <c r="AG41" s="696"/>
      <c r="AH41" s="696">
        <f t="shared" ref="AF41:AH46" si="22">IF($T41=0,0,1)*AB41</f>
        <v>0</v>
      </c>
      <c r="AI41"/>
      <c r="AJ41" s="698">
        <f>AD41/AD7</f>
        <v>0.33333333333333331</v>
      </c>
      <c r="AK41" s="697"/>
      <c r="AL41" s="696"/>
      <c r="AM41" s="696"/>
      <c r="AN41" s="696"/>
      <c r="AP41" s="703">
        <f>($T41+AQ41)*AJ41</f>
        <v>1</v>
      </c>
      <c r="AQ41" s="697">
        <f>SUM(AQ42:AQ73)</f>
        <v>3</v>
      </c>
      <c r="AR41" s="696"/>
      <c r="AS41" s="696"/>
      <c r="AT41" s="696"/>
      <c r="AV41" s="698">
        <f>AJ41</f>
        <v>0.33333333333333331</v>
      </c>
      <c r="AW41" s="697">
        <f>SUM(AW42:AW73)</f>
        <v>1</v>
      </c>
      <c r="AX41" s="696"/>
      <c r="AY41" s="696"/>
      <c r="AZ41" s="696"/>
      <c r="BN41" s="58" t="str">
        <f t="shared" si="6"/>
        <v>Q-2 社会</v>
      </c>
    </row>
    <row r="42" spans="2:66" ht="13.2" customHeight="1">
      <c r="B42" s="1094" t="str">
        <f>採点Q2!B12</f>
        <v>2.1 ガバナンス</v>
      </c>
      <c r="C42" s="1095"/>
      <c r="D42" s="1096"/>
      <c r="E42" s="1096"/>
      <c r="F42" s="1096"/>
      <c r="G42" s="1096"/>
      <c r="H42" s="1096"/>
      <c r="I42" s="1097"/>
      <c r="J42" s="1098"/>
      <c r="K42" s="1098"/>
      <c r="L42" s="1098"/>
      <c r="M42" s="1098"/>
      <c r="N42" s="1098"/>
      <c r="O42" s="1099"/>
      <c r="P42" s="1035"/>
      <c r="Q42" s="1036">
        <f t="shared" si="4"/>
        <v>0.18181818181818182</v>
      </c>
      <c r="R42" s="1022">
        <f>ROUNDDOWN($V42,1)</f>
        <v>3</v>
      </c>
      <c r="S42" s="1072"/>
      <c r="T42" s="696"/>
      <c r="U42" s="696">
        <f>AR42</f>
        <v>3</v>
      </c>
      <c r="V42" s="696">
        <f t="shared" si="2"/>
        <v>3</v>
      </c>
      <c r="W42" s="712"/>
      <c r="X42" s="1818"/>
      <c r="Y42" s="1817">
        <v>1</v>
      </c>
      <c r="Z42" s="696"/>
      <c r="AA42" s="696"/>
      <c r="AB42" s="696"/>
      <c r="AC42"/>
      <c r="AD42" s="699"/>
      <c r="AE42" s="698">
        <f>IF(AF42=0,0,Y42)</f>
        <v>1</v>
      </c>
      <c r="AF42" s="697">
        <f>SUM(AF43:AF49)</f>
        <v>2</v>
      </c>
      <c r="AG42" s="696"/>
      <c r="AH42" s="696">
        <f t="shared" si="22"/>
        <v>0</v>
      </c>
      <c r="AI42"/>
      <c r="AJ42" s="699"/>
      <c r="AK42" s="698">
        <f>AE42/AE41</f>
        <v>0.18181818181818182</v>
      </c>
      <c r="AL42" s="697"/>
      <c r="AM42" s="696"/>
      <c r="AN42" s="696"/>
      <c r="AP42" s="699"/>
      <c r="AQ42" s="698">
        <f>($T42+AR42)*AK42</f>
        <v>0.54545454545454541</v>
      </c>
      <c r="AR42" s="697">
        <f>SUM(AR43:AR49)</f>
        <v>3</v>
      </c>
      <c r="AS42" s="696"/>
      <c r="AT42" s="696"/>
      <c r="AV42" s="699"/>
      <c r="AW42" s="698">
        <f>AK42</f>
        <v>0.18181818181818182</v>
      </c>
      <c r="AX42" s="697">
        <f>SUM(AX43:AX49)</f>
        <v>1</v>
      </c>
      <c r="AY42" s="696"/>
      <c r="AZ42" s="696"/>
      <c r="BN42" s="58" t="str">
        <f t="shared" si="6"/>
        <v>2.1 ガバナンス</v>
      </c>
    </row>
    <row r="43" spans="2:66" ht="13.2" customHeight="1">
      <c r="B43" s="1100"/>
      <c r="C43" s="1101" t="str">
        <f>採点Q2!C13</f>
        <v>2.1.1 コンプライアンス</v>
      </c>
      <c r="D43" s="1102"/>
      <c r="E43" s="1103"/>
      <c r="F43" s="1103"/>
      <c r="G43" s="1103"/>
      <c r="H43" s="1119"/>
      <c r="I43" s="1113">
        <f>採点Q2!E20</f>
        <v>0</v>
      </c>
      <c r="J43" s="1105"/>
      <c r="K43" s="1105"/>
      <c r="L43" s="1105"/>
      <c r="M43" s="1105"/>
      <c r="N43" s="1105"/>
      <c r="O43" s="1106"/>
      <c r="P43" s="1037">
        <f t="shared" ref="P43:P49" si="23">ROUNDDOWN($V43,1)</f>
        <v>3</v>
      </c>
      <c r="Q43" s="1024">
        <f t="shared" si="4"/>
        <v>0.5</v>
      </c>
      <c r="R43" s="1038"/>
      <c r="S43" s="1072"/>
      <c r="T43" s="696">
        <f>採点Q2!D14</f>
        <v>3</v>
      </c>
      <c r="U43" s="696"/>
      <c r="V43" s="696">
        <f t="shared" si="2"/>
        <v>3</v>
      </c>
      <c r="W43" s="712"/>
      <c r="X43" s="1818"/>
      <c r="Y43" s="1818"/>
      <c r="Z43" s="696">
        <v>1</v>
      </c>
      <c r="AA43" s="696"/>
      <c r="AB43" s="696"/>
      <c r="AC43"/>
      <c r="AD43" s="699"/>
      <c r="AE43" s="699"/>
      <c r="AF43" s="696">
        <f t="shared" si="22"/>
        <v>1</v>
      </c>
      <c r="AG43" s="696">
        <f t="shared" si="22"/>
        <v>0</v>
      </c>
      <c r="AH43" s="696">
        <f t="shared" si="22"/>
        <v>0</v>
      </c>
      <c r="AI43"/>
      <c r="AJ43" s="699"/>
      <c r="AK43" s="699"/>
      <c r="AL43" s="696">
        <f>AF43/AF42</f>
        <v>0.5</v>
      </c>
      <c r="AM43" s="696"/>
      <c r="AN43" s="696"/>
      <c r="AP43" s="699"/>
      <c r="AQ43" s="699"/>
      <c r="AR43" s="696">
        <f t="shared" ref="AR43:AR44" si="24">($T43+AS43)*AL43</f>
        <v>1.5</v>
      </c>
      <c r="AS43" s="696"/>
      <c r="AT43" s="696"/>
      <c r="AV43" s="699"/>
      <c r="AW43" s="699"/>
      <c r="AX43" s="696">
        <f t="shared" ref="AX43:AX44" si="25">AL43</f>
        <v>0.5</v>
      </c>
      <c r="AY43" s="696"/>
      <c r="AZ43" s="696"/>
      <c r="BN43" s="58" t="str">
        <f t="shared" si="6"/>
        <v>2.1.1 コンプライアンス</v>
      </c>
    </row>
    <row r="44" spans="2:66" ht="13.2" customHeight="1">
      <c r="B44" s="1100"/>
      <c r="C44" s="1101" t="str">
        <f>採点Q2!C22</f>
        <v>2.1.2 エリアマネジメント</v>
      </c>
      <c r="D44" s="1102"/>
      <c r="E44" s="1103"/>
      <c r="F44" s="1103"/>
      <c r="G44" s="1103"/>
      <c r="H44" s="1119"/>
      <c r="I44" s="1104"/>
      <c r="J44" s="1105"/>
      <c r="K44" s="1105"/>
      <c r="L44" s="1105"/>
      <c r="M44" s="1105"/>
      <c r="N44" s="1105"/>
      <c r="O44" s="1106"/>
      <c r="P44" s="1037">
        <f t="shared" si="23"/>
        <v>3</v>
      </c>
      <c r="Q44" s="1024">
        <f t="shared" si="4"/>
        <v>0.5</v>
      </c>
      <c r="R44" s="1038"/>
      <c r="S44" s="1072"/>
      <c r="T44" s="696"/>
      <c r="U44" s="696">
        <f>AS44</f>
        <v>3</v>
      </c>
      <c r="V44" s="696">
        <f t="shared" si="2"/>
        <v>3</v>
      </c>
      <c r="W44" s="712"/>
      <c r="X44" s="1818"/>
      <c r="Y44" s="1818"/>
      <c r="Z44" s="1817">
        <v>1</v>
      </c>
      <c r="AA44" s="696"/>
      <c r="AB44" s="696"/>
      <c r="AC44"/>
      <c r="AD44" s="699"/>
      <c r="AE44" s="699"/>
      <c r="AF44" s="698">
        <f>IF(AG44=0,0,Z44)</f>
        <v>1</v>
      </c>
      <c r="AG44" s="697">
        <f>SUM(AG45:AG49)</f>
        <v>3</v>
      </c>
      <c r="AH44" s="696"/>
      <c r="AI44"/>
      <c r="AJ44" s="699"/>
      <c r="AK44" s="699"/>
      <c r="AL44" s="698">
        <f>AF44/AF42</f>
        <v>0.5</v>
      </c>
      <c r="AM44" s="697"/>
      <c r="AN44" s="696"/>
      <c r="AP44" s="699"/>
      <c r="AQ44" s="699"/>
      <c r="AR44" s="698">
        <f t="shared" si="24"/>
        <v>1.5</v>
      </c>
      <c r="AS44" s="697">
        <f>SUM(AS45:AS49)</f>
        <v>3</v>
      </c>
      <c r="AT44" s="696"/>
      <c r="AV44" s="699"/>
      <c r="AW44" s="699"/>
      <c r="AX44" s="698">
        <f t="shared" si="25"/>
        <v>0.5</v>
      </c>
      <c r="AY44" s="697">
        <f>SUM(AY45:AY49)</f>
        <v>1</v>
      </c>
      <c r="AZ44" s="696"/>
      <c r="BN44" s="58" t="str">
        <f t="shared" si="6"/>
        <v>2.1.2 エリアマネジメント</v>
      </c>
    </row>
    <row r="45" spans="2:66" ht="13.2" customHeight="1">
      <c r="B45" s="1100"/>
      <c r="C45" s="1120"/>
      <c r="D45" s="1110" t="str">
        <f>採点Q2!D23</f>
        <v>2.1.2.1 運営・組織体制</v>
      </c>
      <c r="E45" s="1111"/>
      <c r="F45" s="1111"/>
      <c r="G45" s="1111"/>
      <c r="H45" s="1119"/>
      <c r="I45" s="1113">
        <f>採点Q2!E30</f>
        <v>0</v>
      </c>
      <c r="J45" s="1105"/>
      <c r="K45" s="1105"/>
      <c r="L45" s="1105"/>
      <c r="M45" s="1105"/>
      <c r="N45" s="1105"/>
      <c r="O45" s="1106"/>
      <c r="P45" s="1037">
        <f t="shared" si="23"/>
        <v>3</v>
      </c>
      <c r="Q45" s="1024">
        <f t="shared" si="4"/>
        <v>0.33333333333333331</v>
      </c>
      <c r="R45" s="1038"/>
      <c r="S45" s="1072"/>
      <c r="T45" s="696">
        <f>採点Q2!D24</f>
        <v>3</v>
      </c>
      <c r="U45" s="696"/>
      <c r="V45" s="696">
        <f t="shared" si="2"/>
        <v>3</v>
      </c>
      <c r="W45" s="712"/>
      <c r="X45" s="1818"/>
      <c r="Y45" s="1818"/>
      <c r="Z45" s="1818"/>
      <c r="AA45" s="696">
        <v>1</v>
      </c>
      <c r="AB45" s="696"/>
      <c r="AC45"/>
      <c r="AD45" s="699"/>
      <c r="AE45" s="699"/>
      <c r="AF45" s="699"/>
      <c r="AG45" s="696">
        <f t="shared" si="22"/>
        <v>1</v>
      </c>
      <c r="AH45" s="696">
        <f t="shared" si="22"/>
        <v>0</v>
      </c>
      <c r="AI45"/>
      <c r="AJ45" s="699"/>
      <c r="AK45" s="699"/>
      <c r="AL45" s="699"/>
      <c r="AM45" s="696">
        <f>AG45/AG44</f>
        <v>0.33333333333333331</v>
      </c>
      <c r="AN45" s="696"/>
      <c r="AP45" s="699"/>
      <c r="AQ45" s="699"/>
      <c r="AR45" s="699"/>
      <c r="AS45" s="696">
        <f>($T45+AT45)*AM45</f>
        <v>1</v>
      </c>
      <c r="AT45" s="696"/>
      <c r="AV45" s="699"/>
      <c r="AW45" s="699"/>
      <c r="AX45" s="699"/>
      <c r="AY45" s="696">
        <f t="shared" ref="AY45:AY47" si="26">AM45</f>
        <v>0.33333333333333331</v>
      </c>
      <c r="AZ45" s="696"/>
      <c r="BN45" s="58" t="str">
        <f t="shared" si="6"/>
        <v>2.1.2.1 運営・組織体制</v>
      </c>
    </row>
    <row r="46" spans="2:66" ht="13.2" customHeight="1">
      <c r="B46" s="1100"/>
      <c r="C46" s="1109"/>
      <c r="D46" s="1110" t="str">
        <f>採点Q2!D32</f>
        <v>2.1.2.2 資金力</v>
      </c>
      <c r="E46" s="1111"/>
      <c r="F46" s="1111"/>
      <c r="G46" s="1111"/>
      <c r="H46" s="1119"/>
      <c r="I46" s="1113" t="str">
        <f>採点Q2!D40</f>
        <v>評価する取組</v>
      </c>
      <c r="J46" s="1105"/>
      <c r="K46" s="1122">
        <f>採点Q2!E39</f>
        <v>0</v>
      </c>
      <c r="L46" s="1105"/>
      <c r="M46" s="1105"/>
      <c r="N46" s="1105"/>
      <c r="O46" s="1106"/>
      <c r="P46" s="1037">
        <f t="shared" si="23"/>
        <v>3</v>
      </c>
      <c r="Q46" s="1024">
        <f t="shared" si="4"/>
        <v>0.33333333333333331</v>
      </c>
      <c r="R46" s="1038"/>
      <c r="S46" s="1072"/>
      <c r="T46" s="696">
        <f>採点Q2!D33</f>
        <v>3</v>
      </c>
      <c r="U46" s="696"/>
      <c r="V46" s="696">
        <f t="shared" si="2"/>
        <v>3</v>
      </c>
      <c r="W46" s="712"/>
      <c r="X46" s="1818"/>
      <c r="Y46" s="1818"/>
      <c r="Z46" s="1818"/>
      <c r="AA46" s="696">
        <v>1</v>
      </c>
      <c r="AB46" s="696"/>
      <c r="AC46"/>
      <c r="AD46" s="699"/>
      <c r="AE46" s="699"/>
      <c r="AF46" s="699"/>
      <c r="AG46" s="696">
        <f t="shared" si="22"/>
        <v>1</v>
      </c>
      <c r="AH46" s="696">
        <f t="shared" si="22"/>
        <v>0</v>
      </c>
      <c r="AI46"/>
      <c r="AJ46" s="699"/>
      <c r="AK46" s="699"/>
      <c r="AL46" s="699"/>
      <c r="AM46" s="696">
        <f>AG46/AG44</f>
        <v>0.33333333333333331</v>
      </c>
      <c r="AN46" s="696"/>
      <c r="AP46" s="699"/>
      <c r="AQ46" s="699"/>
      <c r="AR46" s="699"/>
      <c r="AS46" s="696">
        <f t="shared" ref="AS46:AS47" si="27">($T46+AT46)*AM46</f>
        <v>1</v>
      </c>
      <c r="AT46" s="696"/>
      <c r="AV46" s="699"/>
      <c r="AW46" s="699"/>
      <c r="AX46" s="699"/>
      <c r="AY46" s="696">
        <f t="shared" si="26"/>
        <v>0.33333333333333331</v>
      </c>
      <c r="AZ46" s="696"/>
      <c r="BN46" s="58" t="str">
        <f t="shared" si="6"/>
        <v>2.1.2.2 資金力</v>
      </c>
    </row>
    <row r="47" spans="2:66" ht="13.2" customHeight="1">
      <c r="B47" s="1100"/>
      <c r="C47" s="1109"/>
      <c r="D47" s="1110" t="str">
        <f>採点Q2!D48</f>
        <v>2.1.2.3 維持管理</v>
      </c>
      <c r="E47" s="1111"/>
      <c r="F47" s="1111"/>
      <c r="G47" s="1111"/>
      <c r="H47" s="1119"/>
      <c r="I47" s="1104"/>
      <c r="J47" s="1105"/>
      <c r="K47" s="1105"/>
      <c r="L47" s="1105"/>
      <c r="M47" s="1105"/>
      <c r="N47" s="1105"/>
      <c r="O47" s="1106"/>
      <c r="P47" s="1037">
        <f t="shared" si="23"/>
        <v>3</v>
      </c>
      <c r="Q47" s="1024">
        <f t="shared" si="4"/>
        <v>0.33333333333333331</v>
      </c>
      <c r="R47" s="1038"/>
      <c r="S47" s="1072"/>
      <c r="T47" s="696"/>
      <c r="U47" s="696">
        <f>AT47</f>
        <v>3</v>
      </c>
      <c r="V47" s="696">
        <f t="shared" si="2"/>
        <v>3</v>
      </c>
      <c r="W47" s="712"/>
      <c r="X47" s="1818"/>
      <c r="Y47" s="1818"/>
      <c r="Z47" s="1818"/>
      <c r="AA47" s="1817">
        <v>1</v>
      </c>
      <c r="AB47" s="696"/>
      <c r="AC47"/>
      <c r="AD47" s="699"/>
      <c r="AE47" s="699"/>
      <c r="AF47" s="699"/>
      <c r="AG47" s="698">
        <f>IF(AH47=0,0,AA47)</f>
        <v>1</v>
      </c>
      <c r="AH47" s="697">
        <f>SUM(AH48:AH49)</f>
        <v>2</v>
      </c>
      <c r="AI47"/>
      <c r="AJ47" s="699"/>
      <c r="AK47" s="699"/>
      <c r="AL47" s="699"/>
      <c r="AM47" s="698">
        <f>AG47/AG44</f>
        <v>0.33333333333333331</v>
      </c>
      <c r="AN47" s="697"/>
      <c r="AP47" s="699"/>
      <c r="AQ47" s="699"/>
      <c r="AR47" s="699"/>
      <c r="AS47" s="698">
        <f t="shared" si="27"/>
        <v>1</v>
      </c>
      <c r="AT47" s="697">
        <f>SUM(AT48:AT49)</f>
        <v>3</v>
      </c>
      <c r="AV47" s="699"/>
      <c r="AW47" s="699"/>
      <c r="AX47" s="699"/>
      <c r="AY47" s="698">
        <f t="shared" si="26"/>
        <v>0.33333333333333331</v>
      </c>
      <c r="AZ47" s="697">
        <f>SUM(AZ48:AZ49)</f>
        <v>1</v>
      </c>
      <c r="BN47" s="58" t="str">
        <f t="shared" si="6"/>
        <v>2.1.2.3 維持管理</v>
      </c>
    </row>
    <row r="48" spans="2:66" ht="13.2" customHeight="1">
      <c r="B48" s="1100"/>
      <c r="C48" s="1109"/>
      <c r="D48" s="1107"/>
      <c r="E48" s="1115" t="str">
        <f>採点Q2!D49</f>
        <v>１) 街区施設等の維持管理</v>
      </c>
      <c r="F48" s="1112"/>
      <c r="G48" s="1112"/>
      <c r="H48" s="1112"/>
      <c r="I48" s="1113">
        <f>採点Q2!E56</f>
        <v>0</v>
      </c>
      <c r="J48" s="1105"/>
      <c r="K48" s="1105"/>
      <c r="L48" s="1105"/>
      <c r="M48" s="1105"/>
      <c r="N48" s="1105"/>
      <c r="O48" s="1106"/>
      <c r="P48" s="1037">
        <f t="shared" si="23"/>
        <v>3</v>
      </c>
      <c r="Q48" s="1024">
        <f t="shared" si="4"/>
        <v>0.5</v>
      </c>
      <c r="R48" s="1038"/>
      <c r="S48" s="1072"/>
      <c r="T48" s="696">
        <f>採点Q2!D50</f>
        <v>3</v>
      </c>
      <c r="U48" s="696"/>
      <c r="V48" s="696">
        <f t="shared" si="2"/>
        <v>3</v>
      </c>
      <c r="W48" s="712"/>
      <c r="X48" s="1818"/>
      <c r="Y48" s="1818"/>
      <c r="Z48" s="1818"/>
      <c r="AA48" s="1818"/>
      <c r="AB48" s="696">
        <v>1</v>
      </c>
      <c r="AC48"/>
      <c r="AD48" s="699"/>
      <c r="AE48" s="699"/>
      <c r="AF48" s="699"/>
      <c r="AG48" s="699"/>
      <c r="AH48" s="696">
        <f t="shared" si="3"/>
        <v>1</v>
      </c>
      <c r="AI48"/>
      <c r="AJ48" s="699"/>
      <c r="AK48" s="699"/>
      <c r="AL48" s="699"/>
      <c r="AM48" s="699"/>
      <c r="AN48" s="696">
        <f>AH48/AH47</f>
        <v>0.5</v>
      </c>
      <c r="AP48" s="699"/>
      <c r="AQ48" s="699"/>
      <c r="AR48" s="699"/>
      <c r="AS48" s="699"/>
      <c r="AT48" s="696">
        <f t="shared" ref="AQ48:AT65" si="28">($T48+AU48)*AN48</f>
        <v>1.5</v>
      </c>
      <c r="AV48" s="699"/>
      <c r="AW48" s="699"/>
      <c r="AX48" s="699"/>
      <c r="AY48" s="699"/>
      <c r="AZ48" s="696">
        <f t="shared" ref="AZ48" si="29">AN48</f>
        <v>0.5</v>
      </c>
      <c r="BN48" s="58" t="str">
        <f t="shared" si="6"/>
        <v>１) 街区施設等の維持管理</v>
      </c>
    </row>
    <row r="49" spans="2:66" ht="13.2" customHeight="1">
      <c r="B49" s="1100"/>
      <c r="C49" s="1109"/>
      <c r="D49" s="1107"/>
      <c r="E49" s="1115" t="str">
        <f>採点Q2!D57</f>
        <v>2) グリーンインフラの維持管理</v>
      </c>
      <c r="F49" s="1112"/>
      <c r="G49" s="1112"/>
      <c r="H49" s="1112"/>
      <c r="I49" s="1113">
        <f>採点Q2!E64</f>
        <v>0</v>
      </c>
      <c r="J49" s="1105"/>
      <c r="K49" s="1105"/>
      <c r="L49" s="1105"/>
      <c r="M49" s="1105"/>
      <c r="N49" s="1105"/>
      <c r="O49" s="1106"/>
      <c r="P49" s="1037">
        <f t="shared" si="23"/>
        <v>3</v>
      </c>
      <c r="Q49" s="1024">
        <f>SUM(AJ49:AN49)</f>
        <v>0.5</v>
      </c>
      <c r="R49" s="1039"/>
      <c r="S49" s="1072"/>
      <c r="T49" s="696">
        <f>採点Q2!D58</f>
        <v>3</v>
      </c>
      <c r="U49" s="696"/>
      <c r="V49" s="696">
        <f t="shared" si="2"/>
        <v>3</v>
      </c>
      <c r="W49" s="712"/>
      <c r="X49" s="1818"/>
      <c r="Y49" s="1819"/>
      <c r="Z49" s="1819"/>
      <c r="AA49" s="1819"/>
      <c r="AB49" s="696">
        <v>1</v>
      </c>
      <c r="AC49"/>
      <c r="AD49" s="699"/>
      <c r="AE49" s="700"/>
      <c r="AF49" s="700"/>
      <c r="AG49" s="700"/>
      <c r="AH49" s="696">
        <f t="shared" si="3"/>
        <v>1</v>
      </c>
      <c r="AI49"/>
      <c r="AJ49" s="699"/>
      <c r="AK49" s="700"/>
      <c r="AL49" s="700"/>
      <c r="AM49" s="700"/>
      <c r="AN49" s="696">
        <f>AH49/AH47</f>
        <v>0.5</v>
      </c>
      <c r="AP49" s="699"/>
      <c r="AQ49" s="700"/>
      <c r="AR49" s="700"/>
      <c r="AS49" s="700"/>
      <c r="AT49" s="696">
        <f t="shared" si="28"/>
        <v>1.5</v>
      </c>
      <c r="AV49" s="699"/>
      <c r="AW49" s="700"/>
      <c r="AX49" s="700"/>
      <c r="AY49" s="700"/>
      <c r="AZ49" s="696">
        <f>AN49</f>
        <v>0.5</v>
      </c>
      <c r="BN49" s="58" t="str">
        <f t="shared" si="6"/>
        <v>2) グリーンインフラの維持管理</v>
      </c>
    </row>
    <row r="50" spans="2:66" ht="13.2" customHeight="1">
      <c r="B50" s="1117" t="str">
        <f>採点Q2!B66</f>
        <v>2.2 生活利便</v>
      </c>
      <c r="C50" s="1118"/>
      <c r="D50" s="1103"/>
      <c r="E50" s="1103"/>
      <c r="F50" s="1103"/>
      <c r="G50" s="1103"/>
      <c r="H50" s="1103"/>
      <c r="I50" s="1104"/>
      <c r="J50" s="1105"/>
      <c r="K50" s="1105"/>
      <c r="L50" s="1105"/>
      <c r="M50" s="1105"/>
      <c r="N50" s="1105"/>
      <c r="O50" s="1106"/>
      <c r="P50" s="1037"/>
      <c r="Q50" s="1024">
        <f t="shared" si="4"/>
        <v>0.18181818181818182</v>
      </c>
      <c r="R50" s="1022">
        <f>ROUNDDOWN($V50,1)</f>
        <v>3</v>
      </c>
      <c r="S50" s="1072"/>
      <c r="T50" s="696"/>
      <c r="U50" s="696">
        <f>AR50</f>
        <v>3</v>
      </c>
      <c r="V50" s="696">
        <f t="shared" si="2"/>
        <v>3</v>
      </c>
      <c r="W50" s="712"/>
      <c r="X50" s="1818"/>
      <c r="Y50" s="1817">
        <v>1</v>
      </c>
      <c r="Z50" s="696"/>
      <c r="AA50" s="696"/>
      <c r="AB50" s="696"/>
      <c r="AC50"/>
      <c r="AD50" s="699"/>
      <c r="AE50" s="698">
        <f>IF(AF50=0,0,Y50)</f>
        <v>1</v>
      </c>
      <c r="AF50" s="697">
        <f>SUM(AF51:AF54)</f>
        <v>4</v>
      </c>
      <c r="AG50" s="696"/>
      <c r="AH50" s="696">
        <f t="shared" si="3"/>
        <v>0</v>
      </c>
      <c r="AI50"/>
      <c r="AJ50" s="699"/>
      <c r="AK50" s="698">
        <f>AE50/AE41</f>
        <v>0.18181818181818182</v>
      </c>
      <c r="AL50" s="697"/>
      <c r="AM50" s="696"/>
      <c r="AN50" s="696"/>
      <c r="AP50" s="699"/>
      <c r="AQ50" s="698">
        <f t="shared" ref="AQ50" si="30">($T50+AR50)*AK50</f>
        <v>0.54545454545454541</v>
      </c>
      <c r="AR50" s="697">
        <f>SUM(AR51:AR54)</f>
        <v>3</v>
      </c>
      <c r="AS50" s="696"/>
      <c r="AT50" s="696"/>
      <c r="AV50" s="699"/>
      <c r="AW50" s="698">
        <f>AK50</f>
        <v>0.18181818181818182</v>
      </c>
      <c r="AX50" s="697">
        <f>SUM(AX51:AX54)</f>
        <v>1</v>
      </c>
      <c r="AY50" s="696"/>
      <c r="AZ50" s="696"/>
      <c r="BN50" s="58" t="str">
        <f t="shared" si="6"/>
        <v>2.2 生活利便</v>
      </c>
    </row>
    <row r="51" spans="2:66" ht="13.2" customHeight="1">
      <c r="B51" s="1100"/>
      <c r="C51" s="1110" t="str">
        <f>採点Q2!C67</f>
        <v>2.2.1 商業施設</v>
      </c>
      <c r="D51" s="1102"/>
      <c r="E51" s="1103"/>
      <c r="F51" s="1103"/>
      <c r="G51" s="1103"/>
      <c r="H51" s="1119"/>
      <c r="I51" s="1113">
        <f>採点Q2!E74</f>
        <v>0</v>
      </c>
      <c r="J51" s="1105"/>
      <c r="K51" s="1105"/>
      <c r="L51" s="1105"/>
      <c r="M51" s="1105"/>
      <c r="N51" s="1105"/>
      <c r="O51" s="1106"/>
      <c r="P51" s="1037">
        <f t="shared" ref="P51:P54" si="31">ROUNDDOWN($V51,1)</f>
        <v>3</v>
      </c>
      <c r="Q51" s="1024">
        <f t="shared" si="4"/>
        <v>0.25</v>
      </c>
      <c r="R51" s="1038"/>
      <c r="S51" s="1072"/>
      <c r="T51" s="696">
        <f>採点Q2!D68</f>
        <v>3</v>
      </c>
      <c r="U51" s="696"/>
      <c r="V51" s="696">
        <f t="shared" si="2"/>
        <v>3</v>
      </c>
      <c r="W51" s="712"/>
      <c r="X51" s="1818"/>
      <c r="Y51" s="1818"/>
      <c r="Z51" s="696">
        <v>1</v>
      </c>
      <c r="AA51" s="696"/>
      <c r="AB51" s="696"/>
      <c r="AC51"/>
      <c r="AD51" s="699"/>
      <c r="AE51" s="699"/>
      <c r="AF51" s="696">
        <f t="shared" ref="AF51:AF54" si="32">IF($T51=0,0,1)*Z51</f>
        <v>1</v>
      </c>
      <c r="AG51" s="696">
        <f t="shared" ref="AG51:AG54" si="33">IF($T51=0,0,1)*AA51</f>
        <v>0</v>
      </c>
      <c r="AH51" s="696">
        <f t="shared" si="3"/>
        <v>0</v>
      </c>
      <c r="AI51"/>
      <c r="AJ51" s="699"/>
      <c r="AK51" s="699"/>
      <c r="AL51" s="696">
        <f>AF51/AF50</f>
        <v>0.25</v>
      </c>
      <c r="AM51" s="696"/>
      <c r="AN51" s="696"/>
      <c r="AP51" s="699"/>
      <c r="AQ51" s="699"/>
      <c r="AR51" s="696">
        <f t="shared" si="28"/>
        <v>0.75</v>
      </c>
      <c r="AS51" s="696"/>
      <c r="AT51" s="696"/>
      <c r="AV51" s="699"/>
      <c r="AW51" s="699"/>
      <c r="AX51" s="696">
        <f t="shared" ref="AX51:AX54" si="34">AL51</f>
        <v>0.25</v>
      </c>
      <c r="AY51" s="696"/>
      <c r="AZ51" s="696"/>
      <c r="BN51" s="58" t="str">
        <f t="shared" si="6"/>
        <v>2.2.1 商業施設</v>
      </c>
    </row>
    <row r="52" spans="2:66" ht="13.2" customHeight="1">
      <c r="B52" s="1100"/>
      <c r="C52" s="1110" t="str">
        <f>採点Q2!C76</f>
        <v>2.2.2 公共交通施設</v>
      </c>
      <c r="D52" s="1102"/>
      <c r="E52" s="1103"/>
      <c r="F52" s="1103"/>
      <c r="G52" s="1103"/>
      <c r="H52" s="1119"/>
      <c r="I52" s="1113">
        <f>採点Q2!E83</f>
        <v>0</v>
      </c>
      <c r="J52" s="1105"/>
      <c r="K52" s="1105"/>
      <c r="L52" s="1105"/>
      <c r="M52" s="1105"/>
      <c r="N52" s="1105"/>
      <c r="O52" s="1106"/>
      <c r="P52" s="1037">
        <f t="shared" si="31"/>
        <v>3</v>
      </c>
      <c r="Q52" s="1024">
        <f t="shared" si="4"/>
        <v>0.25</v>
      </c>
      <c r="R52" s="1038"/>
      <c r="S52" s="1072"/>
      <c r="T52" s="696">
        <f>採点Q2!D77</f>
        <v>3</v>
      </c>
      <c r="U52" s="696"/>
      <c r="V52" s="696">
        <f t="shared" si="2"/>
        <v>3</v>
      </c>
      <c r="W52" s="712"/>
      <c r="X52" s="1818"/>
      <c r="Y52" s="1818"/>
      <c r="Z52" s="696">
        <v>1</v>
      </c>
      <c r="AA52" s="696"/>
      <c r="AB52" s="696"/>
      <c r="AC52"/>
      <c r="AD52" s="699"/>
      <c r="AE52" s="699"/>
      <c r="AF52" s="696">
        <f t="shared" si="32"/>
        <v>1</v>
      </c>
      <c r="AG52" s="696">
        <f t="shared" si="33"/>
        <v>0</v>
      </c>
      <c r="AH52" s="696">
        <f t="shared" si="3"/>
        <v>0</v>
      </c>
      <c r="AI52"/>
      <c r="AJ52" s="699"/>
      <c r="AK52" s="699"/>
      <c r="AL52" s="696">
        <f>AF52/AF50</f>
        <v>0.25</v>
      </c>
      <c r="AM52" s="696"/>
      <c r="AN52" s="696"/>
      <c r="AP52" s="699"/>
      <c r="AQ52" s="699"/>
      <c r="AR52" s="696">
        <f t="shared" si="28"/>
        <v>0.75</v>
      </c>
      <c r="AS52" s="696"/>
      <c r="AT52" s="696"/>
      <c r="AV52" s="699"/>
      <c r="AW52" s="699"/>
      <c r="AX52" s="696">
        <f t="shared" si="34"/>
        <v>0.25</v>
      </c>
      <c r="AY52" s="696"/>
      <c r="AZ52" s="696"/>
      <c r="BN52" s="58" t="str">
        <f t="shared" si="6"/>
        <v>2.2.2 公共交通施設</v>
      </c>
    </row>
    <row r="53" spans="2:66" ht="13.2" customHeight="1">
      <c r="B53" s="1100"/>
      <c r="C53" s="1110" t="str">
        <f>採点Q2!C85</f>
        <v>2.2.3 教育施設</v>
      </c>
      <c r="D53" s="1102"/>
      <c r="E53" s="1103"/>
      <c r="F53" s="1103"/>
      <c r="G53" s="1103"/>
      <c r="H53" s="1119"/>
      <c r="I53" s="1113">
        <f>採点Q2!E92</f>
        <v>0</v>
      </c>
      <c r="J53" s="1105"/>
      <c r="K53" s="1105"/>
      <c r="L53" s="1105"/>
      <c r="M53" s="1105"/>
      <c r="N53" s="1105"/>
      <c r="O53" s="1106"/>
      <c r="P53" s="1037">
        <f t="shared" si="31"/>
        <v>3</v>
      </c>
      <c r="Q53" s="1024">
        <f t="shared" si="4"/>
        <v>0.25</v>
      </c>
      <c r="R53" s="1038"/>
      <c r="S53" s="1072"/>
      <c r="T53" s="696">
        <f>採点Q2!D86</f>
        <v>3</v>
      </c>
      <c r="U53" s="696"/>
      <c r="V53" s="696">
        <f t="shared" si="2"/>
        <v>3</v>
      </c>
      <c r="W53" s="712"/>
      <c r="X53" s="1818"/>
      <c r="Y53" s="1818"/>
      <c r="Z53" s="696">
        <v>1</v>
      </c>
      <c r="AA53" s="696"/>
      <c r="AB53" s="696"/>
      <c r="AC53"/>
      <c r="AD53" s="699"/>
      <c r="AE53" s="699"/>
      <c r="AF53" s="696">
        <f t="shared" si="32"/>
        <v>1</v>
      </c>
      <c r="AG53" s="696">
        <f t="shared" si="33"/>
        <v>0</v>
      </c>
      <c r="AH53" s="696">
        <f t="shared" si="3"/>
        <v>0</v>
      </c>
      <c r="AI53"/>
      <c r="AJ53" s="699"/>
      <c r="AK53" s="699"/>
      <c r="AL53" s="698">
        <f>AF53/AF50</f>
        <v>0.25</v>
      </c>
      <c r="AM53" s="696"/>
      <c r="AN53" s="696"/>
      <c r="AP53" s="699"/>
      <c r="AQ53" s="699"/>
      <c r="AR53" s="698">
        <f t="shared" si="28"/>
        <v>0.75</v>
      </c>
      <c r="AS53" s="696"/>
      <c r="AT53" s="696"/>
      <c r="AV53" s="699"/>
      <c r="AW53" s="699"/>
      <c r="AX53" s="698">
        <f t="shared" si="34"/>
        <v>0.25</v>
      </c>
      <c r="AY53" s="696"/>
      <c r="AZ53" s="696"/>
      <c r="BN53" s="58" t="str">
        <f t="shared" si="6"/>
        <v>2.2.3 教育施設</v>
      </c>
    </row>
    <row r="54" spans="2:66" ht="13.2" customHeight="1">
      <c r="B54" s="1100"/>
      <c r="C54" s="1110" t="str">
        <f>採点Q2!C94</f>
        <v>2.2.4 行政施設</v>
      </c>
      <c r="D54" s="1102"/>
      <c r="E54" s="1103"/>
      <c r="F54" s="1103"/>
      <c r="G54" s="1103"/>
      <c r="H54" s="1119"/>
      <c r="I54" s="1113">
        <f>採点Q2!E101</f>
        <v>0</v>
      </c>
      <c r="J54" s="1105"/>
      <c r="K54" s="1105"/>
      <c r="L54" s="1105"/>
      <c r="M54" s="1105"/>
      <c r="N54" s="1105"/>
      <c r="O54" s="1106"/>
      <c r="P54" s="1037">
        <f t="shared" si="31"/>
        <v>3</v>
      </c>
      <c r="Q54" s="1024">
        <f t="shared" si="4"/>
        <v>0.25</v>
      </c>
      <c r="R54" s="1039"/>
      <c r="S54" s="1072"/>
      <c r="T54" s="696">
        <f>採点Q2!D95</f>
        <v>3</v>
      </c>
      <c r="U54" s="696"/>
      <c r="V54" s="696">
        <f t="shared" si="2"/>
        <v>3</v>
      </c>
      <c r="W54" s="712"/>
      <c r="X54" s="1818"/>
      <c r="Y54" s="1819"/>
      <c r="Z54" s="696">
        <v>1</v>
      </c>
      <c r="AA54" s="696"/>
      <c r="AB54" s="696"/>
      <c r="AC54"/>
      <c r="AD54" s="699"/>
      <c r="AE54" s="700"/>
      <c r="AF54" s="696">
        <f t="shared" si="32"/>
        <v>1</v>
      </c>
      <c r="AG54" s="696">
        <f t="shared" si="33"/>
        <v>0</v>
      </c>
      <c r="AH54" s="696">
        <f t="shared" si="3"/>
        <v>0</v>
      </c>
      <c r="AI54"/>
      <c r="AJ54" s="699"/>
      <c r="AK54" s="700"/>
      <c r="AL54" s="698">
        <f>AF54/AF50</f>
        <v>0.25</v>
      </c>
      <c r="AM54" s="696"/>
      <c r="AN54" s="696"/>
      <c r="AP54" s="699"/>
      <c r="AQ54" s="700"/>
      <c r="AR54" s="698">
        <f t="shared" si="28"/>
        <v>0.75</v>
      </c>
      <c r="AS54" s="696"/>
      <c r="AT54" s="696"/>
      <c r="AV54" s="699"/>
      <c r="AW54" s="700"/>
      <c r="AX54" s="698">
        <f t="shared" si="34"/>
        <v>0.25</v>
      </c>
      <c r="AY54" s="696"/>
      <c r="AZ54" s="696"/>
      <c r="BN54" s="58" t="str">
        <f t="shared" si="6"/>
        <v>2.2.4 行政施設</v>
      </c>
    </row>
    <row r="55" spans="2:66" ht="13.2" customHeight="1">
      <c r="B55" s="1117" t="str">
        <f>採点Q2!B103</f>
        <v>2.3 健康福祉</v>
      </c>
      <c r="C55" s="1118"/>
      <c r="D55" s="1103"/>
      <c r="E55" s="1103"/>
      <c r="F55" s="1103"/>
      <c r="G55" s="1103"/>
      <c r="H55" s="1103"/>
      <c r="I55" s="1104"/>
      <c r="J55" s="1105"/>
      <c r="K55" s="1105"/>
      <c r="L55" s="1105"/>
      <c r="M55" s="1105"/>
      <c r="N55" s="1105"/>
      <c r="O55" s="1106"/>
      <c r="P55" s="1037"/>
      <c r="Q55" s="1024">
        <f t="shared" si="4"/>
        <v>0.18181818181818182</v>
      </c>
      <c r="R55" s="1022">
        <f>ROUNDDOWN($V55,1)</f>
        <v>3</v>
      </c>
      <c r="S55" s="1072"/>
      <c r="T55" s="696"/>
      <c r="U55" s="696">
        <f>AR55</f>
        <v>3</v>
      </c>
      <c r="V55" s="696">
        <f t="shared" si="2"/>
        <v>3</v>
      </c>
      <c r="W55" s="712"/>
      <c r="X55" s="1818"/>
      <c r="Y55" s="1817">
        <v>1</v>
      </c>
      <c r="Z55" s="696"/>
      <c r="AA55" s="696"/>
      <c r="AB55" s="696"/>
      <c r="AC55"/>
      <c r="AD55" s="699"/>
      <c r="AE55" s="698">
        <f>IF(AF55=0,0,Y55)</f>
        <v>1</v>
      </c>
      <c r="AF55" s="697">
        <f>SUM(AF56:AF59)</f>
        <v>4</v>
      </c>
      <c r="AG55" s="696"/>
      <c r="AH55" s="696">
        <f t="shared" ref="AH55:AH59" si="35">IF($T55=0,0,1)*AB55</f>
        <v>0</v>
      </c>
      <c r="AI55"/>
      <c r="AJ55" s="699"/>
      <c r="AK55" s="698">
        <f>AE55/AE41</f>
        <v>0.18181818181818182</v>
      </c>
      <c r="AL55" s="697"/>
      <c r="AM55" s="696"/>
      <c r="AN55" s="696"/>
      <c r="AP55" s="699"/>
      <c r="AQ55" s="698">
        <f t="shared" si="28"/>
        <v>0.54545454545454541</v>
      </c>
      <c r="AR55" s="697">
        <f>SUM(AR56:AR59)</f>
        <v>3</v>
      </c>
      <c r="AS55" s="696"/>
      <c r="AT55" s="696"/>
      <c r="AV55" s="699"/>
      <c r="AW55" s="698">
        <f>AK55</f>
        <v>0.18181818181818182</v>
      </c>
      <c r="AX55" s="697">
        <f>SUM(AX56:AX59)</f>
        <v>1</v>
      </c>
      <c r="AY55" s="696"/>
      <c r="AZ55" s="696"/>
      <c r="BN55" s="58" t="str">
        <f t="shared" si="6"/>
        <v>2.3 健康福祉</v>
      </c>
    </row>
    <row r="56" spans="2:66" ht="13.2" customHeight="1">
      <c r="B56" s="1100"/>
      <c r="C56" s="1110" t="str">
        <f>採点Q2!C104</f>
        <v>2.3.1 健康増進施設</v>
      </c>
      <c r="D56" s="1102"/>
      <c r="E56" s="1103"/>
      <c r="F56" s="1103"/>
      <c r="G56" s="1103"/>
      <c r="H56" s="1119"/>
      <c r="I56" s="1113">
        <f>採点Q2!E111</f>
        <v>0</v>
      </c>
      <c r="J56" s="1105"/>
      <c r="K56" s="1105"/>
      <c r="L56" s="1105"/>
      <c r="M56" s="1105"/>
      <c r="N56" s="1105"/>
      <c r="O56" s="1106"/>
      <c r="P56" s="1037">
        <f t="shared" ref="P56:P59" si="36">ROUNDDOWN($V56,1)</f>
        <v>3</v>
      </c>
      <c r="Q56" s="1024">
        <f t="shared" si="4"/>
        <v>0.25</v>
      </c>
      <c r="R56" s="1038"/>
      <c r="S56" s="1072"/>
      <c r="T56" s="696">
        <f>採点Q2!D105</f>
        <v>3</v>
      </c>
      <c r="U56" s="696"/>
      <c r="V56" s="696">
        <f t="shared" si="2"/>
        <v>3</v>
      </c>
      <c r="W56" s="712"/>
      <c r="X56" s="1818"/>
      <c r="Y56" s="1818"/>
      <c r="Z56" s="696">
        <v>1</v>
      </c>
      <c r="AA56" s="696"/>
      <c r="AB56" s="696"/>
      <c r="AC56"/>
      <c r="AD56" s="699"/>
      <c r="AE56" s="699"/>
      <c r="AF56" s="696">
        <f t="shared" ref="AF56:AF59" si="37">IF($T56=0,0,1)*Z56</f>
        <v>1</v>
      </c>
      <c r="AG56" s="696">
        <f t="shared" ref="AF56:AG67" si="38">IF($T56=0,0,1)*AA56</f>
        <v>0</v>
      </c>
      <c r="AH56" s="696">
        <f t="shared" si="35"/>
        <v>0</v>
      </c>
      <c r="AI56"/>
      <c r="AJ56" s="699"/>
      <c r="AK56" s="699"/>
      <c r="AL56" s="696">
        <f>AF56/AF55</f>
        <v>0.25</v>
      </c>
      <c r="AM56" s="696"/>
      <c r="AN56" s="696"/>
      <c r="AP56" s="699"/>
      <c r="AQ56" s="699"/>
      <c r="AR56" s="696">
        <f t="shared" si="28"/>
        <v>0.75</v>
      </c>
      <c r="AS56" s="696"/>
      <c r="AT56" s="696"/>
      <c r="AV56" s="699"/>
      <c r="AW56" s="699"/>
      <c r="AX56" s="696">
        <f t="shared" ref="AX56:AX59" si="39">AL56</f>
        <v>0.25</v>
      </c>
      <c r="AY56" s="696"/>
      <c r="AZ56" s="696"/>
      <c r="BN56" s="58" t="str">
        <f t="shared" si="6"/>
        <v>2.3.1 健康増進施設</v>
      </c>
    </row>
    <row r="57" spans="2:66" ht="13.2" customHeight="1">
      <c r="B57" s="1100"/>
      <c r="C57" s="1110" t="str">
        <f>採点Q2!C113</f>
        <v>2.3.2 福祉施設</v>
      </c>
      <c r="D57" s="1102"/>
      <c r="E57" s="1103"/>
      <c r="F57" s="1103"/>
      <c r="G57" s="1103"/>
      <c r="H57" s="1119"/>
      <c r="I57" s="1113">
        <f>採点Q2!E120</f>
        <v>0</v>
      </c>
      <c r="J57" s="1105"/>
      <c r="K57" s="1105"/>
      <c r="L57" s="1105"/>
      <c r="M57" s="1105"/>
      <c r="N57" s="1105"/>
      <c r="O57" s="1106"/>
      <c r="P57" s="1037">
        <f t="shared" si="36"/>
        <v>3</v>
      </c>
      <c r="Q57" s="1024">
        <f t="shared" si="4"/>
        <v>0.25</v>
      </c>
      <c r="R57" s="1038"/>
      <c r="S57" s="1072"/>
      <c r="T57" s="696">
        <f>採点Q2!D114</f>
        <v>3</v>
      </c>
      <c r="U57" s="696"/>
      <c r="V57" s="696">
        <f t="shared" si="2"/>
        <v>3</v>
      </c>
      <c r="W57" s="712"/>
      <c r="X57" s="1818"/>
      <c r="Y57" s="1818"/>
      <c r="Z57" s="696">
        <v>1</v>
      </c>
      <c r="AA57" s="696"/>
      <c r="AB57" s="696"/>
      <c r="AC57"/>
      <c r="AD57" s="699"/>
      <c r="AE57" s="699"/>
      <c r="AF57" s="696">
        <f t="shared" si="37"/>
        <v>1</v>
      </c>
      <c r="AG57" s="696">
        <f t="shared" si="38"/>
        <v>0</v>
      </c>
      <c r="AH57" s="696">
        <f t="shared" si="35"/>
        <v>0</v>
      </c>
      <c r="AI57"/>
      <c r="AJ57" s="699"/>
      <c r="AK57" s="699"/>
      <c r="AL57" s="696">
        <f>AF57/AF55</f>
        <v>0.25</v>
      </c>
      <c r="AM57" s="696"/>
      <c r="AN57" s="696"/>
      <c r="AP57" s="699"/>
      <c r="AQ57" s="699"/>
      <c r="AR57" s="696">
        <f t="shared" si="28"/>
        <v>0.75</v>
      </c>
      <c r="AS57" s="696"/>
      <c r="AT57" s="696"/>
      <c r="AV57" s="699"/>
      <c r="AW57" s="699"/>
      <c r="AX57" s="696">
        <f t="shared" si="39"/>
        <v>0.25</v>
      </c>
      <c r="AY57" s="696"/>
      <c r="AZ57" s="696"/>
      <c r="BN57" s="58" t="str">
        <f t="shared" si="6"/>
        <v>2.3.2 福祉施設</v>
      </c>
    </row>
    <row r="58" spans="2:66" ht="13.2" customHeight="1">
      <c r="B58" s="1100"/>
      <c r="C58" s="1110" t="str">
        <f>採点Q2!C122</f>
        <v>2.3.3 医療施設</v>
      </c>
      <c r="D58" s="1102"/>
      <c r="E58" s="1103"/>
      <c r="F58" s="1103"/>
      <c r="G58" s="1103"/>
      <c r="H58" s="1119"/>
      <c r="I58" s="1113">
        <f>採点Q2!E129</f>
        <v>0</v>
      </c>
      <c r="J58" s="1105"/>
      <c r="K58" s="1105"/>
      <c r="L58" s="1105"/>
      <c r="M58" s="1105"/>
      <c r="N58" s="1105"/>
      <c r="O58" s="1106"/>
      <c r="P58" s="1037">
        <f t="shared" si="36"/>
        <v>3</v>
      </c>
      <c r="Q58" s="1024">
        <f t="shared" si="4"/>
        <v>0.25</v>
      </c>
      <c r="R58" s="1038"/>
      <c r="S58" s="1072"/>
      <c r="T58" s="696">
        <f>採点Q2!D123</f>
        <v>3</v>
      </c>
      <c r="U58" s="696"/>
      <c r="V58" s="696">
        <f t="shared" si="2"/>
        <v>3</v>
      </c>
      <c r="W58" s="712"/>
      <c r="X58" s="1818"/>
      <c r="Y58" s="1818"/>
      <c r="Z58" s="696">
        <v>1</v>
      </c>
      <c r="AA58" s="696"/>
      <c r="AB58" s="696"/>
      <c r="AC58"/>
      <c r="AD58" s="699"/>
      <c r="AE58" s="699"/>
      <c r="AF58" s="696">
        <f t="shared" si="37"/>
        <v>1</v>
      </c>
      <c r="AG58" s="696">
        <f t="shared" si="38"/>
        <v>0</v>
      </c>
      <c r="AH58" s="696">
        <f t="shared" si="35"/>
        <v>0</v>
      </c>
      <c r="AI58"/>
      <c r="AJ58" s="699"/>
      <c r="AK58" s="699"/>
      <c r="AL58" s="698">
        <f>AF58/AF55</f>
        <v>0.25</v>
      </c>
      <c r="AM58" s="696"/>
      <c r="AN58" s="696"/>
      <c r="AP58" s="699"/>
      <c r="AQ58" s="699"/>
      <c r="AR58" s="698">
        <f t="shared" si="28"/>
        <v>0.75</v>
      </c>
      <c r="AS58" s="696"/>
      <c r="AT58" s="696"/>
      <c r="AV58" s="699"/>
      <c r="AW58" s="699"/>
      <c r="AX58" s="698">
        <f t="shared" si="39"/>
        <v>0.25</v>
      </c>
      <c r="AY58" s="696"/>
      <c r="AZ58" s="696"/>
      <c r="BN58" s="58" t="str">
        <f t="shared" si="6"/>
        <v>2.3.3 医療施設</v>
      </c>
    </row>
    <row r="59" spans="2:66" ht="13.2" customHeight="1">
      <c r="B59" s="1100"/>
      <c r="C59" s="1110" t="str">
        <f>採点Q2!C131</f>
        <v>2.3.4 コミュニティ施設</v>
      </c>
      <c r="D59" s="1102"/>
      <c r="E59" s="1103"/>
      <c r="F59" s="1103"/>
      <c r="G59" s="1103"/>
      <c r="H59" s="1119"/>
      <c r="I59" s="1113">
        <f>採点Q2!E138</f>
        <v>0</v>
      </c>
      <c r="J59" s="1105"/>
      <c r="K59" s="1105"/>
      <c r="L59" s="1105"/>
      <c r="M59" s="1105"/>
      <c r="N59" s="1105"/>
      <c r="O59" s="1106"/>
      <c r="P59" s="1037">
        <f t="shared" si="36"/>
        <v>3</v>
      </c>
      <c r="Q59" s="1024">
        <f t="shared" si="4"/>
        <v>0.25</v>
      </c>
      <c r="R59" s="1039"/>
      <c r="S59" s="1072"/>
      <c r="T59" s="696">
        <f>採点Q2!D132</f>
        <v>3</v>
      </c>
      <c r="U59" s="696"/>
      <c r="V59" s="696">
        <f t="shared" si="2"/>
        <v>3</v>
      </c>
      <c r="W59" s="712"/>
      <c r="X59" s="1818"/>
      <c r="Y59" s="1819"/>
      <c r="Z59" s="696">
        <v>1</v>
      </c>
      <c r="AA59" s="696"/>
      <c r="AB59" s="696"/>
      <c r="AC59"/>
      <c r="AD59" s="699"/>
      <c r="AE59" s="700"/>
      <c r="AF59" s="696">
        <f t="shared" si="37"/>
        <v>1</v>
      </c>
      <c r="AG59" s="696">
        <f t="shared" si="38"/>
        <v>0</v>
      </c>
      <c r="AH59" s="696">
        <f t="shared" si="35"/>
        <v>0</v>
      </c>
      <c r="AI59"/>
      <c r="AJ59" s="699"/>
      <c r="AK59" s="700"/>
      <c r="AL59" s="698">
        <f>AF59/AF55</f>
        <v>0.25</v>
      </c>
      <c r="AM59" s="696"/>
      <c r="AN59" s="696"/>
      <c r="AP59" s="699"/>
      <c r="AQ59" s="700"/>
      <c r="AR59" s="698">
        <f t="shared" si="28"/>
        <v>0.75</v>
      </c>
      <c r="AS59" s="696"/>
      <c r="AT59" s="696"/>
      <c r="AV59" s="699"/>
      <c r="AW59" s="700"/>
      <c r="AX59" s="698">
        <f t="shared" si="39"/>
        <v>0.25</v>
      </c>
      <c r="AY59" s="696"/>
      <c r="AZ59" s="696"/>
      <c r="BN59" s="58" t="str">
        <f t="shared" si="6"/>
        <v>2.3.4 コミュニティ施設</v>
      </c>
    </row>
    <row r="60" spans="2:66" ht="13.2" customHeight="1">
      <c r="B60" s="1117" t="str">
        <f>採点Q2!B140</f>
        <v>2.4 安全安心</v>
      </c>
      <c r="C60" s="1118"/>
      <c r="D60" s="1103"/>
      <c r="E60" s="1103"/>
      <c r="F60" s="1103"/>
      <c r="G60" s="1103"/>
      <c r="H60" s="1103"/>
      <c r="I60" s="1104"/>
      <c r="J60" s="1105"/>
      <c r="K60" s="1105"/>
      <c r="L60" s="1105"/>
      <c r="M60" s="1105"/>
      <c r="N60" s="1105"/>
      <c r="O60" s="1106"/>
      <c r="P60" s="1037"/>
      <c r="Q60" s="1024">
        <f t="shared" si="4"/>
        <v>0.18181818181818182</v>
      </c>
      <c r="R60" s="1022">
        <f>ROUNDDOWN($V60,1)</f>
        <v>3</v>
      </c>
      <c r="S60" s="1072"/>
      <c r="T60" s="696"/>
      <c r="U60" s="696">
        <f>AR60</f>
        <v>3</v>
      </c>
      <c r="V60" s="696">
        <f t="shared" si="2"/>
        <v>3</v>
      </c>
      <c r="W60" s="712"/>
      <c r="X60" s="1818"/>
      <c r="Y60" s="1817">
        <v>1</v>
      </c>
      <c r="Z60" s="696"/>
      <c r="AA60" s="696"/>
      <c r="AB60" s="696"/>
      <c r="AC60"/>
      <c r="AD60" s="699"/>
      <c r="AE60" s="698">
        <f>IF(AF60=0,0,Y60)</f>
        <v>1</v>
      </c>
      <c r="AF60" s="697">
        <f>SUM(AF61:AF67)</f>
        <v>4</v>
      </c>
      <c r="AG60" s="696"/>
      <c r="AH60" s="696">
        <f t="shared" si="3"/>
        <v>0</v>
      </c>
      <c r="AI60"/>
      <c r="AJ60" s="699"/>
      <c r="AK60" s="698">
        <f>AE60/AE41</f>
        <v>0.18181818181818182</v>
      </c>
      <c r="AL60" s="697"/>
      <c r="AM60" s="696"/>
      <c r="AN60" s="696"/>
      <c r="AP60" s="699"/>
      <c r="AQ60" s="698">
        <f t="shared" si="28"/>
        <v>0.54545454545454541</v>
      </c>
      <c r="AR60" s="697">
        <f>SUM(AR61:AR67)</f>
        <v>3</v>
      </c>
      <c r="AS60" s="696"/>
      <c r="AT60" s="696"/>
      <c r="AV60" s="699"/>
      <c r="AW60" s="698">
        <f>AK60</f>
        <v>0.18181818181818182</v>
      </c>
      <c r="AX60" s="697">
        <f>SUM(AX61:AX67)</f>
        <v>1</v>
      </c>
      <c r="AY60" s="696"/>
      <c r="AZ60" s="696"/>
      <c r="BN60" s="58" t="str">
        <f t="shared" si="6"/>
        <v>2.4 安全安心</v>
      </c>
    </row>
    <row r="61" spans="2:66" ht="13.2" customHeight="1">
      <c r="B61" s="1100"/>
      <c r="C61" s="1101" t="str">
        <f>採点Q2!C141</f>
        <v>2.4.1 防災基本性能</v>
      </c>
      <c r="D61" s="1102"/>
      <c r="E61" s="1103"/>
      <c r="F61" s="1103"/>
      <c r="G61" s="1103"/>
      <c r="H61" s="1119"/>
      <c r="I61" s="1104"/>
      <c r="J61" s="1105"/>
      <c r="K61" s="1105"/>
      <c r="L61" s="1105"/>
      <c r="M61" s="1105"/>
      <c r="N61" s="1105"/>
      <c r="O61" s="1106"/>
      <c r="P61" s="1037">
        <f t="shared" ref="P61:P67" si="40">ROUNDDOWN($V61,1)</f>
        <v>3</v>
      </c>
      <c r="Q61" s="1024">
        <f t="shared" si="4"/>
        <v>0.25</v>
      </c>
      <c r="R61" s="1038"/>
      <c r="S61" s="1072"/>
      <c r="T61" s="696"/>
      <c r="U61" s="696">
        <f>AS61</f>
        <v>3</v>
      </c>
      <c r="V61" s="696">
        <f t="shared" si="2"/>
        <v>3</v>
      </c>
      <c r="W61" s="712"/>
      <c r="X61" s="1818"/>
      <c r="Y61" s="1818"/>
      <c r="Z61" s="1817">
        <v>1</v>
      </c>
      <c r="AA61" s="696"/>
      <c r="AB61" s="696"/>
      <c r="AC61"/>
      <c r="AD61" s="699"/>
      <c r="AE61" s="699"/>
      <c r="AF61" s="698">
        <f>IF(AG61=0,0,Z61)</f>
        <v>1</v>
      </c>
      <c r="AG61" s="697">
        <f>SUM(AG62:AG64)</f>
        <v>3</v>
      </c>
      <c r="AH61" s="696"/>
      <c r="AI61"/>
      <c r="AJ61" s="699"/>
      <c r="AK61" s="699"/>
      <c r="AL61" s="698">
        <f>AF61/AF60</f>
        <v>0.25</v>
      </c>
      <c r="AM61" s="697"/>
      <c r="AN61" s="696"/>
      <c r="AP61" s="699"/>
      <c r="AQ61" s="699"/>
      <c r="AR61" s="698">
        <f t="shared" si="28"/>
        <v>0.75</v>
      </c>
      <c r="AS61" s="697">
        <f>SUM(AS62:AS64)</f>
        <v>3</v>
      </c>
      <c r="AT61" s="696"/>
      <c r="AV61" s="699"/>
      <c r="AW61" s="699"/>
      <c r="AX61" s="698">
        <f>AL61</f>
        <v>0.25</v>
      </c>
      <c r="AY61" s="697">
        <f>SUM(AY62:AY64)</f>
        <v>1</v>
      </c>
      <c r="AZ61" s="696"/>
      <c r="BN61" s="58" t="str">
        <f t="shared" si="6"/>
        <v>2.4.1 防災基本性能</v>
      </c>
    </row>
    <row r="62" spans="2:66" ht="13.2" customHeight="1">
      <c r="B62" s="1100"/>
      <c r="C62" s="1120"/>
      <c r="D62" s="1110" t="str">
        <f>採点Q2!D142</f>
        <v>2.4.1.1 災害への対応</v>
      </c>
      <c r="E62" s="1111"/>
      <c r="F62" s="1111"/>
      <c r="G62" s="1111"/>
      <c r="H62" s="1119"/>
      <c r="I62" s="1113">
        <f>採点Q2!E149</f>
        <v>0</v>
      </c>
      <c r="J62" s="1105"/>
      <c r="K62" s="1105"/>
      <c r="L62" s="1105"/>
      <c r="M62" s="1105"/>
      <c r="N62" s="1105"/>
      <c r="O62" s="1106"/>
      <c r="P62" s="1037">
        <f t="shared" si="40"/>
        <v>3</v>
      </c>
      <c r="Q62" s="1024">
        <f t="shared" si="4"/>
        <v>0.33333333333333331</v>
      </c>
      <c r="R62" s="1038"/>
      <c r="S62" s="1072"/>
      <c r="T62" s="696">
        <f>採点Q2!D143</f>
        <v>3</v>
      </c>
      <c r="U62" s="696"/>
      <c r="V62" s="696">
        <f t="shared" si="2"/>
        <v>3</v>
      </c>
      <c r="W62" s="712"/>
      <c r="X62" s="1818"/>
      <c r="Y62" s="1818"/>
      <c r="Z62" s="1818"/>
      <c r="AA62" s="696">
        <v>1</v>
      </c>
      <c r="AB62" s="696"/>
      <c r="AC62"/>
      <c r="AD62" s="699"/>
      <c r="AE62" s="699"/>
      <c r="AF62" s="699"/>
      <c r="AG62" s="696">
        <f t="shared" si="38"/>
        <v>1</v>
      </c>
      <c r="AH62" s="696">
        <f t="shared" si="3"/>
        <v>0</v>
      </c>
      <c r="AI62"/>
      <c r="AJ62" s="699"/>
      <c r="AK62" s="699"/>
      <c r="AL62" s="699"/>
      <c r="AM62" s="696">
        <f>AG62/AG61</f>
        <v>0.33333333333333331</v>
      </c>
      <c r="AN62" s="696"/>
      <c r="AP62" s="699"/>
      <c r="AQ62" s="699"/>
      <c r="AR62" s="699"/>
      <c r="AS62" s="696">
        <f t="shared" si="28"/>
        <v>1</v>
      </c>
      <c r="AT62" s="696"/>
      <c r="AV62" s="699"/>
      <c r="AW62" s="699"/>
      <c r="AX62" s="699"/>
      <c r="AY62" s="696">
        <f t="shared" ref="AY62:AY64" si="41">AM62</f>
        <v>0.33333333333333331</v>
      </c>
      <c r="AZ62" s="696"/>
      <c r="BN62" s="58" t="str">
        <f t="shared" si="6"/>
        <v>2.4.1.1 災害への対応</v>
      </c>
    </row>
    <row r="63" spans="2:66" ht="13.2" customHeight="1">
      <c r="B63" s="1100"/>
      <c r="C63" s="1109"/>
      <c r="D63" s="1110" t="str">
        <f>採点Q2!D151</f>
        <v>2.4.1.2 各種インフラの防災性能</v>
      </c>
      <c r="E63" s="1111"/>
      <c r="F63" s="1111"/>
      <c r="G63" s="1111"/>
      <c r="H63" s="1111"/>
      <c r="I63" s="1113" t="str">
        <f>採点Q2!D159</f>
        <v>評価する取組</v>
      </c>
      <c r="J63" s="1105"/>
      <c r="K63" s="1122">
        <f>採点Q2!E158</f>
        <v>0</v>
      </c>
      <c r="L63" s="1105"/>
      <c r="M63" s="1105"/>
      <c r="N63" s="1105"/>
      <c r="O63" s="1106"/>
      <c r="P63" s="1037">
        <f t="shared" si="40"/>
        <v>3</v>
      </c>
      <c r="Q63" s="1024">
        <f t="shared" si="4"/>
        <v>0.33333333333333331</v>
      </c>
      <c r="R63" s="1038"/>
      <c r="S63" s="1072"/>
      <c r="T63" s="696">
        <f>採点Q2!D152</f>
        <v>3</v>
      </c>
      <c r="U63" s="696"/>
      <c r="V63" s="696">
        <f t="shared" si="2"/>
        <v>3</v>
      </c>
      <c r="W63" s="712"/>
      <c r="X63" s="1818"/>
      <c r="Y63" s="1818"/>
      <c r="Z63" s="1818"/>
      <c r="AA63" s="696">
        <v>1</v>
      </c>
      <c r="AB63" s="696"/>
      <c r="AC63"/>
      <c r="AD63" s="699"/>
      <c r="AE63" s="699"/>
      <c r="AF63" s="699"/>
      <c r="AG63" s="696">
        <f t="shared" si="38"/>
        <v>1</v>
      </c>
      <c r="AH63" s="696">
        <f t="shared" si="3"/>
        <v>0</v>
      </c>
      <c r="AI63"/>
      <c r="AJ63" s="699"/>
      <c r="AK63" s="699"/>
      <c r="AL63" s="699"/>
      <c r="AM63" s="696">
        <f>AG63/AG61</f>
        <v>0.33333333333333331</v>
      </c>
      <c r="AN63" s="696"/>
      <c r="AP63" s="699"/>
      <c r="AQ63" s="699"/>
      <c r="AR63" s="699"/>
      <c r="AS63" s="696">
        <f t="shared" si="28"/>
        <v>1</v>
      </c>
      <c r="AT63" s="696"/>
      <c r="AV63" s="699"/>
      <c r="AW63" s="699"/>
      <c r="AX63" s="699"/>
      <c r="AY63" s="696">
        <f t="shared" si="41"/>
        <v>0.33333333333333331</v>
      </c>
      <c r="AZ63" s="696"/>
      <c r="BN63" s="58" t="str">
        <f t="shared" si="6"/>
        <v>2.4.1.2 各種インフラの防災性能</v>
      </c>
    </row>
    <row r="64" spans="2:66" ht="13.2" customHeight="1">
      <c r="B64" s="1100"/>
      <c r="C64" s="1109"/>
      <c r="D64" s="1110" t="str">
        <f>採点Q2!D170</f>
        <v>2.4.1.3 防災空地・避難路</v>
      </c>
      <c r="E64" s="1111"/>
      <c r="F64" s="1111"/>
      <c r="G64" s="1111"/>
      <c r="H64" s="1111"/>
      <c r="I64" s="1113" t="str">
        <f>採点Q2!D178</f>
        <v>評価する取組</v>
      </c>
      <c r="J64" s="1105"/>
      <c r="K64" s="1122">
        <f>採点Q2!E177</f>
        <v>0</v>
      </c>
      <c r="L64" s="1105"/>
      <c r="M64" s="1105"/>
      <c r="N64" s="1105"/>
      <c r="O64" s="1106"/>
      <c r="P64" s="1037">
        <f t="shared" si="40"/>
        <v>3</v>
      </c>
      <c r="Q64" s="1024">
        <f t="shared" si="4"/>
        <v>0.33333333333333331</v>
      </c>
      <c r="R64" s="1038"/>
      <c r="S64" s="1072"/>
      <c r="T64" s="696">
        <f>採点Q2!D171</f>
        <v>3</v>
      </c>
      <c r="U64" s="696"/>
      <c r="V64" s="696">
        <f t="shared" si="2"/>
        <v>3</v>
      </c>
      <c r="W64" s="712"/>
      <c r="X64" s="1818"/>
      <c r="Y64" s="1818"/>
      <c r="Z64" s="1819"/>
      <c r="AA64" s="696">
        <v>1</v>
      </c>
      <c r="AB64" s="696"/>
      <c r="AC64"/>
      <c r="AD64" s="699"/>
      <c r="AE64" s="699"/>
      <c r="AF64" s="700"/>
      <c r="AG64" s="696">
        <f t="shared" si="38"/>
        <v>1</v>
      </c>
      <c r="AH64" s="696">
        <f t="shared" si="3"/>
        <v>0</v>
      </c>
      <c r="AI64"/>
      <c r="AJ64" s="699"/>
      <c r="AK64" s="699"/>
      <c r="AL64" s="700"/>
      <c r="AM64" s="696">
        <f>AG64/AG61</f>
        <v>0.33333333333333331</v>
      </c>
      <c r="AN64" s="696"/>
      <c r="AP64" s="699"/>
      <c r="AQ64" s="699"/>
      <c r="AR64" s="700"/>
      <c r="AS64" s="696">
        <f t="shared" ref="AS64" si="42">($T64+AT64)*AM64</f>
        <v>1</v>
      </c>
      <c r="AT64" s="696"/>
      <c r="AV64" s="699"/>
      <c r="AW64" s="699"/>
      <c r="AX64" s="700"/>
      <c r="AY64" s="696">
        <f t="shared" si="41"/>
        <v>0.33333333333333331</v>
      </c>
      <c r="AZ64" s="696"/>
      <c r="BN64" s="58" t="str">
        <f t="shared" si="6"/>
        <v>2.4.1.3 防災空地・避難路</v>
      </c>
    </row>
    <row r="65" spans="1:66" ht="13.2" customHeight="1">
      <c r="B65" s="1100"/>
      <c r="C65" s="1110" t="str">
        <f>採点Q2!C186</f>
        <v>2.4.2 発災後の対応性能</v>
      </c>
      <c r="D65" s="1102"/>
      <c r="E65" s="1103"/>
      <c r="F65" s="1103"/>
      <c r="G65" s="1103"/>
      <c r="H65" s="1119"/>
      <c r="I65" s="1113">
        <f>採点Q2!E193</f>
        <v>0</v>
      </c>
      <c r="J65" s="1105"/>
      <c r="K65" s="1105"/>
      <c r="L65" s="1105"/>
      <c r="M65" s="1105"/>
      <c r="N65" s="1105"/>
      <c r="O65" s="1106"/>
      <c r="P65" s="1037">
        <f t="shared" si="40"/>
        <v>3</v>
      </c>
      <c r="Q65" s="1024">
        <f t="shared" si="4"/>
        <v>0.25</v>
      </c>
      <c r="R65" s="1038"/>
      <c r="S65" s="1072"/>
      <c r="T65" s="696">
        <f>採点Q2!D187</f>
        <v>3</v>
      </c>
      <c r="U65" s="696"/>
      <c r="V65" s="696">
        <f t="shared" si="2"/>
        <v>3</v>
      </c>
      <c r="W65" s="712"/>
      <c r="X65" s="1818"/>
      <c r="Y65" s="1818"/>
      <c r="Z65" s="696">
        <v>1</v>
      </c>
      <c r="AA65" s="696"/>
      <c r="AB65" s="696"/>
      <c r="AC65"/>
      <c r="AD65" s="699"/>
      <c r="AE65" s="699"/>
      <c r="AF65" s="696">
        <f t="shared" si="38"/>
        <v>1</v>
      </c>
      <c r="AG65" s="696">
        <f t="shared" si="38"/>
        <v>0</v>
      </c>
      <c r="AH65" s="696">
        <f t="shared" si="3"/>
        <v>0</v>
      </c>
      <c r="AI65"/>
      <c r="AJ65" s="699"/>
      <c r="AK65" s="699"/>
      <c r="AL65" s="696">
        <f>AF65/AF60</f>
        <v>0.25</v>
      </c>
      <c r="AM65" s="696"/>
      <c r="AN65" s="696"/>
      <c r="AP65" s="699"/>
      <c r="AQ65" s="699"/>
      <c r="AR65" s="696">
        <f t="shared" si="28"/>
        <v>0.75</v>
      </c>
      <c r="AS65" s="696"/>
      <c r="AT65" s="696"/>
      <c r="AV65" s="699"/>
      <c r="AW65" s="699"/>
      <c r="AX65" s="696">
        <f t="shared" ref="AX65:AX67" si="43">AL65</f>
        <v>0.25</v>
      </c>
      <c r="AY65" s="696"/>
      <c r="AZ65" s="696"/>
      <c r="BN65" s="58" t="str">
        <f t="shared" si="6"/>
        <v>2.4.2 発災後の対応性能</v>
      </c>
    </row>
    <row r="66" spans="1:66" ht="13.2" customHeight="1">
      <c r="B66" s="1100"/>
      <c r="C66" s="1110" t="str">
        <f>採点Q2!C195</f>
        <v>2.4.3 交通安全</v>
      </c>
      <c r="D66" s="1102"/>
      <c r="E66" s="1103"/>
      <c r="F66" s="1103"/>
      <c r="G66" s="1103"/>
      <c r="H66" s="1119"/>
      <c r="I66" s="1113">
        <f>採点Q2!E202</f>
        <v>0</v>
      </c>
      <c r="J66" s="1105"/>
      <c r="K66" s="1105"/>
      <c r="L66" s="1105"/>
      <c r="M66" s="1105"/>
      <c r="N66" s="1105"/>
      <c r="O66" s="1106"/>
      <c r="P66" s="1037">
        <f t="shared" si="40"/>
        <v>3</v>
      </c>
      <c r="Q66" s="1024">
        <f t="shared" si="4"/>
        <v>0.25</v>
      </c>
      <c r="R66" s="1038"/>
      <c r="S66" s="1072"/>
      <c r="T66" s="696">
        <f>採点Q2!D196</f>
        <v>3</v>
      </c>
      <c r="U66" s="696"/>
      <c r="V66" s="696">
        <f t="shared" si="2"/>
        <v>3</v>
      </c>
      <c r="W66" s="712"/>
      <c r="X66" s="1818"/>
      <c r="Y66" s="1818"/>
      <c r="Z66" s="696">
        <v>1</v>
      </c>
      <c r="AA66" s="696"/>
      <c r="AB66" s="696"/>
      <c r="AC66"/>
      <c r="AD66" s="699"/>
      <c r="AE66" s="699"/>
      <c r="AF66" s="696">
        <f t="shared" si="38"/>
        <v>1</v>
      </c>
      <c r="AG66" s="696">
        <f t="shared" si="38"/>
        <v>0</v>
      </c>
      <c r="AH66" s="696">
        <f t="shared" si="3"/>
        <v>0</v>
      </c>
      <c r="AI66"/>
      <c r="AJ66" s="699"/>
      <c r="AK66" s="699"/>
      <c r="AL66" s="696">
        <f>AF66/AF60</f>
        <v>0.25</v>
      </c>
      <c r="AM66" s="696"/>
      <c r="AN66" s="696"/>
      <c r="AP66" s="699"/>
      <c r="AQ66" s="699"/>
      <c r="AR66" s="696">
        <f t="shared" ref="AR66:AR67" si="44">($T66+AS66)*AL66</f>
        <v>0.75</v>
      </c>
      <c r="AS66" s="696"/>
      <c r="AT66" s="696"/>
      <c r="AV66" s="699"/>
      <c r="AW66" s="699"/>
      <c r="AX66" s="696">
        <f t="shared" si="43"/>
        <v>0.25</v>
      </c>
      <c r="AY66" s="696"/>
      <c r="AZ66" s="696"/>
      <c r="BN66" s="58" t="str">
        <f t="shared" si="6"/>
        <v>2.4.3 交通安全</v>
      </c>
    </row>
    <row r="67" spans="1:66" ht="13.2" customHeight="1">
      <c r="B67" s="1100"/>
      <c r="C67" s="1110" t="str">
        <f>採点Q2!C204</f>
        <v>2.4.4 防犯</v>
      </c>
      <c r="D67" s="1102"/>
      <c r="E67" s="1103"/>
      <c r="F67" s="1103"/>
      <c r="G67" s="1103"/>
      <c r="H67" s="1119"/>
      <c r="I67" s="1113" t="str">
        <f>採点Q2!D212</f>
        <v>評価する取組</v>
      </c>
      <c r="J67" s="1105"/>
      <c r="K67" s="1122">
        <f>採点Q2!E211</f>
        <v>0</v>
      </c>
      <c r="L67" s="1105"/>
      <c r="M67" s="1105"/>
      <c r="N67" s="1105"/>
      <c r="O67" s="1106"/>
      <c r="P67" s="1037">
        <f t="shared" si="40"/>
        <v>3</v>
      </c>
      <c r="Q67" s="1024">
        <f t="shared" si="4"/>
        <v>0.25</v>
      </c>
      <c r="R67" s="1039"/>
      <c r="S67" s="1072"/>
      <c r="T67" s="696">
        <f>採点Q2!D205</f>
        <v>3</v>
      </c>
      <c r="U67" s="696"/>
      <c r="V67" s="696">
        <f t="shared" si="2"/>
        <v>3</v>
      </c>
      <c r="W67" s="712"/>
      <c r="X67" s="1818"/>
      <c r="Y67" s="1819"/>
      <c r="Z67" s="696">
        <v>1</v>
      </c>
      <c r="AA67" s="696"/>
      <c r="AB67" s="696"/>
      <c r="AC67"/>
      <c r="AD67" s="699"/>
      <c r="AE67" s="700"/>
      <c r="AF67" s="696">
        <f t="shared" si="38"/>
        <v>1</v>
      </c>
      <c r="AG67" s="696">
        <f t="shared" si="38"/>
        <v>0</v>
      </c>
      <c r="AH67" s="696">
        <f t="shared" si="3"/>
        <v>0</v>
      </c>
      <c r="AI67"/>
      <c r="AJ67" s="699"/>
      <c r="AK67" s="700"/>
      <c r="AL67" s="696">
        <f>AF67/AF60</f>
        <v>0.25</v>
      </c>
      <c r="AM67" s="696"/>
      <c r="AN67" s="696"/>
      <c r="AP67" s="699"/>
      <c r="AQ67" s="700"/>
      <c r="AR67" s="696">
        <f t="shared" si="44"/>
        <v>0.75</v>
      </c>
      <c r="AS67" s="696"/>
      <c r="AT67" s="696"/>
      <c r="AV67" s="699"/>
      <c r="AW67" s="700"/>
      <c r="AX67" s="696">
        <f t="shared" si="43"/>
        <v>0.25</v>
      </c>
      <c r="AY67" s="696"/>
      <c r="AZ67" s="696"/>
      <c r="BN67" s="58" t="str">
        <f t="shared" si="6"/>
        <v>2.4.4 防犯</v>
      </c>
    </row>
    <row r="68" spans="1:66" ht="13.2" customHeight="1">
      <c r="B68" s="1117" t="str">
        <f>採点Q2!B220</f>
        <v>2.5 包摂性</v>
      </c>
      <c r="C68" s="1118"/>
      <c r="D68" s="1103"/>
      <c r="E68" s="1103"/>
      <c r="F68" s="1103"/>
      <c r="G68" s="1103"/>
      <c r="H68" s="1103"/>
      <c r="I68" s="1104"/>
      <c r="J68" s="1105"/>
      <c r="K68" s="1105"/>
      <c r="L68" s="1105"/>
      <c r="M68" s="1105"/>
      <c r="N68" s="1105"/>
      <c r="O68" s="1106"/>
      <c r="P68" s="1037"/>
      <c r="Q68" s="1024">
        <f t="shared" si="4"/>
        <v>0.18181818181818182</v>
      </c>
      <c r="R68" s="1022">
        <f>ROUNDDOWN($V68,1)</f>
        <v>3</v>
      </c>
      <c r="S68" s="1072"/>
      <c r="T68" s="696"/>
      <c r="U68" s="696">
        <f>AR68</f>
        <v>3</v>
      </c>
      <c r="V68" s="696">
        <f t="shared" si="2"/>
        <v>3</v>
      </c>
      <c r="W68" s="712"/>
      <c r="X68" s="1818"/>
      <c r="Y68" s="1817">
        <v>1</v>
      </c>
      <c r="Z68" s="696"/>
      <c r="AA68" s="696"/>
      <c r="AB68" s="696"/>
      <c r="AC68"/>
      <c r="AD68" s="699"/>
      <c r="AE68" s="698">
        <f>IF(AF68=0,0,Y68)</f>
        <v>1</v>
      </c>
      <c r="AF68" s="697">
        <f>SUM(AF69:AF71)</f>
        <v>3</v>
      </c>
      <c r="AG68" s="696"/>
      <c r="AH68" s="696">
        <f t="shared" ref="AH68:AH72" si="45">IF($T68=0,0,1)*AB68</f>
        <v>0</v>
      </c>
      <c r="AI68"/>
      <c r="AJ68" s="699"/>
      <c r="AK68" s="698">
        <f>AE68/AE41</f>
        <v>0.18181818181818182</v>
      </c>
      <c r="AL68" s="697"/>
      <c r="AM68" s="696"/>
      <c r="AN68" s="696"/>
      <c r="AP68" s="699"/>
      <c r="AQ68" s="698">
        <f t="shared" ref="AQ68" si="46">($T68+AR68)*AK68</f>
        <v>0.54545454545454541</v>
      </c>
      <c r="AR68" s="697">
        <f>SUM(AR69:AR71)</f>
        <v>3</v>
      </c>
      <c r="AS68" s="696"/>
      <c r="AT68" s="696"/>
      <c r="AV68" s="699"/>
      <c r="AW68" s="698">
        <f>AK68</f>
        <v>0.18181818181818182</v>
      </c>
      <c r="AX68" s="697">
        <f>SUM(AX69:AX71)</f>
        <v>1</v>
      </c>
      <c r="AY68" s="696"/>
      <c r="AZ68" s="696"/>
      <c r="BN68" s="58" t="str">
        <f t="shared" si="6"/>
        <v>2.5 包摂性</v>
      </c>
    </row>
    <row r="69" spans="1:66" ht="13.2" customHeight="1">
      <c r="B69" s="1100"/>
      <c r="C69" s="1110" t="str">
        <f>採点Q2!C221</f>
        <v>2.5.1 地域の歴史・文化との融和</v>
      </c>
      <c r="D69" s="1102"/>
      <c r="E69" s="1103"/>
      <c r="F69" s="1103"/>
      <c r="G69" s="1103"/>
      <c r="H69" s="1119"/>
      <c r="I69" s="1113" t="str">
        <f>採点Q2!D229</f>
        <v>評価する取組</v>
      </c>
      <c r="J69" s="1105"/>
      <c r="K69" s="1122">
        <f>採点Q2!E228</f>
        <v>0</v>
      </c>
      <c r="L69" s="1105"/>
      <c r="M69" s="1105"/>
      <c r="N69" s="1105"/>
      <c r="O69" s="1106"/>
      <c r="P69" s="1037">
        <f t="shared" ref="P69:P71" si="47">ROUNDDOWN($V69,1)</f>
        <v>3</v>
      </c>
      <c r="Q69" s="1024">
        <f t="shared" si="4"/>
        <v>0.33333333333333331</v>
      </c>
      <c r="R69" s="1038"/>
      <c r="S69" s="1072"/>
      <c r="T69" s="696">
        <f>採点Q2!D222</f>
        <v>3</v>
      </c>
      <c r="U69" s="696"/>
      <c r="V69" s="696">
        <f t="shared" si="2"/>
        <v>3</v>
      </c>
      <c r="W69" s="712"/>
      <c r="X69" s="1818"/>
      <c r="Y69" s="1818"/>
      <c r="Z69" s="696">
        <v>1</v>
      </c>
      <c r="AA69" s="696"/>
      <c r="AB69" s="696"/>
      <c r="AC69"/>
      <c r="AD69" s="699"/>
      <c r="AE69" s="699"/>
      <c r="AF69" s="696">
        <f t="shared" ref="AF69:AF72" si="48">IF($T69=0,0,1)*Z69</f>
        <v>1</v>
      </c>
      <c r="AG69" s="696">
        <f t="shared" ref="AG69:AG72" si="49">IF($T69=0,0,1)*AA69</f>
        <v>0</v>
      </c>
      <c r="AH69" s="696">
        <f t="shared" si="45"/>
        <v>0</v>
      </c>
      <c r="AI69"/>
      <c r="AJ69" s="699"/>
      <c r="AK69" s="699"/>
      <c r="AL69" s="696">
        <f>AF69/AF68</f>
        <v>0.33333333333333331</v>
      </c>
      <c r="AM69" s="696"/>
      <c r="AN69" s="696"/>
      <c r="AP69" s="699"/>
      <c r="AQ69" s="699"/>
      <c r="AR69" s="696">
        <f t="shared" ref="AR69:AR71" si="50">($T69+AS69)*AL69</f>
        <v>1</v>
      </c>
      <c r="AS69" s="696"/>
      <c r="AT69" s="696"/>
      <c r="AV69" s="699"/>
      <c r="AW69" s="699"/>
      <c r="AX69" s="696">
        <f t="shared" ref="AX69:AX71" si="51">AL69</f>
        <v>0.33333333333333331</v>
      </c>
      <c r="AY69" s="696"/>
      <c r="AZ69" s="696"/>
      <c r="BN69" s="58" t="str">
        <f t="shared" si="6"/>
        <v>2.5.1 地域の歴史・文化との融和</v>
      </c>
    </row>
    <row r="70" spans="1:66" ht="13.2" customHeight="1">
      <c r="B70" s="1100"/>
      <c r="C70" s="1110" t="str">
        <f>採点Q2!C235</f>
        <v>2.5.2 多様な住宅の供給</v>
      </c>
      <c r="D70" s="1102"/>
      <c r="E70" s="1103"/>
      <c r="F70" s="1103"/>
      <c r="G70" s="1103"/>
      <c r="H70" s="1119"/>
      <c r="I70" s="1113">
        <f>採点Q2!E242</f>
        <v>0</v>
      </c>
      <c r="J70" s="1105"/>
      <c r="K70" s="1105"/>
      <c r="L70" s="1105"/>
      <c r="M70" s="1105"/>
      <c r="N70" s="1105"/>
      <c r="O70" s="1106"/>
      <c r="P70" s="1037">
        <f t="shared" si="47"/>
        <v>3</v>
      </c>
      <c r="Q70" s="1024">
        <f t="shared" si="4"/>
        <v>0.33333333333333331</v>
      </c>
      <c r="R70" s="1038"/>
      <c r="S70" s="1072"/>
      <c r="T70" s="696">
        <f>採点Q2!D236</f>
        <v>3</v>
      </c>
      <c r="U70" s="696"/>
      <c r="V70" s="696">
        <f t="shared" si="2"/>
        <v>3</v>
      </c>
      <c r="W70" s="712"/>
      <c r="X70" s="1818"/>
      <c r="Y70" s="1818"/>
      <c r="Z70" s="696">
        <v>1</v>
      </c>
      <c r="AA70" s="696"/>
      <c r="AB70" s="696"/>
      <c r="AC70"/>
      <c r="AD70" s="699"/>
      <c r="AE70" s="699"/>
      <c r="AF70" s="696">
        <f t="shared" si="48"/>
        <v>1</v>
      </c>
      <c r="AG70" s="696">
        <f t="shared" si="49"/>
        <v>0</v>
      </c>
      <c r="AH70" s="696">
        <f t="shared" si="45"/>
        <v>0</v>
      </c>
      <c r="AI70"/>
      <c r="AJ70" s="699"/>
      <c r="AK70" s="699"/>
      <c r="AL70" s="696">
        <f>AF70/AF68</f>
        <v>0.33333333333333331</v>
      </c>
      <c r="AM70" s="696"/>
      <c r="AN70" s="696"/>
      <c r="AP70" s="699"/>
      <c r="AQ70" s="699"/>
      <c r="AR70" s="696">
        <f t="shared" si="50"/>
        <v>1</v>
      </c>
      <c r="AS70" s="696"/>
      <c r="AT70" s="696"/>
      <c r="AV70" s="699"/>
      <c r="AW70" s="699"/>
      <c r="AX70" s="696">
        <f t="shared" si="51"/>
        <v>0.33333333333333331</v>
      </c>
      <c r="AY70" s="696"/>
      <c r="AZ70" s="696"/>
      <c r="BN70" s="58" t="str">
        <f t="shared" si="6"/>
        <v>2.5.2 多様な住宅の供給</v>
      </c>
    </row>
    <row r="71" spans="1:66" ht="13.2" customHeight="1">
      <c r="B71" s="1100"/>
      <c r="C71" s="1110" t="str">
        <f>採点Q2!C244</f>
        <v>2.5.3 ユニバーサルデザイン</v>
      </c>
      <c r="D71" s="1102"/>
      <c r="E71" s="1103"/>
      <c r="F71" s="1103"/>
      <c r="G71" s="1103"/>
      <c r="H71" s="1119"/>
      <c r="I71" s="1113">
        <f>採点Q2!E251</f>
        <v>0</v>
      </c>
      <c r="J71" s="1105"/>
      <c r="K71" s="1105"/>
      <c r="L71" s="1105"/>
      <c r="M71" s="1105"/>
      <c r="N71" s="1105"/>
      <c r="O71" s="1106"/>
      <c r="P71" s="1037">
        <f t="shared" si="47"/>
        <v>3</v>
      </c>
      <c r="Q71" s="1024">
        <f t="shared" si="4"/>
        <v>0.33333333333333331</v>
      </c>
      <c r="R71" s="1039"/>
      <c r="S71" s="1072"/>
      <c r="T71" s="696">
        <f>採点Q2!D245</f>
        <v>3</v>
      </c>
      <c r="U71" s="696"/>
      <c r="V71" s="696">
        <f t="shared" si="2"/>
        <v>3</v>
      </c>
      <c r="W71" s="712"/>
      <c r="X71" s="1818"/>
      <c r="Y71" s="1819"/>
      <c r="Z71" s="696">
        <v>1</v>
      </c>
      <c r="AA71" s="696"/>
      <c r="AB71" s="696"/>
      <c r="AC71"/>
      <c r="AD71" s="699"/>
      <c r="AE71" s="699"/>
      <c r="AF71" s="696">
        <f t="shared" si="48"/>
        <v>1</v>
      </c>
      <c r="AG71" s="696">
        <f t="shared" si="49"/>
        <v>0</v>
      </c>
      <c r="AH71" s="696">
        <f t="shared" si="45"/>
        <v>0</v>
      </c>
      <c r="AI71"/>
      <c r="AJ71" s="699"/>
      <c r="AK71" s="700"/>
      <c r="AL71" s="696">
        <f>AF71/AF68</f>
        <v>0.33333333333333331</v>
      </c>
      <c r="AM71" s="696"/>
      <c r="AN71" s="696"/>
      <c r="AP71" s="699"/>
      <c r="AQ71" s="700"/>
      <c r="AR71" s="696">
        <f t="shared" si="50"/>
        <v>1</v>
      </c>
      <c r="AS71" s="696"/>
      <c r="AT71" s="696"/>
      <c r="AV71" s="699"/>
      <c r="AW71" s="700"/>
      <c r="AX71" s="696">
        <f t="shared" si="51"/>
        <v>0.33333333333333331</v>
      </c>
      <c r="AY71" s="696"/>
      <c r="AZ71" s="696"/>
      <c r="BN71" s="58" t="str">
        <f t="shared" si="6"/>
        <v>2.5.3 ユニバーサルデザイン</v>
      </c>
    </row>
    <row r="72" spans="1:66" ht="13.2" customHeight="1" thickBot="1">
      <c r="B72" s="1128" t="str">
        <f>採点Q2!B253</f>
        <v>2.6 社会性能に関するスマート化</v>
      </c>
      <c r="C72" s="1118"/>
      <c r="D72" s="1103"/>
      <c r="E72" s="1103"/>
      <c r="F72" s="1103"/>
      <c r="G72" s="1103"/>
      <c r="H72" s="1103"/>
      <c r="I72" s="1104" t="str">
        <f>採点Q2!D262</f>
        <v>評価する取組</v>
      </c>
      <c r="J72" s="1105"/>
      <c r="K72" s="1122">
        <f>採点Q2!E261</f>
        <v>0</v>
      </c>
      <c r="L72" s="1105"/>
      <c r="M72" s="1105"/>
      <c r="N72" s="1105"/>
      <c r="O72" s="1106"/>
      <c r="P72" s="1037"/>
      <c r="Q72" s="1024">
        <f t="shared" si="4"/>
        <v>9.0909090909090912E-2</v>
      </c>
      <c r="R72" s="1022">
        <f>ROUNDDOWN($V72,1)</f>
        <v>3</v>
      </c>
      <c r="S72" s="1072"/>
      <c r="T72" s="696">
        <f>採点Q2!D255</f>
        <v>3</v>
      </c>
      <c r="U72" s="696"/>
      <c r="V72" s="696">
        <f>T72+U72</f>
        <v>3</v>
      </c>
      <c r="W72" s="712"/>
      <c r="X72" s="1818"/>
      <c r="Y72" s="696">
        <v>0.5</v>
      </c>
      <c r="Z72" s="696"/>
      <c r="AA72" s="696"/>
      <c r="AB72" s="696"/>
      <c r="AC72"/>
      <c r="AD72" s="699"/>
      <c r="AE72" s="696">
        <f>IF($T72=0,0,1)*Y72</f>
        <v>0.5</v>
      </c>
      <c r="AF72" s="696">
        <f t="shared" si="48"/>
        <v>0</v>
      </c>
      <c r="AG72" s="696">
        <f t="shared" si="49"/>
        <v>0</v>
      </c>
      <c r="AH72" s="696">
        <f t="shared" si="45"/>
        <v>0</v>
      </c>
      <c r="AI72"/>
      <c r="AJ72" s="699"/>
      <c r="AK72" s="698">
        <f>AE72/AE41</f>
        <v>9.0909090909090912E-2</v>
      </c>
      <c r="AL72" s="696"/>
      <c r="AM72" s="696"/>
      <c r="AN72" s="696"/>
      <c r="AP72" s="704"/>
      <c r="AQ72" s="703">
        <f>($T72+AR72)*AK72</f>
        <v>0.27272727272727271</v>
      </c>
      <c r="AR72" s="703">
        <f>($T72+AS72)*AL72</f>
        <v>0</v>
      </c>
      <c r="AS72" s="703">
        <f t="shared" ref="AS72" si="52">($T72+AT72)*AM72</f>
        <v>0</v>
      </c>
      <c r="AT72" s="702">
        <f>T72*AN72</f>
        <v>0</v>
      </c>
      <c r="AV72" s="699"/>
      <c r="AW72" s="698">
        <f t="shared" ref="AW72" si="53">AK72</f>
        <v>9.0909090909090912E-2</v>
      </c>
      <c r="AX72" s="696"/>
      <c r="AY72" s="696"/>
      <c r="AZ72" s="696"/>
      <c r="BN72" s="58" t="str">
        <f t="shared" si="6"/>
        <v>2.6 社会性能に関するスマート化</v>
      </c>
    </row>
    <row r="73" spans="1:66" ht="13.2" hidden="1" customHeight="1" thickBot="1">
      <c r="B73" s="1100"/>
      <c r="C73" s="1110"/>
      <c r="D73" s="1108"/>
      <c r="E73" s="1124"/>
      <c r="F73" s="1124"/>
      <c r="G73" s="1124"/>
      <c r="H73" s="1129"/>
      <c r="I73" s="1113"/>
      <c r="J73" s="1125"/>
      <c r="K73" s="1122"/>
      <c r="L73" s="1125"/>
      <c r="M73" s="1125"/>
      <c r="N73" s="1125"/>
      <c r="O73" s="1126"/>
      <c r="P73" s="1040"/>
      <c r="Q73" s="1041"/>
      <c r="R73" s="1038"/>
      <c r="S73" s="1072"/>
      <c r="T73" s="696"/>
      <c r="U73" s="696"/>
      <c r="V73" s="696"/>
      <c r="W73" s="712"/>
      <c r="X73" s="1819"/>
      <c r="Y73" s="700"/>
      <c r="Z73" s="696"/>
      <c r="AA73" s="696"/>
      <c r="AB73" s="696"/>
      <c r="AC73"/>
      <c r="AD73" s="700"/>
      <c r="AE73" s="699"/>
      <c r="AF73" s="696"/>
      <c r="AG73" s="696"/>
      <c r="AH73" s="696"/>
      <c r="AI73"/>
      <c r="AJ73" s="700"/>
      <c r="AK73" s="700"/>
      <c r="AL73" s="696"/>
      <c r="AM73" s="696"/>
      <c r="AN73" s="696"/>
      <c r="AP73" s="700"/>
      <c r="AQ73" s="700"/>
      <c r="AR73" s="696"/>
      <c r="AS73" s="696"/>
      <c r="AT73" s="696"/>
      <c r="AV73" s="700"/>
      <c r="AW73" s="700"/>
      <c r="AX73" s="696"/>
      <c r="AY73" s="696"/>
      <c r="AZ73" s="696"/>
      <c r="BN73" s="58" t="str">
        <f t="shared" si="6"/>
        <v/>
      </c>
    </row>
    <row r="74" spans="1:66" ht="13.2" customHeight="1" thickBot="1">
      <c r="A74" s="52"/>
      <c r="B74" s="1087" t="str">
        <f>採点Q3!B9</f>
        <v>Q-3 経済</v>
      </c>
      <c r="C74" s="1088"/>
      <c r="D74" s="1088"/>
      <c r="E74" s="1088"/>
      <c r="F74" s="1088"/>
      <c r="G74" s="1088"/>
      <c r="H74" s="1089"/>
      <c r="I74" s="1127"/>
      <c r="J74" s="1091"/>
      <c r="K74" s="1091"/>
      <c r="L74" s="1091"/>
      <c r="M74" s="1091"/>
      <c r="N74" s="1091"/>
      <c r="O74" s="1092"/>
      <c r="P74" s="1017"/>
      <c r="Q74" s="1018">
        <f t="shared" ref="Q74:Q98" si="54">SUM(AJ74:AN74)</f>
        <v>0.33333333333333331</v>
      </c>
      <c r="R74" s="1019">
        <f>ROUNDDOWN($T74+$U74,1)</f>
        <v>3.1</v>
      </c>
      <c r="S74" s="1072"/>
      <c r="T74" s="696"/>
      <c r="U74" s="696">
        <f>AQ74</f>
        <v>3.1428571428571428</v>
      </c>
      <c r="V74" s="696">
        <f t="shared" ref="V74:V135" si="55">T74+U74</f>
        <v>3.1428571428571428</v>
      </c>
      <c r="W74" s="712"/>
      <c r="X74" s="1817">
        <v>1</v>
      </c>
      <c r="Y74" s="696"/>
      <c r="Z74" s="696"/>
      <c r="AA74" s="696"/>
      <c r="AB74" s="696"/>
      <c r="AC74"/>
      <c r="AD74" s="698">
        <f>IF(AE74=0,0,X74)</f>
        <v>1</v>
      </c>
      <c r="AE74" s="697">
        <f>SUM(AE75:AE98)</f>
        <v>3.5</v>
      </c>
      <c r="AF74" s="696"/>
      <c r="AG74" s="696"/>
      <c r="AH74" s="696">
        <f>IF($T74=0,0,1)*AB74</f>
        <v>0</v>
      </c>
      <c r="AI74"/>
      <c r="AJ74" s="698">
        <f>AD74/AD7</f>
        <v>0.33333333333333331</v>
      </c>
      <c r="AK74" s="697"/>
      <c r="AL74" s="696"/>
      <c r="AM74" s="696"/>
      <c r="AN74" s="696"/>
      <c r="AP74" s="703">
        <f>($T74+AQ74)*AJ74</f>
        <v>1.0476190476190474</v>
      </c>
      <c r="AQ74" s="697">
        <f>SUM(AQ75:AQ98)</f>
        <v>3.1428571428571428</v>
      </c>
      <c r="AR74" s="696"/>
      <c r="AS74" s="696"/>
      <c r="AT74" s="696"/>
      <c r="AV74" s="698">
        <f>AJ74</f>
        <v>0.33333333333333331</v>
      </c>
      <c r="AW74" s="697">
        <f>SUM(AW75:AW98)</f>
        <v>1</v>
      </c>
      <c r="AX74" s="696"/>
      <c r="AY74" s="696"/>
      <c r="AZ74" s="696"/>
      <c r="BN74" s="58" t="str">
        <f t="shared" ref="BN74:BN137" si="56">B74&amp;C74&amp;D74&amp;E74</f>
        <v>Q-3 経済</v>
      </c>
    </row>
    <row r="75" spans="1:66" ht="13.2" customHeight="1">
      <c r="A75" s="52"/>
      <c r="B75" s="1094" t="str">
        <f>採点Q3!B12</f>
        <v>3.1 経済基盤</v>
      </c>
      <c r="C75" s="1095"/>
      <c r="D75" s="1096"/>
      <c r="E75" s="1096"/>
      <c r="F75" s="1096"/>
      <c r="G75" s="1096"/>
      <c r="H75" s="1096"/>
      <c r="I75" s="1097"/>
      <c r="J75" s="1098"/>
      <c r="K75" s="1098"/>
      <c r="L75" s="1098"/>
      <c r="M75" s="1098"/>
      <c r="N75" s="1098"/>
      <c r="O75" s="1099"/>
      <c r="P75" s="1035"/>
      <c r="Q75" s="1036">
        <f t="shared" si="54"/>
        <v>0.2857142857142857</v>
      </c>
      <c r="R75" s="1022">
        <f>ROUNDDOWN($V75,1)</f>
        <v>3</v>
      </c>
      <c r="S75" s="1072"/>
      <c r="T75" s="696"/>
      <c r="U75" s="696">
        <f>AR75</f>
        <v>3</v>
      </c>
      <c r="V75" s="696">
        <f t="shared" si="55"/>
        <v>3</v>
      </c>
      <c r="W75" s="712"/>
      <c r="X75" s="1818"/>
      <c r="Y75" s="1817">
        <v>1</v>
      </c>
      <c r="Z75" s="696"/>
      <c r="AA75" s="696"/>
      <c r="AB75" s="696"/>
      <c r="AC75"/>
      <c r="AD75" s="699"/>
      <c r="AE75" s="698">
        <f>IF(AF75=0,0,Y75)</f>
        <v>1</v>
      </c>
      <c r="AF75" s="697">
        <f>SUM(AF76:AF82)</f>
        <v>2</v>
      </c>
      <c r="AG75" s="696"/>
      <c r="AH75" s="696">
        <f>IF($T75=0,0,1)*AB75</f>
        <v>0</v>
      </c>
      <c r="AI75"/>
      <c r="AJ75" s="699"/>
      <c r="AK75" s="698">
        <f>AE75/AE74</f>
        <v>0.2857142857142857</v>
      </c>
      <c r="AL75" s="697"/>
      <c r="AM75" s="696"/>
      <c r="AN75" s="696"/>
      <c r="AP75" s="699"/>
      <c r="AQ75" s="698">
        <f t="shared" ref="AQ75" si="57">($T75+AR75)*AK75</f>
        <v>0.8571428571428571</v>
      </c>
      <c r="AR75" s="697">
        <f>SUM(AR76:AR82)</f>
        <v>3</v>
      </c>
      <c r="AS75" s="696"/>
      <c r="AT75" s="696"/>
      <c r="AV75" s="699"/>
      <c r="AW75" s="698">
        <f>AK75</f>
        <v>0.2857142857142857</v>
      </c>
      <c r="AX75" s="697">
        <f>SUM(AX76:AX82)</f>
        <v>1</v>
      </c>
      <c r="AY75" s="696"/>
      <c r="AZ75" s="696"/>
      <c r="BN75" s="58" t="str">
        <f t="shared" si="56"/>
        <v>3.1 経済基盤</v>
      </c>
    </row>
    <row r="76" spans="1:66" ht="13.2" customHeight="1">
      <c r="A76" s="52"/>
      <c r="B76" s="1100"/>
      <c r="C76" s="1101" t="str">
        <f>採点Q3!C13</f>
        <v>3.1.1 都市構造</v>
      </c>
      <c r="D76" s="1102"/>
      <c r="E76" s="1103"/>
      <c r="F76" s="1103"/>
      <c r="G76" s="1103"/>
      <c r="H76" s="1119"/>
      <c r="I76" s="1104"/>
      <c r="J76" s="1105"/>
      <c r="K76" s="1105"/>
      <c r="L76" s="1105"/>
      <c r="M76" s="1105"/>
      <c r="N76" s="1105"/>
      <c r="O76" s="1106"/>
      <c r="P76" s="1037">
        <f t="shared" ref="P76:P84" si="58">ROUNDDOWN($V76,1)</f>
        <v>3</v>
      </c>
      <c r="Q76" s="1024">
        <f t="shared" si="54"/>
        <v>0.5</v>
      </c>
      <c r="R76" s="1038"/>
      <c r="S76" s="1072"/>
      <c r="T76" s="696"/>
      <c r="U76" s="696">
        <f>AS76</f>
        <v>3</v>
      </c>
      <c r="V76" s="696">
        <f t="shared" si="55"/>
        <v>3</v>
      </c>
      <c r="W76" s="712"/>
      <c r="X76" s="1818"/>
      <c r="Y76" s="1818"/>
      <c r="Z76" s="1817">
        <v>1</v>
      </c>
      <c r="AA76" s="696"/>
      <c r="AB76" s="696"/>
      <c r="AC76"/>
      <c r="AD76" s="699"/>
      <c r="AE76" s="699"/>
      <c r="AF76" s="698">
        <f>IF(AG76=0,0,Z76)</f>
        <v>1</v>
      </c>
      <c r="AG76" s="697">
        <f>SUM(AG77:AG79)</f>
        <v>3</v>
      </c>
      <c r="AH76" s="696"/>
      <c r="AI76"/>
      <c r="AJ76" s="699"/>
      <c r="AK76" s="699"/>
      <c r="AL76" s="698">
        <f>AF76/AF75</f>
        <v>0.5</v>
      </c>
      <c r="AM76" s="697"/>
      <c r="AN76" s="696"/>
      <c r="AP76" s="699"/>
      <c r="AQ76" s="699"/>
      <c r="AR76" s="698">
        <f t="shared" ref="AR76" si="59">($T76+AS76)*AL76</f>
        <v>1.5</v>
      </c>
      <c r="AS76" s="697">
        <f>SUM(AS77:AS79)</f>
        <v>3</v>
      </c>
      <c r="AT76" s="696"/>
      <c r="AV76" s="699"/>
      <c r="AW76" s="699"/>
      <c r="AX76" s="698">
        <f>AL76</f>
        <v>0.5</v>
      </c>
      <c r="AY76" s="697">
        <f>SUM(AY77:AY79)</f>
        <v>1</v>
      </c>
      <c r="AZ76" s="696"/>
      <c r="BN76" s="58" t="str">
        <f t="shared" si="56"/>
        <v>3.1.1 都市構造</v>
      </c>
    </row>
    <row r="77" spans="1:66" ht="13.2" customHeight="1">
      <c r="A77" s="52"/>
      <c r="B77" s="1100"/>
      <c r="C77" s="1120"/>
      <c r="D77" s="1110" t="str">
        <f>採点Q3!D14</f>
        <v>3.1.1.1 周辺地域への貢献</v>
      </c>
      <c r="E77" s="1111"/>
      <c r="F77" s="1111"/>
      <c r="G77" s="1111"/>
      <c r="H77" s="1119"/>
      <c r="I77" s="1113">
        <f>採点Q3!E21</f>
        <v>0</v>
      </c>
      <c r="J77" s="1105"/>
      <c r="K77" s="1105"/>
      <c r="L77" s="1105"/>
      <c r="M77" s="1105"/>
      <c r="N77" s="1105"/>
      <c r="O77" s="1106"/>
      <c r="P77" s="1037">
        <f t="shared" si="58"/>
        <v>3</v>
      </c>
      <c r="Q77" s="1024">
        <f t="shared" si="54"/>
        <v>0.33333333333333331</v>
      </c>
      <c r="R77" s="1038"/>
      <c r="S77" s="1072"/>
      <c r="T77" s="696">
        <f>採点Q3!D15</f>
        <v>3</v>
      </c>
      <c r="U77" s="696"/>
      <c r="V77" s="696">
        <f t="shared" si="55"/>
        <v>3</v>
      </c>
      <c r="W77" s="712"/>
      <c r="X77" s="1818"/>
      <c r="Y77" s="1818"/>
      <c r="Z77" s="1818"/>
      <c r="AA77" s="696">
        <v>1</v>
      </c>
      <c r="AB77" s="696"/>
      <c r="AC77"/>
      <c r="AD77" s="699"/>
      <c r="AE77" s="699"/>
      <c r="AF77" s="699"/>
      <c r="AG77" s="696">
        <f t="shared" ref="AG77:AG79" si="60">IF($T77=0,0,1)*AA77</f>
        <v>1</v>
      </c>
      <c r="AH77" s="696">
        <f t="shared" ref="AH77:AH79" si="61">IF($T77=0,0,1)*AB77</f>
        <v>0</v>
      </c>
      <c r="AI77"/>
      <c r="AJ77" s="699"/>
      <c r="AK77" s="699"/>
      <c r="AL77" s="699"/>
      <c r="AM77" s="696">
        <f>AG77/AG76</f>
        <v>0.33333333333333331</v>
      </c>
      <c r="AN77" s="696"/>
      <c r="AP77" s="699"/>
      <c r="AQ77" s="699"/>
      <c r="AR77" s="699"/>
      <c r="AS77" s="696">
        <f t="shared" ref="AS77:AS79" si="62">($T77+AT77)*AM77</f>
        <v>1</v>
      </c>
      <c r="AT77" s="696"/>
      <c r="AV77" s="699"/>
      <c r="AW77" s="699"/>
      <c r="AX77" s="699"/>
      <c r="AY77" s="696">
        <f t="shared" ref="AY77:AY79" si="63">AM77</f>
        <v>0.33333333333333331</v>
      </c>
      <c r="AZ77" s="696"/>
      <c r="BN77" s="58" t="str">
        <f t="shared" si="56"/>
        <v>3.1.1.1 周辺地域への貢献</v>
      </c>
    </row>
    <row r="78" spans="1:66" ht="13.2" customHeight="1">
      <c r="B78" s="1100"/>
      <c r="C78" s="1109"/>
      <c r="D78" s="1110" t="str">
        <f>採点Q3!D23</f>
        <v>3.1.1.2 スマートロケーション</v>
      </c>
      <c r="E78" s="1111"/>
      <c r="F78" s="1111"/>
      <c r="G78" s="1111"/>
      <c r="H78" s="1111"/>
      <c r="I78" s="1113">
        <f>採点Q3!E30</f>
        <v>0</v>
      </c>
      <c r="J78" s="1105"/>
      <c r="K78" s="1105"/>
      <c r="L78" s="1105"/>
      <c r="M78" s="1105"/>
      <c r="N78" s="1105"/>
      <c r="O78" s="1106"/>
      <c r="P78" s="1037">
        <f t="shared" si="58"/>
        <v>3</v>
      </c>
      <c r="Q78" s="1024">
        <f t="shared" si="54"/>
        <v>0.33333333333333331</v>
      </c>
      <c r="R78" s="1038"/>
      <c r="S78" s="1072"/>
      <c r="T78" s="696">
        <f>採点Q3!D24</f>
        <v>3</v>
      </c>
      <c r="U78" s="696"/>
      <c r="V78" s="696">
        <f t="shared" si="55"/>
        <v>3</v>
      </c>
      <c r="W78" s="712"/>
      <c r="X78" s="1818"/>
      <c r="Y78" s="1818"/>
      <c r="Z78" s="1818"/>
      <c r="AA78" s="696">
        <v>1</v>
      </c>
      <c r="AB78" s="696"/>
      <c r="AC78"/>
      <c r="AD78" s="699"/>
      <c r="AE78" s="699"/>
      <c r="AF78" s="699"/>
      <c r="AG78" s="696">
        <f t="shared" si="60"/>
        <v>1</v>
      </c>
      <c r="AH78" s="696">
        <f t="shared" si="61"/>
        <v>0</v>
      </c>
      <c r="AI78"/>
      <c r="AJ78" s="699"/>
      <c r="AK78" s="699"/>
      <c r="AL78" s="699"/>
      <c r="AM78" s="696">
        <f>AG78/AG76</f>
        <v>0.33333333333333331</v>
      </c>
      <c r="AN78" s="696"/>
      <c r="AP78" s="699"/>
      <c r="AQ78" s="699"/>
      <c r="AR78" s="699"/>
      <c r="AS78" s="696">
        <f t="shared" si="62"/>
        <v>1</v>
      </c>
      <c r="AT78" s="696"/>
      <c r="AV78" s="699"/>
      <c r="AW78" s="699"/>
      <c r="AX78" s="699"/>
      <c r="AY78" s="696">
        <f t="shared" si="63"/>
        <v>0.33333333333333331</v>
      </c>
      <c r="AZ78" s="696"/>
      <c r="BN78" s="58" t="str">
        <f t="shared" si="56"/>
        <v>3.1.1.2 スマートロケーション</v>
      </c>
    </row>
    <row r="79" spans="1:66" ht="13.2" customHeight="1">
      <c r="B79" s="1100"/>
      <c r="C79" s="1109"/>
      <c r="D79" s="1110" t="str">
        <f>採点Q3!D32</f>
        <v>3.1.1.3 適正な開発規模</v>
      </c>
      <c r="E79" s="1111"/>
      <c r="F79" s="1111"/>
      <c r="G79" s="1111"/>
      <c r="H79" s="1111"/>
      <c r="I79" s="1113">
        <f>採点Q3!E39</f>
        <v>0</v>
      </c>
      <c r="J79" s="1105"/>
      <c r="K79" s="1105"/>
      <c r="L79" s="1105"/>
      <c r="M79" s="1105"/>
      <c r="N79" s="1105"/>
      <c r="O79" s="1106"/>
      <c r="P79" s="1037">
        <f t="shared" si="58"/>
        <v>3</v>
      </c>
      <c r="Q79" s="1024">
        <f t="shared" si="54"/>
        <v>0.33333333333333331</v>
      </c>
      <c r="R79" s="1038"/>
      <c r="S79" s="1072"/>
      <c r="T79" s="696">
        <f>採点Q3!D33</f>
        <v>3</v>
      </c>
      <c r="U79" s="696"/>
      <c r="V79" s="696">
        <f t="shared" si="55"/>
        <v>3</v>
      </c>
      <c r="W79" s="712"/>
      <c r="X79" s="1818"/>
      <c r="Y79" s="1818"/>
      <c r="Z79" s="1819"/>
      <c r="AA79" s="696">
        <v>1</v>
      </c>
      <c r="AB79" s="696"/>
      <c r="AC79"/>
      <c r="AD79" s="699"/>
      <c r="AE79" s="699"/>
      <c r="AF79" s="700"/>
      <c r="AG79" s="696">
        <f t="shared" si="60"/>
        <v>1</v>
      </c>
      <c r="AH79" s="696">
        <f t="shared" si="61"/>
        <v>0</v>
      </c>
      <c r="AI79"/>
      <c r="AJ79" s="699"/>
      <c r="AK79" s="699"/>
      <c r="AL79" s="700"/>
      <c r="AM79" s="696">
        <f>AG79/AG76</f>
        <v>0.33333333333333331</v>
      </c>
      <c r="AN79" s="696"/>
      <c r="AP79" s="699"/>
      <c r="AQ79" s="699"/>
      <c r="AR79" s="700"/>
      <c r="AS79" s="696">
        <f t="shared" si="62"/>
        <v>1</v>
      </c>
      <c r="AT79" s="696"/>
      <c r="AV79" s="699"/>
      <c r="AW79" s="699"/>
      <c r="AX79" s="700"/>
      <c r="AY79" s="696">
        <f t="shared" si="63"/>
        <v>0.33333333333333331</v>
      </c>
      <c r="AZ79" s="696"/>
      <c r="BN79" s="58" t="str">
        <f t="shared" si="56"/>
        <v>3.1.1.3 適正な開発規模</v>
      </c>
    </row>
    <row r="80" spans="1:66" ht="13.2" customHeight="1">
      <c r="A80" s="52"/>
      <c r="B80" s="1100"/>
      <c r="C80" s="1101" t="str">
        <f>採点Q3!C41</f>
        <v>3.1.2 交通インフラ</v>
      </c>
      <c r="D80" s="1102"/>
      <c r="E80" s="1103"/>
      <c r="F80" s="1103"/>
      <c r="G80" s="1103"/>
      <c r="H80" s="1119"/>
      <c r="I80" s="1104"/>
      <c r="J80" s="1105"/>
      <c r="K80" s="1105"/>
      <c r="L80" s="1105"/>
      <c r="M80" s="1105"/>
      <c r="N80" s="1105"/>
      <c r="O80" s="1106"/>
      <c r="P80" s="1037">
        <f t="shared" si="58"/>
        <v>3</v>
      </c>
      <c r="Q80" s="1024">
        <f t="shared" si="54"/>
        <v>0.5</v>
      </c>
      <c r="R80" s="1038"/>
      <c r="S80" s="1072"/>
      <c r="T80" s="696"/>
      <c r="U80" s="696">
        <f>AS80</f>
        <v>3</v>
      </c>
      <c r="V80" s="696">
        <f t="shared" si="55"/>
        <v>3</v>
      </c>
      <c r="W80" s="712"/>
      <c r="X80" s="1818"/>
      <c r="Y80" s="1818"/>
      <c r="Z80" s="1817">
        <v>1</v>
      </c>
      <c r="AA80" s="696"/>
      <c r="AB80" s="696"/>
      <c r="AC80"/>
      <c r="AD80" s="699"/>
      <c r="AE80" s="699"/>
      <c r="AF80" s="698">
        <f>IF(AG80=0,0,Z80)</f>
        <v>1</v>
      </c>
      <c r="AG80" s="697">
        <f>SUM(AG81:AG84)</f>
        <v>4</v>
      </c>
      <c r="AH80" s="696"/>
      <c r="AI80"/>
      <c r="AJ80" s="699"/>
      <c r="AK80" s="699"/>
      <c r="AL80" s="698">
        <f>AF80/AF75</f>
        <v>0.5</v>
      </c>
      <c r="AM80" s="697"/>
      <c r="AN80" s="696"/>
      <c r="AP80" s="699"/>
      <c r="AQ80" s="699"/>
      <c r="AR80" s="698">
        <f t="shared" ref="AR80" si="64">($T80+AS80)*AL80</f>
        <v>1.5</v>
      </c>
      <c r="AS80" s="697">
        <f>SUM(AS81:AS84)</f>
        <v>3</v>
      </c>
      <c r="AT80" s="696"/>
      <c r="AV80" s="699"/>
      <c r="AW80" s="699"/>
      <c r="AX80" s="698">
        <f>AL80</f>
        <v>0.5</v>
      </c>
      <c r="AY80" s="697">
        <f>SUM(AY81:AY84)</f>
        <v>1</v>
      </c>
      <c r="AZ80" s="696"/>
      <c r="BN80" s="58" t="str">
        <f t="shared" si="56"/>
        <v>3.1.2 交通インフラ</v>
      </c>
    </row>
    <row r="81" spans="1:66" ht="13.2" customHeight="1">
      <c r="A81" s="52"/>
      <c r="B81" s="1100"/>
      <c r="C81" s="1120"/>
      <c r="D81" s="1110" t="str">
        <f>採点Q3!D42</f>
        <v>3.1.2.1 交通施設整備</v>
      </c>
      <c r="E81" s="1111"/>
      <c r="F81" s="1111"/>
      <c r="G81" s="1111"/>
      <c r="H81" s="1119"/>
      <c r="I81" s="1113">
        <f>採点Q3!E49</f>
        <v>0</v>
      </c>
      <c r="J81" s="1105"/>
      <c r="K81" s="1105"/>
      <c r="L81" s="1105"/>
      <c r="M81" s="1105"/>
      <c r="N81" s="1105"/>
      <c r="O81" s="1106"/>
      <c r="P81" s="1037">
        <f t="shared" si="58"/>
        <v>3</v>
      </c>
      <c r="Q81" s="1024">
        <f t="shared" si="54"/>
        <v>0.25</v>
      </c>
      <c r="R81" s="1038"/>
      <c r="S81" s="1072"/>
      <c r="T81" s="696">
        <f>採点Q3!D43</f>
        <v>3</v>
      </c>
      <c r="U81" s="696"/>
      <c r="V81" s="696">
        <f t="shared" si="55"/>
        <v>3</v>
      </c>
      <c r="W81" s="712"/>
      <c r="X81" s="1818"/>
      <c r="Y81" s="1818"/>
      <c r="Z81" s="1818"/>
      <c r="AA81" s="696">
        <v>1</v>
      </c>
      <c r="AB81" s="696"/>
      <c r="AC81"/>
      <c r="AD81" s="699"/>
      <c r="AE81" s="699"/>
      <c r="AF81" s="699"/>
      <c r="AG81" s="696">
        <f t="shared" ref="AG81:AH84" si="65">IF($T81=0,0,1)*AA81</f>
        <v>1</v>
      </c>
      <c r="AH81" s="696">
        <f t="shared" si="65"/>
        <v>0</v>
      </c>
      <c r="AI81"/>
      <c r="AJ81" s="699"/>
      <c r="AK81" s="699"/>
      <c r="AL81" s="699"/>
      <c r="AM81" s="696">
        <f>AG81/AG80</f>
        <v>0.25</v>
      </c>
      <c r="AN81" s="696"/>
      <c r="AP81" s="699"/>
      <c r="AQ81" s="699"/>
      <c r="AR81" s="699"/>
      <c r="AS81" s="696">
        <f t="shared" ref="AS81:AS84" si="66">($T81+AT81)*AM81</f>
        <v>0.75</v>
      </c>
      <c r="AT81" s="696"/>
      <c r="AV81" s="699"/>
      <c r="AW81" s="699"/>
      <c r="AX81" s="699"/>
      <c r="AY81" s="696">
        <f t="shared" ref="AY81:AY84" si="67">AM81</f>
        <v>0.25</v>
      </c>
      <c r="AZ81" s="696"/>
      <c r="BN81" s="58" t="str">
        <f t="shared" si="56"/>
        <v>3.1.2.1 交通施設整備</v>
      </c>
    </row>
    <row r="82" spans="1:66" ht="13.2" customHeight="1">
      <c r="A82" s="52"/>
      <c r="B82" s="1100"/>
      <c r="C82" s="1109"/>
      <c r="D82" s="1110" t="str">
        <f>採点Q3!D51</f>
        <v>3.1.2.2 公共交通指向型開発</v>
      </c>
      <c r="E82" s="1111"/>
      <c r="F82" s="1111"/>
      <c r="G82" s="1111"/>
      <c r="H82" s="1111"/>
      <c r="I82" s="1113" t="str">
        <f>採点Q3!D59</f>
        <v>評価する取組</v>
      </c>
      <c r="J82" s="1105"/>
      <c r="K82" s="1122">
        <f>採点Q3!E58</f>
        <v>0</v>
      </c>
      <c r="L82" s="1105"/>
      <c r="M82" s="1105"/>
      <c r="N82" s="1105"/>
      <c r="O82" s="1106"/>
      <c r="P82" s="1037">
        <f t="shared" si="58"/>
        <v>3</v>
      </c>
      <c r="Q82" s="1024">
        <f t="shared" si="54"/>
        <v>0.25</v>
      </c>
      <c r="R82" s="1038"/>
      <c r="S82" s="1072"/>
      <c r="T82" s="696">
        <f>採点Q3!D52</f>
        <v>3</v>
      </c>
      <c r="U82" s="696"/>
      <c r="V82" s="696">
        <f t="shared" si="55"/>
        <v>3</v>
      </c>
      <c r="W82" s="712"/>
      <c r="X82" s="1818"/>
      <c r="Y82" s="1818"/>
      <c r="Z82" s="1818"/>
      <c r="AA82" s="696">
        <v>1</v>
      </c>
      <c r="AB82" s="696"/>
      <c r="AC82"/>
      <c r="AD82" s="699"/>
      <c r="AE82" s="699"/>
      <c r="AF82" s="699"/>
      <c r="AG82" s="696">
        <f t="shared" si="65"/>
        <v>1</v>
      </c>
      <c r="AH82" s="696">
        <f t="shared" si="65"/>
        <v>0</v>
      </c>
      <c r="AI82"/>
      <c r="AJ82" s="699"/>
      <c r="AK82" s="699"/>
      <c r="AL82" s="699"/>
      <c r="AM82" s="696">
        <f>AG82/AG80</f>
        <v>0.25</v>
      </c>
      <c r="AN82" s="696"/>
      <c r="AP82" s="699"/>
      <c r="AQ82" s="699"/>
      <c r="AR82" s="699"/>
      <c r="AS82" s="696">
        <f t="shared" si="66"/>
        <v>0.75</v>
      </c>
      <c r="AT82" s="696"/>
      <c r="AV82" s="699"/>
      <c r="AW82" s="699"/>
      <c r="AX82" s="699"/>
      <c r="AY82" s="696">
        <f t="shared" si="67"/>
        <v>0.25</v>
      </c>
      <c r="AZ82" s="696"/>
      <c r="BN82" s="58" t="str">
        <f t="shared" si="56"/>
        <v>3.1.2.2 公共交通指向型開発</v>
      </c>
    </row>
    <row r="83" spans="1:66" ht="13.2" customHeight="1">
      <c r="B83" s="1100"/>
      <c r="C83" s="1109"/>
      <c r="D83" s="1110" t="str">
        <f>採点Q3!D67</f>
        <v>3.1.2.3 モビリティサービス</v>
      </c>
      <c r="E83" s="1111"/>
      <c r="F83" s="1111"/>
      <c r="G83" s="1111"/>
      <c r="H83" s="1111"/>
      <c r="I83" s="1113">
        <f>採点Q3!E74</f>
        <v>0</v>
      </c>
      <c r="J83" s="1105"/>
      <c r="K83" s="1105"/>
      <c r="L83" s="1105"/>
      <c r="M83" s="1105"/>
      <c r="N83" s="1105"/>
      <c r="O83" s="1106"/>
      <c r="P83" s="1037">
        <f t="shared" si="58"/>
        <v>3</v>
      </c>
      <c r="Q83" s="1024">
        <f t="shared" si="54"/>
        <v>0.25</v>
      </c>
      <c r="R83" s="1038"/>
      <c r="S83" s="1072"/>
      <c r="T83" s="696">
        <f>採点Q3!D68</f>
        <v>3</v>
      </c>
      <c r="U83" s="696"/>
      <c r="V83" s="696">
        <f t="shared" si="55"/>
        <v>3</v>
      </c>
      <c r="W83" s="712"/>
      <c r="X83" s="1818"/>
      <c r="Y83" s="1818"/>
      <c r="Z83" s="1818"/>
      <c r="AA83" s="696">
        <v>1</v>
      </c>
      <c r="AB83" s="696"/>
      <c r="AC83"/>
      <c r="AD83" s="699"/>
      <c r="AE83" s="699"/>
      <c r="AF83" s="699"/>
      <c r="AG83" s="696">
        <f t="shared" si="65"/>
        <v>1</v>
      </c>
      <c r="AH83" s="696">
        <f t="shared" si="65"/>
        <v>0</v>
      </c>
      <c r="AI83"/>
      <c r="AJ83" s="699"/>
      <c r="AK83" s="699"/>
      <c r="AL83" s="699"/>
      <c r="AM83" s="698">
        <f>AG83/AG80</f>
        <v>0.25</v>
      </c>
      <c r="AN83" s="696"/>
      <c r="AP83" s="699"/>
      <c r="AQ83" s="699"/>
      <c r="AR83" s="699"/>
      <c r="AS83" s="698">
        <f t="shared" si="66"/>
        <v>0.75</v>
      </c>
      <c r="AT83" s="696"/>
      <c r="AV83" s="699"/>
      <c r="AW83" s="699"/>
      <c r="AX83" s="699"/>
      <c r="AY83" s="698">
        <f t="shared" si="67"/>
        <v>0.25</v>
      </c>
      <c r="AZ83" s="696"/>
      <c r="BN83" s="58" t="str">
        <f t="shared" si="56"/>
        <v>3.1.2.3 モビリティサービス</v>
      </c>
    </row>
    <row r="84" spans="1:66" ht="13.2" customHeight="1">
      <c r="B84" s="1100"/>
      <c r="C84" s="1109"/>
      <c r="D84" s="1110" t="str">
        <f>採点Q3!D76</f>
        <v>3.1.2.4 物流システム</v>
      </c>
      <c r="E84" s="1111"/>
      <c r="F84" s="1111"/>
      <c r="G84" s="1111"/>
      <c r="H84" s="1111"/>
      <c r="I84" s="1113">
        <f>採点Q3!E83</f>
        <v>0</v>
      </c>
      <c r="J84" s="1105"/>
      <c r="K84" s="1105"/>
      <c r="L84" s="1105"/>
      <c r="M84" s="1105"/>
      <c r="N84" s="1105"/>
      <c r="O84" s="1106"/>
      <c r="P84" s="1037">
        <f t="shared" si="58"/>
        <v>3</v>
      </c>
      <c r="Q84" s="1024">
        <f t="shared" si="54"/>
        <v>0.25</v>
      </c>
      <c r="R84" s="1039"/>
      <c r="S84" s="1072"/>
      <c r="T84" s="696">
        <f>採点Q3!D77</f>
        <v>3</v>
      </c>
      <c r="U84" s="696"/>
      <c r="V84" s="696">
        <f t="shared" si="55"/>
        <v>3</v>
      </c>
      <c r="W84" s="712"/>
      <c r="X84" s="1818"/>
      <c r="Y84" s="1819"/>
      <c r="Z84" s="1819"/>
      <c r="AA84" s="696">
        <v>1</v>
      </c>
      <c r="AB84" s="696"/>
      <c r="AC84"/>
      <c r="AD84" s="699"/>
      <c r="AE84" s="700"/>
      <c r="AF84" s="700"/>
      <c r="AG84" s="696">
        <f t="shared" si="65"/>
        <v>1</v>
      </c>
      <c r="AH84" s="696">
        <f t="shared" si="65"/>
        <v>0</v>
      </c>
      <c r="AI84"/>
      <c r="AJ84" s="699"/>
      <c r="AK84" s="700"/>
      <c r="AL84" s="700"/>
      <c r="AM84" s="698">
        <f>AG84/AG80</f>
        <v>0.25</v>
      </c>
      <c r="AN84" s="696"/>
      <c r="AP84" s="699"/>
      <c r="AQ84" s="700"/>
      <c r="AR84" s="700"/>
      <c r="AS84" s="698">
        <f t="shared" si="66"/>
        <v>0.75</v>
      </c>
      <c r="AT84" s="696"/>
      <c r="AV84" s="699"/>
      <c r="AW84" s="700"/>
      <c r="AX84" s="700"/>
      <c r="AY84" s="698">
        <f t="shared" si="67"/>
        <v>0.25</v>
      </c>
      <c r="AZ84" s="696"/>
      <c r="BN84" s="58" t="str">
        <f t="shared" si="56"/>
        <v>3.1.2.4 物流システム</v>
      </c>
    </row>
    <row r="85" spans="1:66" ht="13.2" customHeight="1">
      <c r="A85" s="52"/>
      <c r="B85" s="1117" t="str">
        <f>採点Q3!B85</f>
        <v>3.2 ヒューマンキャピタル</v>
      </c>
      <c r="C85" s="1118"/>
      <c r="D85" s="1103"/>
      <c r="E85" s="1103"/>
      <c r="F85" s="1103"/>
      <c r="G85" s="1103"/>
      <c r="H85" s="1103"/>
      <c r="I85" s="1104"/>
      <c r="J85" s="1105"/>
      <c r="K85" s="1105"/>
      <c r="L85" s="1105"/>
      <c r="M85" s="1105"/>
      <c r="N85" s="1105"/>
      <c r="O85" s="1106"/>
      <c r="P85" s="1037"/>
      <c r="Q85" s="1024">
        <f t="shared" si="54"/>
        <v>0.2857142857142857</v>
      </c>
      <c r="R85" s="1028">
        <f>ROUNDDOWN($V85,1)</f>
        <v>3.5</v>
      </c>
      <c r="S85" s="1072"/>
      <c r="T85" s="696"/>
      <c r="U85" s="696">
        <f>AR85</f>
        <v>3.5</v>
      </c>
      <c r="V85" s="696">
        <f t="shared" si="55"/>
        <v>3.5</v>
      </c>
      <c r="W85" s="712"/>
      <c r="X85" s="1818"/>
      <c r="Y85" s="1817">
        <v>1</v>
      </c>
      <c r="Z85" s="696"/>
      <c r="AA85" s="696"/>
      <c r="AB85" s="696"/>
      <c r="AC85"/>
      <c r="AD85" s="699"/>
      <c r="AE85" s="698">
        <f>IF(AF85=0,0,Y85)</f>
        <v>1</v>
      </c>
      <c r="AF85" s="697">
        <f>SUM(AF86:AF89)</f>
        <v>2</v>
      </c>
      <c r="AG85" s="696"/>
      <c r="AH85" s="696">
        <f>IF($T85=0,0,1)*AB85</f>
        <v>0</v>
      </c>
      <c r="AI85"/>
      <c r="AJ85" s="699"/>
      <c r="AK85" s="698">
        <f>AE85/AE74</f>
        <v>0.2857142857142857</v>
      </c>
      <c r="AL85" s="697"/>
      <c r="AM85" s="696"/>
      <c r="AN85" s="696"/>
      <c r="AP85" s="699"/>
      <c r="AQ85" s="698">
        <f t="shared" ref="AQ85" si="68">($T85+AR85)*AK85</f>
        <v>1</v>
      </c>
      <c r="AR85" s="697">
        <f>SUM(AR86:AR89)</f>
        <v>3.5</v>
      </c>
      <c r="AS85" s="696"/>
      <c r="AT85" s="696"/>
      <c r="AV85" s="699"/>
      <c r="AW85" s="698">
        <f>AK85</f>
        <v>0.2857142857142857</v>
      </c>
      <c r="AX85" s="697">
        <f>SUM(AX86:AX89)</f>
        <v>1</v>
      </c>
      <c r="AY85" s="696"/>
      <c r="AZ85" s="696"/>
      <c r="BN85" s="58" t="str">
        <f t="shared" si="56"/>
        <v>3.2 ヒューマンキャピタル</v>
      </c>
    </row>
    <row r="86" spans="1:66" ht="13.2" customHeight="1">
      <c r="A86" s="52"/>
      <c r="B86" s="1100"/>
      <c r="C86" s="1101" t="str">
        <f>採点Q3!C86</f>
        <v>3.2.1 人口</v>
      </c>
      <c r="D86" s="1102"/>
      <c r="E86" s="1103"/>
      <c r="F86" s="1103"/>
      <c r="G86" s="1103"/>
      <c r="H86" s="1119"/>
      <c r="I86" s="1104"/>
      <c r="J86" s="1105"/>
      <c r="K86" s="1105"/>
      <c r="L86" s="1105"/>
      <c r="M86" s="1105"/>
      <c r="N86" s="1105"/>
      <c r="O86" s="1106"/>
      <c r="P86" s="1037">
        <f t="shared" ref="P86:P89" si="69">ROUNDDOWN($V86,1)</f>
        <v>3</v>
      </c>
      <c r="Q86" s="1024">
        <f t="shared" si="54"/>
        <v>0.5</v>
      </c>
      <c r="R86" s="1038"/>
      <c r="S86" s="1072"/>
      <c r="T86" s="696"/>
      <c r="U86" s="696">
        <f>AS86</f>
        <v>3</v>
      </c>
      <c r="V86" s="696">
        <f t="shared" si="55"/>
        <v>3</v>
      </c>
      <c r="W86" s="712"/>
      <c r="X86" s="1818"/>
      <c r="Y86" s="1818"/>
      <c r="Z86" s="1817">
        <v>1</v>
      </c>
      <c r="AA86" s="696"/>
      <c r="AB86" s="696"/>
      <c r="AC86"/>
      <c r="AD86" s="699"/>
      <c r="AE86" s="699"/>
      <c r="AF86" s="698">
        <f>IF(AG86=0,0,Z86)</f>
        <v>1</v>
      </c>
      <c r="AG86" s="697">
        <f>SUM(AG87:AG88)</f>
        <v>2</v>
      </c>
      <c r="AH86" s="696"/>
      <c r="AI86"/>
      <c r="AJ86" s="699"/>
      <c r="AK86" s="699"/>
      <c r="AL86" s="698">
        <f>AF86/AF85</f>
        <v>0.5</v>
      </c>
      <c r="AM86" s="697"/>
      <c r="AN86" s="696"/>
      <c r="AP86" s="699"/>
      <c r="AQ86" s="699"/>
      <c r="AR86" s="698">
        <f t="shared" ref="AR86" si="70">($T86+AS86)*AL86</f>
        <v>1.5</v>
      </c>
      <c r="AS86" s="697">
        <f>SUM(AS87:AS88)</f>
        <v>3</v>
      </c>
      <c r="AT86" s="696"/>
      <c r="AV86" s="699"/>
      <c r="AW86" s="699"/>
      <c r="AX86" s="698">
        <f>AL86</f>
        <v>0.5</v>
      </c>
      <c r="AY86" s="697">
        <f>SUM(AY87:AY88)</f>
        <v>1</v>
      </c>
      <c r="AZ86" s="696"/>
      <c r="BN86" s="58" t="str">
        <f t="shared" si="56"/>
        <v>3.2.1 人口</v>
      </c>
    </row>
    <row r="87" spans="1:66" ht="13.2" customHeight="1">
      <c r="A87" s="52"/>
      <c r="B87" s="1100"/>
      <c r="C87" s="1120"/>
      <c r="D87" s="1110" t="str">
        <f>採点Q3!D87</f>
        <v>3.2.1.1 常住人口（夜間人口）</v>
      </c>
      <c r="E87" s="1111"/>
      <c r="F87" s="1111"/>
      <c r="G87" s="1111"/>
      <c r="H87" s="1119"/>
      <c r="I87" s="1113">
        <f>採点Q3!E94</f>
        <v>0</v>
      </c>
      <c r="J87" s="1105"/>
      <c r="K87" s="1105"/>
      <c r="L87" s="1105"/>
      <c r="M87" s="1105"/>
      <c r="N87" s="1105"/>
      <c r="O87" s="1106"/>
      <c r="P87" s="1037">
        <f t="shared" si="69"/>
        <v>3</v>
      </c>
      <c r="Q87" s="1024">
        <f t="shared" si="54"/>
        <v>0.5</v>
      </c>
      <c r="R87" s="1038"/>
      <c r="S87" s="1072"/>
      <c r="T87" s="696">
        <f>採点Q3!D88</f>
        <v>3</v>
      </c>
      <c r="U87" s="696"/>
      <c r="V87" s="696">
        <f t="shared" si="55"/>
        <v>3</v>
      </c>
      <c r="W87" s="712"/>
      <c r="X87" s="1818"/>
      <c r="Y87" s="1818"/>
      <c r="Z87" s="1818"/>
      <c r="AA87" s="696">
        <v>1</v>
      </c>
      <c r="AB87" s="696"/>
      <c r="AC87"/>
      <c r="AD87" s="699"/>
      <c r="AE87" s="699"/>
      <c r="AF87" s="699"/>
      <c r="AG87" s="696">
        <f t="shared" ref="AG87:AH89" si="71">IF($T87=0,0,1)*AA87</f>
        <v>1</v>
      </c>
      <c r="AH87" s="696">
        <f t="shared" si="71"/>
        <v>0</v>
      </c>
      <c r="AI87"/>
      <c r="AJ87" s="699"/>
      <c r="AK87" s="699"/>
      <c r="AL87" s="699"/>
      <c r="AM87" s="696">
        <f>AG87/AG86</f>
        <v>0.5</v>
      </c>
      <c r="AN87" s="696"/>
      <c r="AP87" s="699"/>
      <c r="AQ87" s="699"/>
      <c r="AR87" s="699"/>
      <c r="AS87" s="696">
        <f t="shared" ref="AS87:AS88" si="72">($T87+AT87)*AM87</f>
        <v>1.5</v>
      </c>
      <c r="AT87" s="696"/>
      <c r="AV87" s="699"/>
      <c r="AW87" s="699"/>
      <c r="AX87" s="699"/>
      <c r="AY87" s="696">
        <f t="shared" ref="AY87:AY88" si="73">AM87</f>
        <v>0.5</v>
      </c>
      <c r="AZ87" s="696"/>
      <c r="BN87" s="58" t="str">
        <f t="shared" si="56"/>
        <v>3.2.1.1 常住人口（夜間人口）</v>
      </c>
    </row>
    <row r="88" spans="1:66" ht="13.2" customHeight="1">
      <c r="A88" s="52"/>
      <c r="B88" s="1100"/>
      <c r="C88" s="1109"/>
      <c r="D88" s="1110" t="str">
        <f>採点Q3!D96</f>
        <v>3.2.1.2 滞在人口（昼間人口）</v>
      </c>
      <c r="E88" s="1111"/>
      <c r="F88" s="1111"/>
      <c r="G88" s="1111"/>
      <c r="H88" s="1111"/>
      <c r="I88" s="1113">
        <f>採点Q3!E103</f>
        <v>0</v>
      </c>
      <c r="J88" s="1105"/>
      <c r="K88" s="1105"/>
      <c r="L88" s="1105"/>
      <c r="M88" s="1105"/>
      <c r="N88" s="1105"/>
      <c r="O88" s="1106"/>
      <c r="P88" s="1037">
        <f t="shared" si="69"/>
        <v>3</v>
      </c>
      <c r="Q88" s="1024">
        <f t="shared" si="54"/>
        <v>0.5</v>
      </c>
      <c r="R88" s="1038"/>
      <c r="S88" s="1072"/>
      <c r="T88" s="696">
        <f>採点Q3!D97</f>
        <v>3</v>
      </c>
      <c r="U88" s="696"/>
      <c r="V88" s="696">
        <f t="shared" si="55"/>
        <v>3</v>
      </c>
      <c r="W88" s="712"/>
      <c r="X88" s="1818"/>
      <c r="Y88" s="1818"/>
      <c r="Z88" s="1819"/>
      <c r="AA88" s="696">
        <v>1</v>
      </c>
      <c r="AB88" s="696"/>
      <c r="AC88"/>
      <c r="AD88" s="699"/>
      <c r="AE88" s="699"/>
      <c r="AF88" s="700"/>
      <c r="AG88" s="696">
        <f t="shared" si="71"/>
        <v>1</v>
      </c>
      <c r="AH88" s="696">
        <f t="shared" si="71"/>
        <v>0</v>
      </c>
      <c r="AI88"/>
      <c r="AJ88" s="699"/>
      <c r="AK88" s="699"/>
      <c r="AL88" s="700"/>
      <c r="AM88" s="696">
        <f>AG88/AG86</f>
        <v>0.5</v>
      </c>
      <c r="AN88" s="696"/>
      <c r="AP88" s="699"/>
      <c r="AQ88" s="699"/>
      <c r="AR88" s="700"/>
      <c r="AS88" s="696">
        <f t="shared" si="72"/>
        <v>1.5</v>
      </c>
      <c r="AT88" s="696"/>
      <c r="AV88" s="699"/>
      <c r="AW88" s="699"/>
      <c r="AX88" s="700"/>
      <c r="AY88" s="696">
        <f t="shared" si="73"/>
        <v>0.5</v>
      </c>
      <c r="AZ88" s="696"/>
      <c r="BN88" s="58" t="str">
        <f t="shared" si="56"/>
        <v>3.2.1.2 滞在人口（昼間人口）</v>
      </c>
    </row>
    <row r="89" spans="1:66" ht="13.2" customHeight="1">
      <c r="A89" s="52"/>
      <c r="B89" s="1100"/>
      <c r="C89" s="1101" t="str">
        <f>採点Q3!C105</f>
        <v>3.2.2 学習機会</v>
      </c>
      <c r="D89" s="1102"/>
      <c r="E89" s="1103"/>
      <c r="F89" s="1103"/>
      <c r="G89" s="1103"/>
      <c r="H89" s="1119"/>
      <c r="I89" s="1113" t="str">
        <f>採点Q3!D113</f>
        <v>評価する取組</v>
      </c>
      <c r="J89" s="1105"/>
      <c r="K89" s="1122">
        <f>採点Q3!E112</f>
        <v>0</v>
      </c>
      <c r="L89" s="1105"/>
      <c r="M89" s="1105"/>
      <c r="N89" s="1105"/>
      <c r="O89" s="1106"/>
      <c r="P89" s="1037">
        <f t="shared" si="69"/>
        <v>4</v>
      </c>
      <c r="Q89" s="1024">
        <f t="shared" si="54"/>
        <v>0.5</v>
      </c>
      <c r="R89" s="1039"/>
      <c r="S89" s="1072"/>
      <c r="T89" s="696">
        <f>採点Q3!D106</f>
        <v>4</v>
      </c>
      <c r="U89" s="696"/>
      <c r="V89" s="696">
        <f t="shared" si="55"/>
        <v>4</v>
      </c>
      <c r="W89" s="712"/>
      <c r="X89" s="1818"/>
      <c r="Y89" s="1819"/>
      <c r="Z89" s="696">
        <v>1</v>
      </c>
      <c r="AA89" s="696"/>
      <c r="AB89" s="696"/>
      <c r="AC89"/>
      <c r="AD89" s="699"/>
      <c r="AE89" s="700"/>
      <c r="AF89" s="696">
        <f>IF($T89=0,0,1)*Z89</f>
        <v>1</v>
      </c>
      <c r="AG89" s="696">
        <f t="shared" si="71"/>
        <v>0</v>
      </c>
      <c r="AH89" s="696">
        <f t="shared" si="71"/>
        <v>0</v>
      </c>
      <c r="AI89"/>
      <c r="AJ89" s="699"/>
      <c r="AK89" s="700"/>
      <c r="AL89" s="698">
        <f>AF89/AF85</f>
        <v>0.5</v>
      </c>
      <c r="AM89" s="696"/>
      <c r="AN89" s="696"/>
      <c r="AP89" s="699"/>
      <c r="AQ89" s="700"/>
      <c r="AR89" s="698">
        <f t="shared" ref="AR89" si="74">($T89+AS89)*AL89</f>
        <v>2</v>
      </c>
      <c r="AS89" s="696"/>
      <c r="AT89" s="696"/>
      <c r="AV89" s="699"/>
      <c r="AW89" s="700"/>
      <c r="AX89" s="698">
        <f>AL89</f>
        <v>0.5</v>
      </c>
      <c r="AY89" s="696"/>
      <c r="AZ89" s="696"/>
      <c r="BN89" s="58" t="str">
        <f t="shared" si="56"/>
        <v>3.2.2 学習機会</v>
      </c>
    </row>
    <row r="90" spans="1:66" ht="13.2" customHeight="1">
      <c r="A90" s="52"/>
      <c r="B90" s="1117" t="str">
        <f>採点Q3!B120</f>
        <v>3.3 活性化方策</v>
      </c>
      <c r="C90" s="1118"/>
      <c r="D90" s="1103"/>
      <c r="E90" s="1103"/>
      <c r="F90" s="1103"/>
      <c r="G90" s="1103"/>
      <c r="H90" s="1103"/>
      <c r="I90" s="1104"/>
      <c r="J90" s="1105"/>
      <c r="K90" s="1105"/>
      <c r="L90" s="1105"/>
      <c r="M90" s="1105"/>
      <c r="N90" s="1105"/>
      <c r="O90" s="1106"/>
      <c r="P90" s="1037"/>
      <c r="Q90" s="1024">
        <f t="shared" si="54"/>
        <v>0.2857142857142857</v>
      </c>
      <c r="R90" s="1028">
        <f>ROUNDDOWN($V90,1)</f>
        <v>3</v>
      </c>
      <c r="S90" s="1072"/>
      <c r="T90" s="696"/>
      <c r="U90" s="696">
        <f>AR90</f>
        <v>3</v>
      </c>
      <c r="V90" s="696">
        <f t="shared" si="55"/>
        <v>3</v>
      </c>
      <c r="W90" s="712"/>
      <c r="X90" s="1818"/>
      <c r="Y90" s="1817">
        <v>1</v>
      </c>
      <c r="Z90" s="696"/>
      <c r="AA90" s="696"/>
      <c r="AB90" s="696"/>
      <c r="AC90"/>
      <c r="AD90" s="699"/>
      <c r="AE90" s="698">
        <f>IF(AF90=0,0,Y90)</f>
        <v>1</v>
      </c>
      <c r="AF90" s="697">
        <f>SUM(AF91:AF97)</f>
        <v>3</v>
      </c>
      <c r="AG90" s="696"/>
      <c r="AH90" s="696">
        <f t="shared" ref="AH90" si="75">IF($T90=0,0,1)*AB90</f>
        <v>0</v>
      </c>
      <c r="AI90"/>
      <c r="AJ90" s="699"/>
      <c r="AK90" s="698">
        <f>AE90/AE74</f>
        <v>0.2857142857142857</v>
      </c>
      <c r="AL90" s="697"/>
      <c r="AM90" s="696"/>
      <c r="AN90" s="696"/>
      <c r="AP90" s="699"/>
      <c r="AQ90" s="698">
        <f t="shared" ref="AQ90" si="76">($T90+AR90)*AK90</f>
        <v>0.8571428571428571</v>
      </c>
      <c r="AR90" s="697">
        <f>SUM(AR91:AR97)</f>
        <v>3</v>
      </c>
      <c r="AS90" s="696"/>
      <c r="AT90" s="696"/>
      <c r="AV90" s="699"/>
      <c r="AW90" s="698">
        <f>AK90</f>
        <v>0.2857142857142857</v>
      </c>
      <c r="AX90" s="697">
        <f>SUM(AX91:AX97)</f>
        <v>1</v>
      </c>
      <c r="AY90" s="696"/>
      <c r="AZ90" s="696"/>
      <c r="BN90" s="58" t="str">
        <f t="shared" si="56"/>
        <v>3.3 活性化方策</v>
      </c>
    </row>
    <row r="91" spans="1:66" ht="13.2" customHeight="1">
      <c r="A91" s="52"/>
      <c r="B91" s="1100"/>
      <c r="C91" s="1110" t="str">
        <f>採点Q3!C121</f>
        <v>3.3.1 雇用・働く場の創出</v>
      </c>
      <c r="D91" s="1102"/>
      <c r="E91" s="1103"/>
      <c r="F91" s="1103"/>
      <c r="G91" s="1103"/>
      <c r="H91" s="1119"/>
      <c r="I91" s="1104"/>
      <c r="J91" s="1105"/>
      <c r="K91" s="1105"/>
      <c r="L91" s="1105"/>
      <c r="M91" s="1105"/>
      <c r="N91" s="1105"/>
      <c r="O91" s="1106"/>
      <c r="P91" s="1037">
        <f t="shared" ref="P91:P97" si="77">ROUNDDOWN($V91,1)</f>
        <v>3</v>
      </c>
      <c r="Q91" s="1024">
        <f t="shared" si="54"/>
        <v>0.33333333333333331</v>
      </c>
      <c r="R91" s="1038"/>
      <c r="S91" s="1072"/>
      <c r="T91" s="696"/>
      <c r="U91" s="696">
        <f>AS91</f>
        <v>3</v>
      </c>
      <c r="V91" s="696">
        <f t="shared" si="55"/>
        <v>3</v>
      </c>
      <c r="W91" s="712"/>
      <c r="X91" s="1818"/>
      <c r="Y91" s="1818"/>
      <c r="Z91" s="1817">
        <v>1</v>
      </c>
      <c r="AA91" s="696"/>
      <c r="AB91" s="696"/>
      <c r="AC91"/>
      <c r="AD91" s="699"/>
      <c r="AE91" s="699"/>
      <c r="AF91" s="698">
        <f>IF(AG91=0,0,Z91)</f>
        <v>1</v>
      </c>
      <c r="AG91" s="697">
        <f>SUM(AG92:AG93)</f>
        <v>2</v>
      </c>
      <c r="AH91" s="696"/>
      <c r="AI91"/>
      <c r="AJ91" s="699"/>
      <c r="AK91" s="699"/>
      <c r="AL91" s="698">
        <f>AF91/AF90</f>
        <v>0.33333333333333331</v>
      </c>
      <c r="AM91" s="697"/>
      <c r="AN91" s="696"/>
      <c r="AP91" s="699"/>
      <c r="AQ91" s="699"/>
      <c r="AR91" s="698">
        <f t="shared" ref="AR91" si="78">($T91+AS91)*AL91</f>
        <v>1</v>
      </c>
      <c r="AS91" s="697">
        <f>SUM(AS92:AS93)</f>
        <v>3</v>
      </c>
      <c r="AT91" s="696"/>
      <c r="AV91" s="699"/>
      <c r="AW91" s="699"/>
      <c r="AX91" s="698">
        <f>AL91</f>
        <v>0.33333333333333331</v>
      </c>
      <c r="AY91" s="697">
        <f>SUM(AY92:AY93)</f>
        <v>1</v>
      </c>
      <c r="AZ91" s="696"/>
      <c r="BN91" s="58" t="str">
        <f t="shared" si="56"/>
        <v>3.3.1 雇用・働く場の創出</v>
      </c>
    </row>
    <row r="92" spans="1:66" ht="13.2" customHeight="1">
      <c r="A92" s="52"/>
      <c r="B92" s="1100"/>
      <c r="C92" s="1120"/>
      <c r="D92" s="1110" t="str">
        <f>採点Q3!D122</f>
        <v>3.3.1.1 雇用創出</v>
      </c>
      <c r="E92" s="1111"/>
      <c r="F92" s="1111"/>
      <c r="G92" s="1111"/>
      <c r="H92" s="1119"/>
      <c r="I92" s="1113" t="str">
        <f>採点Q3!D130</f>
        <v>評価する取組</v>
      </c>
      <c r="J92" s="1105"/>
      <c r="K92" s="1122">
        <f>採点Q3!E129</f>
        <v>0</v>
      </c>
      <c r="L92" s="1105"/>
      <c r="M92" s="1105"/>
      <c r="N92" s="1105"/>
      <c r="O92" s="1106"/>
      <c r="P92" s="1037">
        <f t="shared" si="77"/>
        <v>3</v>
      </c>
      <c r="Q92" s="1024">
        <f t="shared" si="54"/>
        <v>0.5</v>
      </c>
      <c r="R92" s="1038"/>
      <c r="S92" s="1072"/>
      <c r="T92" s="696">
        <f>採点Q3!D123</f>
        <v>3</v>
      </c>
      <c r="U92" s="696"/>
      <c r="V92" s="696">
        <f t="shared" si="55"/>
        <v>3</v>
      </c>
      <c r="W92" s="712"/>
      <c r="X92" s="1818"/>
      <c r="Y92" s="1818"/>
      <c r="Z92" s="1818"/>
      <c r="AA92" s="696">
        <v>1</v>
      </c>
      <c r="AB92" s="696"/>
      <c r="AC92"/>
      <c r="AD92" s="699"/>
      <c r="AE92" s="699"/>
      <c r="AF92" s="699"/>
      <c r="AG92" s="696">
        <f t="shared" ref="AG92" si="79">IF($T92=0,0,1)*AA92</f>
        <v>1</v>
      </c>
      <c r="AH92" s="696">
        <f t="shared" ref="AH92" si="80">IF($T92=0,0,1)*AB92</f>
        <v>0</v>
      </c>
      <c r="AI92"/>
      <c r="AJ92" s="699"/>
      <c r="AK92" s="699"/>
      <c r="AL92" s="699"/>
      <c r="AM92" s="696">
        <f>AG92/AG91</f>
        <v>0.5</v>
      </c>
      <c r="AN92" s="696"/>
      <c r="AP92" s="699"/>
      <c r="AQ92" s="699"/>
      <c r="AR92" s="699"/>
      <c r="AS92" s="696">
        <f t="shared" ref="AS92:AS93" si="81">($T92+AT92)*AM92</f>
        <v>1.5</v>
      </c>
      <c r="AT92" s="696"/>
      <c r="AV92" s="699"/>
      <c r="AW92" s="699"/>
      <c r="AX92" s="699"/>
      <c r="AY92" s="696">
        <f t="shared" ref="AY92:AY93" si="82">AM92</f>
        <v>0.5</v>
      </c>
      <c r="AZ92" s="696"/>
      <c r="BN92" s="58" t="str">
        <f t="shared" si="56"/>
        <v>3.3.1.1 雇用創出</v>
      </c>
    </row>
    <row r="93" spans="1:66" ht="13.2" customHeight="1">
      <c r="A93" s="52"/>
      <c r="B93" s="1100"/>
      <c r="C93" s="1109"/>
      <c r="D93" s="1110" t="str">
        <f>採点Q3!D139</f>
        <v>3.3.1.2 働き方の多様性</v>
      </c>
      <c r="E93" s="1111"/>
      <c r="F93" s="1111"/>
      <c r="G93" s="1111"/>
      <c r="H93" s="1111"/>
      <c r="I93" s="1113">
        <f>採点Q3!E146</f>
        <v>0</v>
      </c>
      <c r="J93" s="1105"/>
      <c r="K93" s="1105"/>
      <c r="L93" s="1105"/>
      <c r="M93" s="1105"/>
      <c r="N93" s="1105"/>
      <c r="O93" s="1106"/>
      <c r="P93" s="1037">
        <f t="shared" si="77"/>
        <v>3</v>
      </c>
      <c r="Q93" s="1024">
        <f t="shared" si="54"/>
        <v>0.5</v>
      </c>
      <c r="R93" s="1038"/>
      <c r="S93" s="1072"/>
      <c r="T93" s="696">
        <f>採点Q3!D140</f>
        <v>3</v>
      </c>
      <c r="U93" s="696"/>
      <c r="V93" s="696">
        <f t="shared" si="55"/>
        <v>3</v>
      </c>
      <c r="W93" s="712"/>
      <c r="X93" s="1818"/>
      <c r="Y93" s="1818"/>
      <c r="Z93" s="1819"/>
      <c r="AA93" s="696">
        <v>1</v>
      </c>
      <c r="AB93" s="696"/>
      <c r="AC93"/>
      <c r="AD93" s="699"/>
      <c r="AE93" s="699"/>
      <c r="AF93" s="700"/>
      <c r="AG93" s="696">
        <f t="shared" ref="AG93:AG96" si="83">IF($T93=0,0,1)*AA93</f>
        <v>1</v>
      </c>
      <c r="AH93" s="696">
        <f t="shared" ref="AH93" si="84">IF($T93=0,0,1)*AB93</f>
        <v>0</v>
      </c>
      <c r="AI93"/>
      <c r="AJ93" s="699"/>
      <c r="AK93" s="699"/>
      <c r="AL93" s="700"/>
      <c r="AM93" s="696">
        <f>AG93/AG91</f>
        <v>0.5</v>
      </c>
      <c r="AN93" s="696"/>
      <c r="AP93" s="699"/>
      <c r="AQ93" s="699"/>
      <c r="AR93" s="700"/>
      <c r="AS93" s="696">
        <f t="shared" si="81"/>
        <v>1.5</v>
      </c>
      <c r="AT93" s="696"/>
      <c r="AV93" s="699"/>
      <c r="AW93" s="699"/>
      <c r="AX93" s="700"/>
      <c r="AY93" s="696">
        <f t="shared" si="82"/>
        <v>0.5</v>
      </c>
      <c r="AZ93" s="696"/>
      <c r="BN93" s="58" t="str">
        <f t="shared" si="56"/>
        <v>3.3.1.2 働き方の多様性</v>
      </c>
    </row>
    <row r="94" spans="1:66" ht="13.2" customHeight="1">
      <c r="A94" s="52"/>
      <c r="B94" s="1100"/>
      <c r="C94" s="1110" t="str">
        <f>採点Q3!C148</f>
        <v>3.3.2 地域産業力の強化</v>
      </c>
      <c r="D94" s="1102"/>
      <c r="E94" s="1103"/>
      <c r="F94" s="1103"/>
      <c r="G94" s="1103"/>
      <c r="H94" s="1119"/>
      <c r="I94" s="1104"/>
      <c r="J94" s="1105"/>
      <c r="K94" s="1105"/>
      <c r="L94" s="1105"/>
      <c r="M94" s="1105"/>
      <c r="N94" s="1105"/>
      <c r="O94" s="1106"/>
      <c r="P94" s="1037">
        <f t="shared" si="77"/>
        <v>3</v>
      </c>
      <c r="Q94" s="1024">
        <f t="shared" si="54"/>
        <v>0.33333333333333331</v>
      </c>
      <c r="R94" s="1038"/>
      <c r="S94" s="1072"/>
      <c r="T94" s="696"/>
      <c r="U94" s="696">
        <f>AS94</f>
        <v>3</v>
      </c>
      <c r="V94" s="696">
        <f t="shared" si="55"/>
        <v>3</v>
      </c>
      <c r="W94" s="712"/>
      <c r="X94" s="1818"/>
      <c r="Y94" s="1818"/>
      <c r="Z94" s="1817">
        <v>1</v>
      </c>
      <c r="AA94" s="696"/>
      <c r="AB94" s="696"/>
      <c r="AC94"/>
      <c r="AD94" s="699"/>
      <c r="AE94" s="699"/>
      <c r="AF94" s="698">
        <f>IF(AG94=0,0,Z94)</f>
        <v>1</v>
      </c>
      <c r="AG94" s="697">
        <f>SUM(AG95:AG96)</f>
        <v>2</v>
      </c>
      <c r="AH94" s="696"/>
      <c r="AI94"/>
      <c r="AJ94" s="699"/>
      <c r="AK94" s="699"/>
      <c r="AL94" s="698">
        <f>AF94/AF90</f>
        <v>0.33333333333333331</v>
      </c>
      <c r="AM94" s="697"/>
      <c r="AN94" s="696"/>
      <c r="AP94" s="699"/>
      <c r="AQ94" s="699"/>
      <c r="AR94" s="698">
        <f t="shared" ref="AR94" si="85">($T94+AS94)*AL94</f>
        <v>1</v>
      </c>
      <c r="AS94" s="697">
        <f>SUM(AS95:AS96)</f>
        <v>3</v>
      </c>
      <c r="AT94" s="696"/>
      <c r="AV94" s="699"/>
      <c r="AW94" s="699"/>
      <c r="AX94" s="698">
        <f>AL94</f>
        <v>0.33333333333333331</v>
      </c>
      <c r="AY94" s="697">
        <f>SUM(AY95:AY96)</f>
        <v>1</v>
      </c>
      <c r="AZ94" s="696"/>
      <c r="BN94" s="58" t="str">
        <f t="shared" si="56"/>
        <v>3.3.2 地域産業力の強化</v>
      </c>
    </row>
    <row r="95" spans="1:66" ht="13.2" customHeight="1">
      <c r="A95" s="52"/>
      <c r="B95" s="1100"/>
      <c r="C95" s="1120"/>
      <c r="D95" s="1110" t="str">
        <f>採点Q3!D149</f>
        <v>3.3.2.1 地域産業の振興</v>
      </c>
      <c r="E95" s="1111"/>
      <c r="F95" s="1111"/>
      <c r="G95" s="1111"/>
      <c r="H95" s="1119"/>
      <c r="I95" s="1113" t="str">
        <f>採点Q3!D158</f>
        <v>評価する取組</v>
      </c>
      <c r="J95" s="1105"/>
      <c r="K95" s="1122">
        <f>採点Q3!E157</f>
        <v>0</v>
      </c>
      <c r="L95" s="1105"/>
      <c r="M95" s="1105"/>
      <c r="N95" s="1105"/>
      <c r="O95" s="1106"/>
      <c r="P95" s="1037">
        <f t="shared" si="77"/>
        <v>3</v>
      </c>
      <c r="Q95" s="1024">
        <f t="shared" si="54"/>
        <v>0.5</v>
      </c>
      <c r="R95" s="1038"/>
      <c r="S95" s="1072"/>
      <c r="T95" s="696">
        <f>採点Q3!D151</f>
        <v>3</v>
      </c>
      <c r="U95" s="696"/>
      <c r="V95" s="696">
        <f t="shared" si="55"/>
        <v>3</v>
      </c>
      <c r="W95" s="712"/>
      <c r="X95" s="1818"/>
      <c r="Y95" s="1818"/>
      <c r="Z95" s="1818"/>
      <c r="AA95" s="696">
        <v>1</v>
      </c>
      <c r="AB95" s="696"/>
      <c r="AC95"/>
      <c r="AD95" s="699"/>
      <c r="AE95" s="699"/>
      <c r="AF95" s="699"/>
      <c r="AG95" s="696">
        <f t="shared" si="83"/>
        <v>1</v>
      </c>
      <c r="AH95" s="696">
        <f t="shared" ref="AH95:AH115" si="86">IF($T95=0,0,1)*AB95</f>
        <v>0</v>
      </c>
      <c r="AI95"/>
      <c r="AJ95" s="699"/>
      <c r="AK95" s="699"/>
      <c r="AL95" s="699"/>
      <c r="AM95" s="696">
        <f>AG95/AG94</f>
        <v>0.5</v>
      </c>
      <c r="AN95" s="696"/>
      <c r="AP95" s="699"/>
      <c r="AQ95" s="699"/>
      <c r="AR95" s="699"/>
      <c r="AS95" s="696">
        <f t="shared" ref="AS95:AS96" si="87">($T95+AT95)*AM95</f>
        <v>1.5</v>
      </c>
      <c r="AT95" s="696"/>
      <c r="AV95" s="699"/>
      <c r="AW95" s="699"/>
      <c r="AX95" s="699"/>
      <c r="AY95" s="696">
        <f t="shared" ref="AY95:AY96" si="88">AM95</f>
        <v>0.5</v>
      </c>
      <c r="AZ95" s="696"/>
      <c r="BN95" s="58" t="str">
        <f t="shared" si="56"/>
        <v>3.3.2.1 地域産業の振興</v>
      </c>
    </row>
    <row r="96" spans="1:66" ht="13.2" customHeight="1">
      <c r="A96" s="52"/>
      <c r="B96" s="1100"/>
      <c r="C96" s="1109"/>
      <c r="D96" s="1110" t="str">
        <f>採点Q3!D167</f>
        <v>3.3.2.2 魅力的なまちなかの形成</v>
      </c>
      <c r="E96" s="1111"/>
      <c r="F96" s="1111"/>
      <c r="G96" s="1111"/>
      <c r="H96" s="1111"/>
      <c r="I96" s="1113" t="str">
        <f>採点Q3!D175</f>
        <v>評価する取組</v>
      </c>
      <c r="J96" s="1105"/>
      <c r="K96" s="1122">
        <f>採点Q3!E174</f>
        <v>0</v>
      </c>
      <c r="L96" s="1105"/>
      <c r="M96" s="1105"/>
      <c r="N96" s="1105"/>
      <c r="O96" s="1106"/>
      <c r="P96" s="1037">
        <f t="shared" si="77"/>
        <v>3</v>
      </c>
      <c r="Q96" s="1024">
        <f t="shared" si="54"/>
        <v>0.5</v>
      </c>
      <c r="R96" s="1038"/>
      <c r="S96" s="1072"/>
      <c r="T96" s="696">
        <f>採点Q3!D168</f>
        <v>3</v>
      </c>
      <c r="U96" s="696"/>
      <c r="V96" s="696">
        <f t="shared" si="55"/>
        <v>3</v>
      </c>
      <c r="W96" s="712"/>
      <c r="X96" s="1818"/>
      <c r="Y96" s="1818"/>
      <c r="Z96" s="1819"/>
      <c r="AA96" s="696">
        <v>1</v>
      </c>
      <c r="AB96" s="696"/>
      <c r="AC96"/>
      <c r="AD96" s="699"/>
      <c r="AE96" s="699"/>
      <c r="AF96" s="700"/>
      <c r="AG96" s="696">
        <f t="shared" si="83"/>
        <v>1</v>
      </c>
      <c r="AH96" s="696">
        <f t="shared" si="86"/>
        <v>0</v>
      </c>
      <c r="AI96"/>
      <c r="AJ96" s="699"/>
      <c r="AK96" s="699"/>
      <c r="AL96" s="700"/>
      <c r="AM96" s="696">
        <f>AG96/AG94</f>
        <v>0.5</v>
      </c>
      <c r="AN96" s="696"/>
      <c r="AP96" s="699"/>
      <c r="AQ96" s="699"/>
      <c r="AR96" s="700"/>
      <c r="AS96" s="696">
        <f t="shared" si="87"/>
        <v>1.5</v>
      </c>
      <c r="AT96" s="696"/>
      <c r="AV96" s="699"/>
      <c r="AW96" s="699"/>
      <c r="AX96" s="700"/>
      <c r="AY96" s="696">
        <f t="shared" si="88"/>
        <v>0.5</v>
      </c>
      <c r="AZ96" s="696"/>
      <c r="BN96" s="58" t="str">
        <f t="shared" si="56"/>
        <v>3.3.2.2 魅力的なまちなかの形成</v>
      </c>
    </row>
    <row r="97" spans="1:66" ht="13.2" customHeight="1">
      <c r="A97" s="52"/>
      <c r="B97" s="1100"/>
      <c r="C97" s="1110" t="str">
        <f>採点Q3!C188</f>
        <v>3.3.3 多様な主体の連携</v>
      </c>
      <c r="D97" s="1102"/>
      <c r="E97" s="1103"/>
      <c r="F97" s="1103"/>
      <c r="G97" s="1103"/>
      <c r="H97" s="1119"/>
      <c r="I97" s="1113">
        <f>採点Q3!E195</f>
        <v>0</v>
      </c>
      <c r="J97" s="1105"/>
      <c r="K97" s="1105"/>
      <c r="L97" s="1105"/>
      <c r="M97" s="1105"/>
      <c r="N97" s="1105"/>
      <c r="O97" s="1106"/>
      <c r="P97" s="1037">
        <f t="shared" si="77"/>
        <v>3</v>
      </c>
      <c r="Q97" s="1024">
        <f t="shared" si="54"/>
        <v>0.33333333333333331</v>
      </c>
      <c r="R97" s="1039"/>
      <c r="S97" s="1072"/>
      <c r="T97" s="696">
        <f>採点Q3!D189</f>
        <v>3</v>
      </c>
      <c r="U97" s="696"/>
      <c r="V97" s="696">
        <f t="shared" si="55"/>
        <v>3</v>
      </c>
      <c r="W97" s="712"/>
      <c r="X97" s="1818"/>
      <c r="Y97" s="1819"/>
      <c r="Z97" s="696">
        <v>1</v>
      </c>
      <c r="AA97" s="696"/>
      <c r="AB97" s="696"/>
      <c r="AC97"/>
      <c r="AD97" s="699"/>
      <c r="AE97" s="700"/>
      <c r="AF97" s="696">
        <f t="shared" ref="AF97:AG98" si="89">IF($T97=0,0,1)*Z97</f>
        <v>1</v>
      </c>
      <c r="AG97" s="696">
        <f t="shared" si="89"/>
        <v>0</v>
      </c>
      <c r="AH97" s="696">
        <f t="shared" si="86"/>
        <v>0</v>
      </c>
      <c r="AI97"/>
      <c r="AJ97" s="699"/>
      <c r="AK97" s="700"/>
      <c r="AL97" s="698">
        <f>AF97/AF90</f>
        <v>0.33333333333333331</v>
      </c>
      <c r="AM97" s="696"/>
      <c r="AN97" s="696"/>
      <c r="AP97" s="699"/>
      <c r="AQ97" s="700"/>
      <c r="AR97" s="698">
        <f t="shared" ref="AR97" si="90">($T97+AS97)*AL97</f>
        <v>1</v>
      </c>
      <c r="AS97" s="696"/>
      <c r="AT97" s="696"/>
      <c r="AV97" s="699"/>
      <c r="AW97" s="700"/>
      <c r="AX97" s="698">
        <f>AL97</f>
        <v>0.33333333333333331</v>
      </c>
      <c r="AY97" s="696"/>
      <c r="AZ97" s="696"/>
      <c r="BN97" s="58" t="str">
        <f t="shared" si="56"/>
        <v>3.3.3 多様な主体の連携</v>
      </c>
    </row>
    <row r="98" spans="1:66" ht="13.2" customHeight="1" thickBot="1">
      <c r="A98" s="52"/>
      <c r="B98" s="1117" t="str">
        <f>採点Q3!B197</f>
        <v>3.4 経済性能に関するスマート化</v>
      </c>
      <c r="C98" s="1123"/>
      <c r="D98" s="1124"/>
      <c r="E98" s="1124"/>
      <c r="F98" s="1124"/>
      <c r="G98" s="1124"/>
      <c r="H98" s="1124"/>
      <c r="I98" s="1113" t="str">
        <f>採点Q3!D206</f>
        <v>評価する取組</v>
      </c>
      <c r="J98" s="1125"/>
      <c r="K98" s="1122">
        <f>採点Q3!E205</f>
        <v>0</v>
      </c>
      <c r="L98" s="1125"/>
      <c r="M98" s="1125"/>
      <c r="N98" s="1125"/>
      <c r="O98" s="1126"/>
      <c r="P98" s="1040"/>
      <c r="Q98" s="1041">
        <f t="shared" si="54"/>
        <v>0.14285714285714285</v>
      </c>
      <c r="R98" s="1022">
        <f>ROUNDDOWN($V98,1)</f>
        <v>3</v>
      </c>
      <c r="S98" s="1072"/>
      <c r="T98" s="696">
        <f>採点Q3!D199</f>
        <v>3</v>
      </c>
      <c r="U98" s="696"/>
      <c r="V98" s="696">
        <f t="shared" si="55"/>
        <v>3</v>
      </c>
      <c r="W98" s="712"/>
      <c r="X98" s="1819"/>
      <c r="Y98" s="696">
        <v>0.5</v>
      </c>
      <c r="Z98" s="696"/>
      <c r="AA98" s="696"/>
      <c r="AB98" s="696"/>
      <c r="AC98"/>
      <c r="AD98" s="700"/>
      <c r="AE98" s="696">
        <f t="shared" ref="AE98" si="91">IF($T98=0,0,1)*Y98</f>
        <v>0.5</v>
      </c>
      <c r="AF98" s="696">
        <f t="shared" ref="AF98" si="92">IF($T98=0,0,1)*Z98</f>
        <v>0</v>
      </c>
      <c r="AG98" s="696">
        <f t="shared" si="89"/>
        <v>0</v>
      </c>
      <c r="AH98" s="696">
        <f t="shared" si="86"/>
        <v>0</v>
      </c>
      <c r="AI98"/>
      <c r="AJ98" s="700"/>
      <c r="AK98" s="698">
        <f>AE98/AE74</f>
        <v>0.14285714285714285</v>
      </c>
      <c r="AL98" s="696"/>
      <c r="AM98" s="696"/>
      <c r="AN98" s="696"/>
      <c r="AP98" s="700"/>
      <c r="AQ98" s="698">
        <f t="shared" ref="AQ98" si="93">($T98+AR98)*AK98</f>
        <v>0.42857142857142855</v>
      </c>
      <c r="AR98" s="696"/>
      <c r="AS98" s="696"/>
      <c r="AT98" s="696"/>
      <c r="AV98" s="700"/>
      <c r="AW98" s="698">
        <f>AK98</f>
        <v>0.14285714285714285</v>
      </c>
      <c r="AX98" s="696"/>
      <c r="AY98" s="696"/>
      <c r="AZ98" s="696"/>
      <c r="BN98" s="58" t="str">
        <f t="shared" si="56"/>
        <v>3.4 経済性能に関するスマート化</v>
      </c>
    </row>
    <row r="99" spans="1:66" ht="18" customHeight="1" thickBot="1">
      <c r="A99" s="52"/>
      <c r="B99" s="1080" t="s">
        <v>1086</v>
      </c>
      <c r="C99" s="1081"/>
      <c r="D99" s="1082"/>
      <c r="E99" s="1083"/>
      <c r="F99" s="1083"/>
      <c r="G99" s="1083"/>
      <c r="H99" s="1083"/>
      <c r="I99" s="1130"/>
      <c r="J99" s="1085"/>
      <c r="K99" s="1085"/>
      <c r="L99" s="1085"/>
      <c r="M99" s="1085"/>
      <c r="N99" s="1085"/>
      <c r="O99" s="1086"/>
      <c r="P99" s="1014"/>
      <c r="Q99" s="1015"/>
      <c r="R99" s="1016">
        <f>ROUNDDOWN($T99+$U99,1)</f>
        <v>2.9</v>
      </c>
      <c r="S99"/>
      <c r="T99" s="340"/>
      <c r="U99" s="696">
        <f>AP99</f>
        <v>2.9012345679012341</v>
      </c>
      <c r="V99" s="696">
        <f t="shared" si="55"/>
        <v>2.9012345679012341</v>
      </c>
      <c r="W99"/>
      <c r="X99" s="340"/>
      <c r="Y99" s="340"/>
      <c r="Z99" s="340"/>
      <c r="AA99" s="340"/>
      <c r="AB99" s="340"/>
      <c r="AC99"/>
      <c r="AD99" s="697">
        <f>SUM(AD100:AD150)</f>
        <v>3</v>
      </c>
      <c r="AE99" s="340"/>
      <c r="AF99" s="340"/>
      <c r="AG99" s="340"/>
      <c r="AH99" s="696">
        <f t="shared" si="86"/>
        <v>0</v>
      </c>
      <c r="AI99"/>
      <c r="AJ99" s="697"/>
      <c r="AK99" s="340"/>
      <c r="AL99" s="340"/>
      <c r="AM99" s="340"/>
      <c r="AN99" s="340"/>
      <c r="AP99" s="697">
        <f>SUM(AP100:AP150)</f>
        <v>2.9012345679012341</v>
      </c>
      <c r="AQ99" s="340"/>
      <c r="AR99" s="340"/>
      <c r="AS99" s="340"/>
      <c r="AT99" s="340"/>
      <c r="AU99"/>
      <c r="AV99" s="697">
        <f>SUM(AV100:AV150)</f>
        <v>1</v>
      </c>
      <c r="AW99" s="340"/>
      <c r="AX99" s="340"/>
      <c r="AY99" s="340"/>
      <c r="AZ99" s="340"/>
      <c r="BN99" s="58" t="str">
        <f t="shared" si="56"/>
        <v>LRUD 街区における環境負荷低減性</v>
      </c>
    </row>
    <row r="100" spans="1:66" ht="13.2" customHeight="1" thickBot="1">
      <c r="B100" s="1087" t="str">
        <f>採点LR1!B9</f>
        <v>LR-1 エネルギー</v>
      </c>
      <c r="C100" s="1088"/>
      <c r="D100" s="1088"/>
      <c r="E100" s="1088"/>
      <c r="F100" s="1088"/>
      <c r="G100" s="1088"/>
      <c r="H100" s="1089"/>
      <c r="I100" s="1127"/>
      <c r="J100" s="1091"/>
      <c r="K100" s="1091"/>
      <c r="L100" s="1091"/>
      <c r="M100" s="1091"/>
      <c r="N100" s="1091"/>
      <c r="O100" s="1092"/>
      <c r="P100" s="1017"/>
      <c r="Q100" s="1018">
        <f t="shared" ref="Q100:Q134" si="94">SUM(AJ100:AN100)</f>
        <v>0.33333333333333331</v>
      </c>
      <c r="R100" s="1019">
        <f>ROUNDDOWN($T100+$U100,1)</f>
        <v>3</v>
      </c>
      <c r="S100" s="1072"/>
      <c r="T100" s="696"/>
      <c r="U100" s="696">
        <f>AQ100</f>
        <v>3</v>
      </c>
      <c r="V100" s="696">
        <f t="shared" si="55"/>
        <v>3</v>
      </c>
      <c r="W100" s="712"/>
      <c r="X100" s="1817">
        <v>1</v>
      </c>
      <c r="Y100" s="696"/>
      <c r="Z100" s="696"/>
      <c r="AA100" s="696"/>
      <c r="AB100" s="696"/>
      <c r="AC100"/>
      <c r="AD100" s="698">
        <f>IF(AE100=0,0,X100)</f>
        <v>1</v>
      </c>
      <c r="AE100" s="697">
        <f>SUM(AE101:AE106)</f>
        <v>3</v>
      </c>
      <c r="AF100" s="696"/>
      <c r="AG100" s="696"/>
      <c r="AH100" s="696">
        <f t="shared" si="86"/>
        <v>0</v>
      </c>
      <c r="AI100"/>
      <c r="AJ100" s="698">
        <f>AD100/AD99</f>
        <v>0.33333333333333331</v>
      </c>
      <c r="AK100" s="697"/>
      <c r="AL100" s="696"/>
      <c r="AM100" s="696"/>
      <c r="AN100" s="696"/>
      <c r="AP100" s="698">
        <f t="shared" ref="AP100" si="95">($T100+AQ100)*AJ100</f>
        <v>1</v>
      </c>
      <c r="AQ100" s="697">
        <f>SUM(AQ101:AQ106)</f>
        <v>3</v>
      </c>
      <c r="AR100" s="696"/>
      <c r="AS100" s="696"/>
      <c r="AT100" s="696"/>
      <c r="AV100" s="698">
        <f t="shared" ref="AV100" si="96">AJ100</f>
        <v>0.33333333333333331</v>
      </c>
      <c r="AW100" s="697">
        <f>SUM(AW101:AW106)</f>
        <v>1</v>
      </c>
      <c r="AX100" s="696"/>
      <c r="AY100" s="696"/>
      <c r="AZ100" s="696"/>
      <c r="BN100" s="58" t="str">
        <f t="shared" si="56"/>
        <v>LR-1 エネルギー</v>
      </c>
    </row>
    <row r="101" spans="1:66" ht="13.2" customHeight="1">
      <c r="A101" s="52"/>
      <c r="B101" s="1094" t="str">
        <f>採点LR1!B12</f>
        <v>1.1 都市・街区エネルギーの効率化</v>
      </c>
      <c r="C101" s="1095"/>
      <c r="D101" s="1096"/>
      <c r="E101" s="1096"/>
      <c r="F101" s="1096"/>
      <c r="G101" s="1096"/>
      <c r="H101" s="1096"/>
      <c r="I101" s="1113">
        <f>採点LR1!E19</f>
        <v>0</v>
      </c>
      <c r="J101" s="1098"/>
      <c r="K101" s="1098"/>
      <c r="L101" s="1098"/>
      <c r="M101" s="1098"/>
      <c r="N101" s="1098"/>
      <c r="O101" s="1099"/>
      <c r="P101" s="1035"/>
      <c r="Q101" s="1036">
        <f t="shared" si="94"/>
        <v>0.33333333333333331</v>
      </c>
      <c r="R101" s="1042">
        <f>ROUNDDOWN($V101,1)</f>
        <v>3</v>
      </c>
      <c r="S101" s="1072"/>
      <c r="T101" s="696">
        <f>採点LR1!D13</f>
        <v>3</v>
      </c>
      <c r="U101" s="696"/>
      <c r="V101" s="696">
        <f t="shared" si="55"/>
        <v>3</v>
      </c>
      <c r="W101" s="712"/>
      <c r="X101" s="1818"/>
      <c r="Y101" s="696">
        <v>1</v>
      </c>
      <c r="Z101" s="696"/>
      <c r="AA101" s="696"/>
      <c r="AB101" s="696"/>
      <c r="AC101"/>
      <c r="AD101" s="699"/>
      <c r="AE101" s="696">
        <f t="shared" ref="AE101:AF106" si="97">IF($T101=0,0,1)*Y101</f>
        <v>1</v>
      </c>
      <c r="AF101" s="696">
        <f t="shared" si="97"/>
        <v>0</v>
      </c>
      <c r="AG101" s="696">
        <f t="shared" ref="AG101:AG106" si="98">IF($T101=0,0,1)*AA101</f>
        <v>0</v>
      </c>
      <c r="AH101" s="696">
        <f t="shared" si="86"/>
        <v>0</v>
      </c>
      <c r="AI101"/>
      <c r="AJ101" s="699"/>
      <c r="AK101" s="696">
        <f>AE101/AE100</f>
        <v>0.33333333333333331</v>
      </c>
      <c r="AL101" s="696"/>
      <c r="AM101" s="696"/>
      <c r="AN101" s="696"/>
      <c r="AP101" s="699"/>
      <c r="AQ101" s="696">
        <f t="shared" ref="AQ101:AQ104" si="99">($T101+AR101)*AK101</f>
        <v>1</v>
      </c>
      <c r="AR101" s="696"/>
      <c r="AS101" s="696"/>
      <c r="AT101" s="696"/>
      <c r="AV101" s="699"/>
      <c r="AW101" s="696">
        <f t="shared" ref="AW101:AW104" si="100">AK101</f>
        <v>0.33333333333333331</v>
      </c>
      <c r="AX101" s="696"/>
      <c r="AY101" s="696"/>
      <c r="AZ101" s="696"/>
      <c r="BN101" s="58" t="str">
        <f t="shared" si="56"/>
        <v>1.1 都市・街区エネルギーの効率化</v>
      </c>
    </row>
    <row r="102" spans="1:66" ht="13.2" customHeight="1">
      <c r="A102" s="52"/>
      <c r="B102" s="1117" t="str">
        <f>採点LR1!B21</f>
        <v>1.2 再生可能エネルギーの利用</v>
      </c>
      <c r="C102" s="1118"/>
      <c r="D102" s="1103"/>
      <c r="E102" s="1103"/>
      <c r="F102" s="1103"/>
      <c r="G102" s="1103"/>
      <c r="H102" s="1103"/>
      <c r="I102" s="1113">
        <f>採点LR1!E28</f>
        <v>0</v>
      </c>
      <c r="J102" s="1105"/>
      <c r="K102" s="1105"/>
      <c r="L102" s="1105"/>
      <c r="M102" s="1105"/>
      <c r="N102" s="1105"/>
      <c r="O102" s="1106"/>
      <c r="P102" s="1037"/>
      <c r="Q102" s="1024">
        <f t="shared" si="94"/>
        <v>0.16666666666666666</v>
      </c>
      <c r="R102" s="1032">
        <f>ROUNDDOWN($V102,1)</f>
        <v>3</v>
      </c>
      <c r="S102" s="1072"/>
      <c r="T102" s="696">
        <f>採点LR1!D22</f>
        <v>3</v>
      </c>
      <c r="U102" s="696"/>
      <c r="V102" s="696">
        <f t="shared" si="55"/>
        <v>3</v>
      </c>
      <c r="W102" s="712"/>
      <c r="X102" s="1818"/>
      <c r="Y102" s="696">
        <v>0.5</v>
      </c>
      <c r="Z102" s="696"/>
      <c r="AA102" s="696"/>
      <c r="AB102" s="696"/>
      <c r="AC102"/>
      <c r="AD102" s="699"/>
      <c r="AE102" s="696">
        <f t="shared" si="97"/>
        <v>0.5</v>
      </c>
      <c r="AF102" s="696">
        <f t="shared" si="97"/>
        <v>0</v>
      </c>
      <c r="AG102" s="696">
        <f t="shared" si="98"/>
        <v>0</v>
      </c>
      <c r="AH102" s="696">
        <f t="shared" si="86"/>
        <v>0</v>
      </c>
      <c r="AI102"/>
      <c r="AJ102" s="699"/>
      <c r="AK102" s="696">
        <f>AE102/AE100</f>
        <v>0.16666666666666666</v>
      </c>
      <c r="AL102" s="696"/>
      <c r="AM102" s="696"/>
      <c r="AN102" s="696"/>
      <c r="AP102" s="699"/>
      <c r="AQ102" s="696">
        <f t="shared" si="99"/>
        <v>0.5</v>
      </c>
      <c r="AR102" s="696"/>
      <c r="AS102" s="696"/>
      <c r="AT102" s="696"/>
      <c r="AV102" s="699"/>
      <c r="AW102" s="696">
        <f t="shared" si="100"/>
        <v>0.16666666666666666</v>
      </c>
      <c r="AX102" s="696"/>
      <c r="AY102" s="696"/>
      <c r="AZ102" s="696"/>
      <c r="BN102" s="58" t="str">
        <f t="shared" si="56"/>
        <v>1.2 再生可能エネルギーの利用</v>
      </c>
    </row>
    <row r="103" spans="1:66" ht="13.2" customHeight="1">
      <c r="A103" s="52"/>
      <c r="B103" s="1117" t="str">
        <f>採点LR1!B32</f>
        <v>1.3 未利用エネルギーの利用</v>
      </c>
      <c r="C103" s="1118"/>
      <c r="D103" s="1103"/>
      <c r="E103" s="1103"/>
      <c r="F103" s="1103"/>
      <c r="G103" s="1103"/>
      <c r="H103" s="1103"/>
      <c r="I103" s="1113">
        <f>採点LR1!E39</f>
        <v>0</v>
      </c>
      <c r="J103" s="1105"/>
      <c r="K103" s="1105"/>
      <c r="L103" s="1105"/>
      <c r="M103" s="1105"/>
      <c r="N103" s="1105"/>
      <c r="O103" s="1106"/>
      <c r="P103" s="1037"/>
      <c r="Q103" s="1024">
        <f t="shared" si="94"/>
        <v>0.16666666666666666</v>
      </c>
      <c r="R103" s="1032">
        <f>ROUNDDOWN($V103,1)</f>
        <v>3</v>
      </c>
      <c r="S103" s="1072"/>
      <c r="T103" s="696">
        <f>採点LR1!D33</f>
        <v>3</v>
      </c>
      <c r="U103" s="696"/>
      <c r="V103" s="696">
        <f t="shared" si="55"/>
        <v>3</v>
      </c>
      <c r="W103" s="712"/>
      <c r="X103" s="1818"/>
      <c r="Y103" s="696">
        <v>0.5</v>
      </c>
      <c r="Z103" s="696"/>
      <c r="AA103" s="696"/>
      <c r="AB103" s="696"/>
      <c r="AC103"/>
      <c r="AD103" s="699"/>
      <c r="AE103" s="696">
        <f t="shared" si="97"/>
        <v>0.5</v>
      </c>
      <c r="AF103" s="696">
        <f t="shared" si="97"/>
        <v>0</v>
      </c>
      <c r="AG103" s="696">
        <f t="shared" si="98"/>
        <v>0</v>
      </c>
      <c r="AH103" s="696">
        <f t="shared" si="86"/>
        <v>0</v>
      </c>
      <c r="AI103"/>
      <c r="AJ103" s="699"/>
      <c r="AK103" s="696">
        <f>AE103/AE100</f>
        <v>0.16666666666666666</v>
      </c>
      <c r="AL103" s="696"/>
      <c r="AM103" s="696"/>
      <c r="AN103" s="696"/>
      <c r="AP103" s="699"/>
      <c r="AQ103" s="696">
        <f t="shared" si="99"/>
        <v>0.5</v>
      </c>
      <c r="AR103" s="696"/>
      <c r="AS103" s="696"/>
      <c r="AT103" s="696"/>
      <c r="AV103" s="699"/>
      <c r="AW103" s="696">
        <f t="shared" si="100"/>
        <v>0.16666666666666666</v>
      </c>
      <c r="AX103" s="696"/>
      <c r="AY103" s="696"/>
      <c r="AZ103" s="696"/>
      <c r="BN103" s="58" t="str">
        <f t="shared" si="56"/>
        <v>1.3 未利用エネルギーの利用</v>
      </c>
    </row>
    <row r="104" spans="1:66" ht="13.2" customHeight="1">
      <c r="A104" s="52"/>
      <c r="B104" s="1117" t="str">
        <f>採点LR1!B44</f>
        <v>1.4 エネルギーマネジメント</v>
      </c>
      <c r="C104" s="1118"/>
      <c r="D104" s="1103"/>
      <c r="E104" s="1103"/>
      <c r="F104" s="1103"/>
      <c r="G104" s="1103"/>
      <c r="H104" s="1103"/>
      <c r="I104" s="1104"/>
      <c r="J104" s="1105"/>
      <c r="K104" s="1105"/>
      <c r="L104" s="1105"/>
      <c r="M104" s="1105"/>
      <c r="N104" s="1105"/>
      <c r="O104" s="1106"/>
      <c r="P104" s="1037"/>
      <c r="Q104" s="1024">
        <f t="shared" si="94"/>
        <v>0.33333333333333331</v>
      </c>
      <c r="R104" s="1022">
        <f>ROUNDDOWN($V104,1)</f>
        <v>3</v>
      </c>
      <c r="S104" s="1072"/>
      <c r="T104" s="696"/>
      <c r="U104" s="696">
        <f>AR104</f>
        <v>3</v>
      </c>
      <c r="V104" s="696">
        <f t="shared" si="55"/>
        <v>3</v>
      </c>
      <c r="W104" s="712"/>
      <c r="X104" s="1818"/>
      <c r="Y104" s="1817">
        <v>1</v>
      </c>
      <c r="Z104" s="696"/>
      <c r="AA104" s="696"/>
      <c r="AB104" s="696"/>
      <c r="AC104"/>
      <c r="AD104" s="699"/>
      <c r="AE104" s="698">
        <f>IF(AF104=0,0,Y104)</f>
        <v>1</v>
      </c>
      <c r="AF104" s="697">
        <f>SUM(AF105:AF106)</f>
        <v>2</v>
      </c>
      <c r="AG104" s="696"/>
      <c r="AH104" s="696">
        <f t="shared" si="86"/>
        <v>0</v>
      </c>
      <c r="AI104"/>
      <c r="AJ104" s="699"/>
      <c r="AK104" s="698">
        <f>AE104/AE100</f>
        <v>0.33333333333333331</v>
      </c>
      <c r="AL104" s="697"/>
      <c r="AM104" s="696"/>
      <c r="AN104" s="696"/>
      <c r="AP104" s="699"/>
      <c r="AQ104" s="698">
        <f t="shared" si="99"/>
        <v>1</v>
      </c>
      <c r="AR104" s="697">
        <f>SUM(AR105:AR106)</f>
        <v>3</v>
      </c>
      <c r="AS104" s="696"/>
      <c r="AT104" s="696"/>
      <c r="AV104" s="699"/>
      <c r="AW104" s="698">
        <f t="shared" si="100"/>
        <v>0.33333333333333331</v>
      </c>
      <c r="AX104" s="697">
        <f>SUM(AX105:AX106)</f>
        <v>1</v>
      </c>
      <c r="AY104" s="696"/>
      <c r="AZ104" s="696"/>
      <c r="BN104" s="58" t="str">
        <f t="shared" si="56"/>
        <v>1.4 エネルギーマネジメント</v>
      </c>
    </row>
    <row r="105" spans="1:66" ht="13.2" customHeight="1">
      <c r="A105" s="52"/>
      <c r="B105" s="1100"/>
      <c r="C105" s="1110" t="str">
        <f>採点LR1!C45</f>
        <v>1.4.1 需給システムのスマート化</v>
      </c>
      <c r="D105" s="1102"/>
      <c r="E105" s="1103"/>
      <c r="F105" s="1103"/>
      <c r="G105" s="1103"/>
      <c r="H105" s="1119"/>
      <c r="I105" s="1113" t="str">
        <f>採点LR1!D53</f>
        <v>評価する取組</v>
      </c>
      <c r="J105" s="1105"/>
      <c r="K105" s="1122">
        <f>採点LR1!E52</f>
        <v>0</v>
      </c>
      <c r="L105" s="1105"/>
      <c r="M105" s="1105"/>
      <c r="N105" s="1105"/>
      <c r="O105" s="1106"/>
      <c r="P105" s="1037">
        <f t="shared" ref="P105:P106" si="101">ROUNDDOWN($V105,1)</f>
        <v>3</v>
      </c>
      <c r="Q105" s="1024">
        <f t="shared" si="94"/>
        <v>0.5</v>
      </c>
      <c r="R105" s="1038"/>
      <c r="S105" s="1072"/>
      <c r="T105" s="696">
        <f>採点LR1!D46</f>
        <v>3</v>
      </c>
      <c r="U105" s="696"/>
      <c r="V105" s="696">
        <f t="shared" si="55"/>
        <v>3</v>
      </c>
      <c r="W105" s="712"/>
      <c r="X105" s="1818"/>
      <c r="Y105" s="1818"/>
      <c r="Z105" s="696">
        <v>1</v>
      </c>
      <c r="AA105" s="696"/>
      <c r="AB105" s="696"/>
      <c r="AC105"/>
      <c r="AD105" s="699"/>
      <c r="AE105" s="699"/>
      <c r="AF105" s="696">
        <f t="shared" si="97"/>
        <v>1</v>
      </c>
      <c r="AG105" s="696">
        <f t="shared" si="98"/>
        <v>0</v>
      </c>
      <c r="AH105" s="696">
        <f t="shared" si="86"/>
        <v>0</v>
      </c>
      <c r="AI105"/>
      <c r="AJ105" s="699"/>
      <c r="AK105" s="699"/>
      <c r="AL105" s="696">
        <f>AF105/AF104</f>
        <v>0.5</v>
      </c>
      <c r="AM105" s="696"/>
      <c r="AN105" s="696"/>
      <c r="AP105" s="699"/>
      <c r="AQ105" s="699"/>
      <c r="AR105" s="696">
        <f t="shared" ref="AR105:AR106" si="102">($T105+AS105)*AL105</f>
        <v>1.5</v>
      </c>
      <c r="AS105" s="696"/>
      <c r="AT105" s="696"/>
      <c r="AV105" s="699"/>
      <c r="AW105" s="699"/>
      <c r="AX105" s="696">
        <f t="shared" ref="AX105:AX106" si="103">AL105</f>
        <v>0.5</v>
      </c>
      <c r="AY105" s="696"/>
      <c r="AZ105" s="696"/>
      <c r="BN105" s="58" t="str">
        <f t="shared" si="56"/>
        <v>1.4.1 需給システムのスマート化</v>
      </c>
    </row>
    <row r="106" spans="1:66" ht="13.2" customHeight="1" thickBot="1">
      <c r="A106" s="52"/>
      <c r="B106" s="1100"/>
      <c r="C106" s="1110" t="str">
        <f>採点LR1!C62</f>
        <v>1.4.2 更新性・拡張性</v>
      </c>
      <c r="D106" s="1108"/>
      <c r="E106" s="1124"/>
      <c r="F106" s="1124"/>
      <c r="G106" s="1124"/>
      <c r="H106" s="1129"/>
      <c r="I106" s="1113" t="str">
        <f>採点LR1!D70</f>
        <v>評価する取組</v>
      </c>
      <c r="J106" s="1125"/>
      <c r="K106" s="1122">
        <f>採点LR1!E69</f>
        <v>0</v>
      </c>
      <c r="L106" s="1125"/>
      <c r="M106" s="1125"/>
      <c r="N106" s="1125"/>
      <c r="O106" s="1126"/>
      <c r="P106" s="1040">
        <f t="shared" si="101"/>
        <v>3</v>
      </c>
      <c r="Q106" s="1041">
        <f t="shared" si="94"/>
        <v>0.5</v>
      </c>
      <c r="R106" s="1038"/>
      <c r="S106" s="1072"/>
      <c r="T106" s="696">
        <f>採点LR1!D63</f>
        <v>3</v>
      </c>
      <c r="U106" s="696"/>
      <c r="V106" s="696">
        <f t="shared" si="55"/>
        <v>3</v>
      </c>
      <c r="W106" s="712"/>
      <c r="X106" s="1819"/>
      <c r="Y106" s="1819"/>
      <c r="Z106" s="696">
        <v>1</v>
      </c>
      <c r="AA106" s="696"/>
      <c r="AB106" s="696"/>
      <c r="AC106"/>
      <c r="AD106" s="700"/>
      <c r="AE106" s="700"/>
      <c r="AF106" s="696">
        <f t="shared" si="97"/>
        <v>1</v>
      </c>
      <c r="AG106" s="696">
        <f t="shared" si="98"/>
        <v>0</v>
      </c>
      <c r="AH106" s="696">
        <f t="shared" si="86"/>
        <v>0</v>
      </c>
      <c r="AI106"/>
      <c r="AJ106" s="700"/>
      <c r="AK106" s="700"/>
      <c r="AL106" s="696">
        <f>AF106/AF104</f>
        <v>0.5</v>
      </c>
      <c r="AM106" s="696"/>
      <c r="AN106" s="696"/>
      <c r="AP106" s="700"/>
      <c r="AQ106" s="700"/>
      <c r="AR106" s="696">
        <f t="shared" si="102"/>
        <v>1.5</v>
      </c>
      <c r="AS106" s="696"/>
      <c r="AT106" s="696"/>
      <c r="AV106" s="700"/>
      <c r="AW106" s="700"/>
      <c r="AX106" s="696">
        <f t="shared" si="103"/>
        <v>0.5</v>
      </c>
      <c r="AY106" s="696"/>
      <c r="AZ106" s="696"/>
      <c r="BN106" s="58" t="str">
        <f t="shared" si="56"/>
        <v>1.4.2 更新性・拡張性</v>
      </c>
    </row>
    <row r="107" spans="1:66" ht="13.2" customHeight="1" thickBot="1">
      <c r="B107" s="1087" t="str">
        <f>採点LR2!B9</f>
        <v>LR-2 資源</v>
      </c>
      <c r="C107" s="1088"/>
      <c r="D107" s="1088"/>
      <c r="E107" s="1088"/>
      <c r="F107" s="1088"/>
      <c r="G107" s="1088"/>
      <c r="H107" s="1089"/>
      <c r="I107" s="1127"/>
      <c r="J107" s="1091"/>
      <c r="K107" s="1091"/>
      <c r="L107" s="1091"/>
      <c r="M107" s="1091"/>
      <c r="N107" s="1091"/>
      <c r="O107" s="1092"/>
      <c r="P107" s="1017"/>
      <c r="Q107" s="1018">
        <f t="shared" si="94"/>
        <v>0.33333333333333331</v>
      </c>
      <c r="R107" s="1019">
        <f>ROUNDDOWN($T107+$U107,1)</f>
        <v>3</v>
      </c>
      <c r="S107" s="1072"/>
      <c r="T107" s="696"/>
      <c r="U107" s="696">
        <f>AQ107</f>
        <v>3.0555555555555554</v>
      </c>
      <c r="V107" s="696">
        <f t="shared" si="55"/>
        <v>3.0555555555555554</v>
      </c>
      <c r="W107" s="712"/>
      <c r="X107" s="1817">
        <v>1</v>
      </c>
      <c r="Y107" s="696"/>
      <c r="Z107" s="696"/>
      <c r="AA107" s="696"/>
      <c r="AB107" s="696"/>
      <c r="AC107"/>
      <c r="AD107" s="698">
        <f>IF(AE107=0,0,X107)</f>
        <v>1</v>
      </c>
      <c r="AE107" s="697">
        <f>SUM(AE108:AE126)</f>
        <v>3</v>
      </c>
      <c r="AF107" s="696"/>
      <c r="AG107" s="696"/>
      <c r="AH107" s="696">
        <f t="shared" si="86"/>
        <v>0</v>
      </c>
      <c r="AI107"/>
      <c r="AJ107" s="698">
        <f>AD107/AD99</f>
        <v>0.33333333333333331</v>
      </c>
      <c r="AK107" s="697"/>
      <c r="AL107" s="696"/>
      <c r="AM107" s="696"/>
      <c r="AN107" s="696"/>
      <c r="AP107" s="698">
        <f t="shared" ref="AP107" si="104">($T107+AQ107)*AJ107</f>
        <v>1.0185185185185184</v>
      </c>
      <c r="AQ107" s="697">
        <f>SUM(AQ108:AQ126)</f>
        <v>3.0555555555555554</v>
      </c>
      <c r="AR107" s="696"/>
      <c r="AS107" s="696"/>
      <c r="AT107" s="696"/>
      <c r="AV107" s="698">
        <f>AJ107</f>
        <v>0.33333333333333331</v>
      </c>
      <c r="AW107" s="697">
        <f>SUM(AW108:AW126)</f>
        <v>1</v>
      </c>
      <c r="AX107" s="696"/>
      <c r="AY107" s="696"/>
      <c r="AZ107" s="696"/>
      <c r="BN107" s="58" t="str">
        <f t="shared" si="56"/>
        <v>LR-2 資源</v>
      </c>
    </row>
    <row r="108" spans="1:66" ht="13.2" customHeight="1">
      <c r="B108" s="1094" t="str">
        <f>採点LR2!B12</f>
        <v>2.1 土地資源</v>
      </c>
      <c r="C108" s="1095"/>
      <c r="D108" s="1096"/>
      <c r="E108" s="1096"/>
      <c r="F108" s="1096"/>
      <c r="G108" s="1096"/>
      <c r="H108" s="1096"/>
      <c r="I108" s="1097"/>
      <c r="J108" s="1098"/>
      <c r="K108" s="1098"/>
      <c r="L108" s="1098"/>
      <c r="M108" s="1098"/>
      <c r="N108" s="1098"/>
      <c r="O108" s="1099"/>
      <c r="P108" s="1035"/>
      <c r="Q108" s="1036">
        <f t="shared" si="94"/>
        <v>0.33333333333333331</v>
      </c>
      <c r="R108" s="1022">
        <f>ROUNDDOWN($V108,1)</f>
        <v>3</v>
      </c>
      <c r="S108" s="1072"/>
      <c r="T108" s="696"/>
      <c r="U108" s="696">
        <f>AR108</f>
        <v>3</v>
      </c>
      <c r="V108" s="696">
        <f t="shared" si="55"/>
        <v>3</v>
      </c>
      <c r="W108" s="712"/>
      <c r="X108" s="1818"/>
      <c r="Y108" s="1817">
        <v>1</v>
      </c>
      <c r="Z108" s="696"/>
      <c r="AA108" s="696"/>
      <c r="AB108" s="696"/>
      <c r="AC108"/>
      <c r="AD108" s="699"/>
      <c r="AE108" s="698">
        <f>IF(AF108=0,0,Y108)</f>
        <v>1</v>
      </c>
      <c r="AF108" s="697">
        <f>SUM(AF109:AF110)</f>
        <v>2</v>
      </c>
      <c r="AG108" s="696"/>
      <c r="AH108" s="696">
        <f t="shared" si="86"/>
        <v>0</v>
      </c>
      <c r="AI108"/>
      <c r="AJ108" s="699"/>
      <c r="AK108" s="698">
        <f>AE108/AE107</f>
        <v>0.33333333333333331</v>
      </c>
      <c r="AL108" s="697"/>
      <c r="AM108" s="696"/>
      <c r="AN108" s="696"/>
      <c r="AP108" s="699"/>
      <c r="AQ108" s="698">
        <f t="shared" ref="AQ108" si="105">($T108+AR108)*AK108</f>
        <v>1</v>
      </c>
      <c r="AR108" s="697">
        <f>SUM(AR109:AR110)</f>
        <v>3</v>
      </c>
      <c r="AS108" s="696"/>
      <c r="AT108" s="696"/>
      <c r="AV108" s="699"/>
      <c r="AW108" s="698">
        <f>AK108</f>
        <v>0.33333333333333331</v>
      </c>
      <c r="AX108" s="697">
        <f>SUM(AX109:AX110)</f>
        <v>1</v>
      </c>
      <c r="AY108" s="696"/>
      <c r="AZ108" s="696"/>
      <c r="BN108" s="58" t="str">
        <f t="shared" si="56"/>
        <v>2.1 土地資源</v>
      </c>
    </row>
    <row r="109" spans="1:66" ht="13.2" customHeight="1">
      <c r="B109" s="1100"/>
      <c r="C109" s="1110" t="str">
        <f>採点LR2!C13</f>
        <v>2.1.1 土壌汚染への対応</v>
      </c>
      <c r="D109" s="1102"/>
      <c r="E109" s="1103"/>
      <c r="F109" s="1103"/>
      <c r="G109" s="1103"/>
      <c r="H109" s="1119"/>
      <c r="I109" s="1113">
        <f>採点LR2!E20</f>
        <v>0</v>
      </c>
      <c r="J109" s="1105"/>
      <c r="K109" s="1105"/>
      <c r="L109" s="1105"/>
      <c r="M109" s="1105"/>
      <c r="N109" s="1105"/>
      <c r="O109" s="1106"/>
      <c r="P109" s="1037">
        <f t="shared" ref="P109:P110" si="106">ROUNDDOWN($V109,1)</f>
        <v>3</v>
      </c>
      <c r="Q109" s="1024">
        <f t="shared" si="94"/>
        <v>0.5</v>
      </c>
      <c r="R109" s="1038"/>
      <c r="S109" s="1072"/>
      <c r="T109" s="696">
        <f>採点LR2!D14</f>
        <v>3</v>
      </c>
      <c r="U109" s="696"/>
      <c r="V109" s="696">
        <f t="shared" si="55"/>
        <v>3</v>
      </c>
      <c r="W109" s="712"/>
      <c r="X109" s="1818"/>
      <c r="Y109" s="1818"/>
      <c r="Z109" s="696">
        <v>1</v>
      </c>
      <c r="AA109" s="696"/>
      <c r="AB109" s="696"/>
      <c r="AC109"/>
      <c r="AD109" s="699"/>
      <c r="AE109" s="699"/>
      <c r="AF109" s="696">
        <f>IF($T109=0,0,1)*Z109</f>
        <v>1</v>
      </c>
      <c r="AG109" s="696">
        <f>IF($T109=0,0,1)*AA109</f>
        <v>0</v>
      </c>
      <c r="AH109" s="696">
        <f t="shared" si="86"/>
        <v>0</v>
      </c>
      <c r="AI109"/>
      <c r="AJ109" s="699"/>
      <c r="AK109" s="699"/>
      <c r="AL109" s="696">
        <f>AF109/AF108</f>
        <v>0.5</v>
      </c>
      <c r="AM109" s="696"/>
      <c r="AN109" s="696"/>
      <c r="AP109" s="699"/>
      <c r="AQ109" s="699"/>
      <c r="AR109" s="696">
        <f t="shared" ref="AR109:AR110" si="107">($T109+AS109)*AL109</f>
        <v>1.5</v>
      </c>
      <c r="AS109" s="696"/>
      <c r="AT109" s="696"/>
      <c r="AV109" s="699"/>
      <c r="AW109" s="699"/>
      <c r="AX109" s="696">
        <f t="shared" ref="AX109:AX110" si="108">AL109</f>
        <v>0.5</v>
      </c>
      <c r="AY109" s="696"/>
      <c r="AZ109" s="696"/>
      <c r="BN109" s="58" t="str">
        <f t="shared" si="56"/>
        <v>2.1.1 土壌汚染への対応</v>
      </c>
    </row>
    <row r="110" spans="1:66" ht="13.2" customHeight="1">
      <c r="B110" s="1100"/>
      <c r="C110" s="1110" t="str">
        <f>採点LR2!C22</f>
        <v>2.1.2 地盤沈下の抑制</v>
      </c>
      <c r="D110" s="1102"/>
      <c r="E110" s="1103"/>
      <c r="F110" s="1103"/>
      <c r="G110" s="1103"/>
      <c r="H110" s="1119"/>
      <c r="I110" s="1113">
        <f>採点LR2!E29</f>
        <v>0</v>
      </c>
      <c r="J110" s="1105"/>
      <c r="K110" s="1105"/>
      <c r="L110" s="1105"/>
      <c r="M110" s="1105"/>
      <c r="N110" s="1105"/>
      <c r="O110" s="1106"/>
      <c r="P110" s="1037">
        <f t="shared" si="106"/>
        <v>3</v>
      </c>
      <c r="Q110" s="1024">
        <f t="shared" si="94"/>
        <v>0.5</v>
      </c>
      <c r="R110" s="1039"/>
      <c r="S110" s="1072"/>
      <c r="T110" s="696">
        <f>採点LR2!D23</f>
        <v>3</v>
      </c>
      <c r="U110" s="696"/>
      <c r="V110" s="696">
        <f t="shared" si="55"/>
        <v>3</v>
      </c>
      <c r="W110" s="712"/>
      <c r="X110" s="1818"/>
      <c r="Y110" s="1819"/>
      <c r="Z110" s="696">
        <v>1</v>
      </c>
      <c r="AA110" s="696"/>
      <c r="AB110" s="696"/>
      <c r="AC110"/>
      <c r="AD110" s="699"/>
      <c r="AE110" s="700"/>
      <c r="AF110" s="696">
        <f>IF($T110=0,0,1)*Z110</f>
        <v>1</v>
      </c>
      <c r="AG110" s="696">
        <f>IF($T110=0,0,1)*AA110</f>
        <v>0</v>
      </c>
      <c r="AH110" s="696">
        <f t="shared" si="86"/>
        <v>0</v>
      </c>
      <c r="AI110"/>
      <c r="AJ110" s="699"/>
      <c r="AK110" s="700"/>
      <c r="AL110" s="696">
        <f>AF110/AF108</f>
        <v>0.5</v>
      </c>
      <c r="AM110" s="696"/>
      <c r="AN110" s="696"/>
      <c r="AP110" s="699"/>
      <c r="AQ110" s="700"/>
      <c r="AR110" s="696">
        <f t="shared" si="107"/>
        <v>1.5</v>
      </c>
      <c r="AS110" s="696"/>
      <c r="AT110" s="696"/>
      <c r="AV110" s="699"/>
      <c r="AW110" s="700"/>
      <c r="AX110" s="696">
        <f t="shared" si="108"/>
        <v>0.5</v>
      </c>
      <c r="AY110" s="696"/>
      <c r="AZ110" s="696"/>
      <c r="BN110" s="58" t="str">
        <f t="shared" si="56"/>
        <v>2.1.2 地盤沈下の抑制</v>
      </c>
    </row>
    <row r="111" spans="1:66" ht="13.2" customHeight="1">
      <c r="B111" s="1117" t="str">
        <f>採点LR2!B31</f>
        <v>2.2 水資源</v>
      </c>
      <c r="C111" s="1118"/>
      <c r="D111" s="1103"/>
      <c r="E111" s="1103"/>
      <c r="F111" s="1103"/>
      <c r="G111" s="1103"/>
      <c r="H111" s="1103"/>
      <c r="I111" s="1104"/>
      <c r="J111" s="1105"/>
      <c r="K111" s="1105"/>
      <c r="L111" s="1105"/>
      <c r="M111" s="1105"/>
      <c r="N111" s="1105"/>
      <c r="O111" s="1106"/>
      <c r="P111" s="1037"/>
      <c r="Q111" s="1024">
        <f t="shared" si="94"/>
        <v>0.33333333333333331</v>
      </c>
      <c r="R111" s="1022">
        <f>ROUNDDOWN($V111,1)</f>
        <v>3.1</v>
      </c>
      <c r="S111" s="1072"/>
      <c r="T111" s="696"/>
      <c r="U111" s="696">
        <f>AR111</f>
        <v>3.1666666666666665</v>
      </c>
      <c r="V111" s="696">
        <f t="shared" si="55"/>
        <v>3.1666666666666665</v>
      </c>
      <c r="W111" s="712"/>
      <c r="X111" s="1818"/>
      <c r="Y111" s="1817">
        <v>1</v>
      </c>
      <c r="Z111" s="696"/>
      <c r="AA111" s="696"/>
      <c r="AB111" s="696"/>
      <c r="AC111"/>
      <c r="AD111" s="699"/>
      <c r="AE111" s="698">
        <f>IF(AF111=0,0,Y111)</f>
        <v>1</v>
      </c>
      <c r="AF111" s="697">
        <f>SUM(AF112:AF118)</f>
        <v>2</v>
      </c>
      <c r="AG111" s="696"/>
      <c r="AH111" s="696">
        <f t="shared" si="86"/>
        <v>0</v>
      </c>
      <c r="AI111"/>
      <c r="AJ111" s="699"/>
      <c r="AK111" s="698">
        <f>AE111/AE107</f>
        <v>0.33333333333333331</v>
      </c>
      <c r="AL111" s="697"/>
      <c r="AM111" s="696"/>
      <c r="AN111" s="696"/>
      <c r="AP111" s="699"/>
      <c r="AQ111" s="698">
        <f t="shared" ref="AQ111" si="109">($T111+AR111)*AK111</f>
        <v>1.0555555555555554</v>
      </c>
      <c r="AR111" s="697">
        <f>SUM(AR112:AR118)</f>
        <v>3.1666666666666665</v>
      </c>
      <c r="AS111" s="696"/>
      <c r="AT111" s="696"/>
      <c r="AV111" s="699"/>
      <c r="AW111" s="698">
        <f>AK111</f>
        <v>0.33333333333333331</v>
      </c>
      <c r="AX111" s="697">
        <f>SUM(AX112:AX118)</f>
        <v>1</v>
      </c>
      <c r="AY111" s="696"/>
      <c r="AZ111" s="696"/>
      <c r="BN111" s="58" t="str">
        <f t="shared" si="56"/>
        <v>2.2 水資源</v>
      </c>
    </row>
    <row r="112" spans="1:66" ht="13.2" customHeight="1">
      <c r="B112" s="1100"/>
      <c r="C112" s="1110" t="str">
        <f>採点LR2!C32</f>
        <v>2.2.1 上水使用量の削減</v>
      </c>
      <c r="D112" s="1102"/>
      <c r="E112" s="1103"/>
      <c r="F112" s="1103"/>
      <c r="G112" s="1103"/>
      <c r="H112" s="1119"/>
      <c r="I112" s="1104"/>
      <c r="J112" s="1105"/>
      <c r="K112" s="1105"/>
      <c r="L112" s="1105"/>
      <c r="M112" s="1105"/>
      <c r="N112" s="1105"/>
      <c r="O112" s="1106"/>
      <c r="P112" s="1037">
        <f t="shared" ref="P112:P118" si="110">ROUNDDOWN($V112,1)</f>
        <v>3.3</v>
      </c>
      <c r="Q112" s="1024">
        <f t="shared" si="94"/>
        <v>0.5</v>
      </c>
      <c r="R112" s="1038"/>
      <c r="S112" s="1072"/>
      <c r="T112" s="696"/>
      <c r="U112" s="696">
        <f>AS112</f>
        <v>3.333333333333333</v>
      </c>
      <c r="V112" s="696">
        <f t="shared" si="55"/>
        <v>3.333333333333333</v>
      </c>
      <c r="W112" s="712"/>
      <c r="X112" s="1818"/>
      <c r="Y112" s="1818"/>
      <c r="Z112" s="1817">
        <v>1</v>
      </c>
      <c r="AA112" s="696"/>
      <c r="AB112" s="696"/>
      <c r="AC112"/>
      <c r="AD112" s="699"/>
      <c r="AE112" s="699"/>
      <c r="AF112" s="698">
        <f>IF(AG112=0,0,Z112)</f>
        <v>1</v>
      </c>
      <c r="AG112" s="697">
        <f>SUM(AG113:AG115)</f>
        <v>3</v>
      </c>
      <c r="AH112" s="696">
        <f t="shared" si="86"/>
        <v>0</v>
      </c>
      <c r="AI112"/>
      <c r="AJ112" s="699"/>
      <c r="AK112" s="699"/>
      <c r="AL112" s="698">
        <f>AF112/AF111</f>
        <v>0.5</v>
      </c>
      <c r="AM112" s="697"/>
      <c r="AN112" s="696"/>
      <c r="AP112" s="699"/>
      <c r="AQ112" s="699"/>
      <c r="AR112" s="698">
        <f t="shared" ref="AR112" si="111">($T112+AS112)*AL112</f>
        <v>1.6666666666666665</v>
      </c>
      <c r="AS112" s="697">
        <f>SUM(AS113:AS115)</f>
        <v>3.333333333333333</v>
      </c>
      <c r="AT112" s="696"/>
      <c r="AV112" s="699"/>
      <c r="AW112" s="699"/>
      <c r="AX112" s="698">
        <f>AL112</f>
        <v>0.5</v>
      </c>
      <c r="AY112" s="697">
        <f>SUM(AY113:AY115)</f>
        <v>1</v>
      </c>
      <c r="AZ112" s="696"/>
      <c r="BN112" s="58" t="str">
        <f t="shared" si="56"/>
        <v>2.2.1 上水使用量の削減</v>
      </c>
    </row>
    <row r="113" spans="2:66" ht="13.2" customHeight="1">
      <c r="B113" s="1100"/>
      <c r="C113" s="1120"/>
      <c r="D113" s="1110" t="str">
        <f>採点LR2!D33</f>
        <v>2.2.1.1 節水</v>
      </c>
      <c r="E113" s="1111"/>
      <c r="F113" s="1111"/>
      <c r="G113" s="1111"/>
      <c r="H113" s="1119"/>
      <c r="I113" s="1113" t="str">
        <f>採点LR2!E43</f>
        <v>＜計画の場合＞評価する取組</v>
      </c>
      <c r="J113" s="1105"/>
      <c r="K113" s="1122">
        <f>採点LR2!E41</f>
        <v>0</v>
      </c>
      <c r="L113" s="1105"/>
      <c r="M113" s="1105"/>
      <c r="N113" s="1105"/>
      <c r="O113" s="1106"/>
      <c r="P113" s="1037">
        <f t="shared" si="110"/>
        <v>3</v>
      </c>
      <c r="Q113" s="1024">
        <f t="shared" si="94"/>
        <v>0.33333333333333331</v>
      </c>
      <c r="R113" s="1038"/>
      <c r="S113" s="1072"/>
      <c r="T113" s="696">
        <f>採点LR2!D35</f>
        <v>3</v>
      </c>
      <c r="U113" s="696"/>
      <c r="V113" s="696">
        <f t="shared" si="55"/>
        <v>3</v>
      </c>
      <c r="W113" s="712"/>
      <c r="X113" s="1818"/>
      <c r="Y113" s="1818"/>
      <c r="Z113" s="1818"/>
      <c r="AA113" s="696">
        <v>1</v>
      </c>
      <c r="AB113" s="696"/>
      <c r="AC113"/>
      <c r="AD113" s="699"/>
      <c r="AE113" s="699"/>
      <c r="AF113" s="699"/>
      <c r="AG113" s="696">
        <f>IF($T113=0,0,1)*AA113</f>
        <v>1</v>
      </c>
      <c r="AH113" s="696">
        <f t="shared" si="86"/>
        <v>0</v>
      </c>
      <c r="AI113"/>
      <c r="AJ113" s="699"/>
      <c r="AK113" s="699"/>
      <c r="AL113" s="699"/>
      <c r="AM113" s="696">
        <f>AG113/AG112</f>
        <v>0.33333333333333331</v>
      </c>
      <c r="AN113" s="696"/>
      <c r="AP113" s="699"/>
      <c r="AQ113" s="699"/>
      <c r="AR113" s="699"/>
      <c r="AS113" s="696">
        <f t="shared" ref="AS113:AS115" si="112">($T113+AT113)*AM113</f>
        <v>1</v>
      </c>
      <c r="AT113" s="696"/>
      <c r="AV113" s="699"/>
      <c r="AW113" s="699"/>
      <c r="AX113" s="699"/>
      <c r="AY113" s="696">
        <f t="shared" ref="AY113:AY115" si="113">AM113</f>
        <v>0.33333333333333331</v>
      </c>
      <c r="AZ113" s="696"/>
      <c r="BN113" s="58" t="str">
        <f t="shared" si="56"/>
        <v>2.2.1.1 節水</v>
      </c>
    </row>
    <row r="114" spans="2:66" ht="13.2" customHeight="1">
      <c r="B114" s="1100"/>
      <c r="C114" s="1109"/>
      <c r="D114" s="1110" t="str">
        <f>採点LR2!D67</f>
        <v>2.2.1.2 雨水/井水利用</v>
      </c>
      <c r="E114" s="1111"/>
      <c r="F114" s="1111"/>
      <c r="G114" s="1111"/>
      <c r="H114" s="1111"/>
      <c r="I114" s="1113">
        <f>採点LR2!E75</f>
        <v>0</v>
      </c>
      <c r="J114" s="1105"/>
      <c r="K114" s="1105"/>
      <c r="L114" s="1105"/>
      <c r="M114" s="1105"/>
      <c r="N114" s="1105"/>
      <c r="O114" s="1106"/>
      <c r="P114" s="1037">
        <f t="shared" si="110"/>
        <v>4</v>
      </c>
      <c r="Q114" s="1024">
        <f t="shared" si="94"/>
        <v>0.33333333333333331</v>
      </c>
      <c r="R114" s="1038"/>
      <c r="S114" s="1072"/>
      <c r="T114" s="696">
        <f>採点LR2!D69</f>
        <v>4</v>
      </c>
      <c r="U114" s="696"/>
      <c r="V114" s="696">
        <f t="shared" si="55"/>
        <v>4</v>
      </c>
      <c r="W114" s="712"/>
      <c r="X114" s="1818"/>
      <c r="Y114" s="1818"/>
      <c r="Z114" s="1818"/>
      <c r="AA114" s="696">
        <v>1</v>
      </c>
      <c r="AB114" s="696"/>
      <c r="AC114"/>
      <c r="AD114" s="699"/>
      <c r="AE114" s="699"/>
      <c r="AF114" s="699"/>
      <c r="AG114" s="696">
        <f>IF($T114=0,0,1)*AA114</f>
        <v>1</v>
      </c>
      <c r="AH114" s="696">
        <f t="shared" si="86"/>
        <v>0</v>
      </c>
      <c r="AI114"/>
      <c r="AJ114" s="699"/>
      <c r="AK114" s="699"/>
      <c r="AL114" s="699"/>
      <c r="AM114" s="696">
        <f>AG114/AG112</f>
        <v>0.33333333333333331</v>
      </c>
      <c r="AN114" s="696"/>
      <c r="AP114" s="699"/>
      <c r="AQ114" s="699"/>
      <c r="AR114" s="699"/>
      <c r="AS114" s="696">
        <f t="shared" si="112"/>
        <v>1.3333333333333333</v>
      </c>
      <c r="AT114" s="696"/>
      <c r="AV114" s="699"/>
      <c r="AW114" s="699"/>
      <c r="AX114" s="699"/>
      <c r="AY114" s="696">
        <f t="shared" si="113"/>
        <v>0.33333333333333331</v>
      </c>
      <c r="AZ114" s="696"/>
      <c r="BN114" s="58" t="str">
        <f t="shared" si="56"/>
        <v>2.2.1.2 雨水/井水利用</v>
      </c>
    </row>
    <row r="115" spans="2:66" ht="13.2" customHeight="1">
      <c r="B115" s="1100"/>
      <c r="C115" s="1109"/>
      <c r="D115" s="1110" t="str">
        <f>採点LR2!D77</f>
        <v>2.2.1.3 中水利用</v>
      </c>
      <c r="E115" s="1111"/>
      <c r="F115" s="1111"/>
      <c r="G115" s="1111"/>
      <c r="H115" s="1111"/>
      <c r="I115" s="1113">
        <f>採点LR2!E85</f>
        <v>0</v>
      </c>
      <c r="J115" s="1105"/>
      <c r="K115" s="1105"/>
      <c r="L115" s="1105"/>
      <c r="M115" s="1105"/>
      <c r="N115" s="1105"/>
      <c r="O115" s="1106"/>
      <c r="P115" s="1037">
        <f t="shared" si="110"/>
        <v>3</v>
      </c>
      <c r="Q115" s="1024">
        <f t="shared" si="94"/>
        <v>0.33333333333333331</v>
      </c>
      <c r="R115" s="1038"/>
      <c r="S115" s="1072"/>
      <c r="T115" s="696">
        <f>採点LR2!D79</f>
        <v>3</v>
      </c>
      <c r="U115" s="696"/>
      <c r="V115" s="696">
        <f t="shared" si="55"/>
        <v>3</v>
      </c>
      <c r="W115" s="712"/>
      <c r="X115" s="1818"/>
      <c r="Y115" s="1818"/>
      <c r="Z115" s="1819"/>
      <c r="AA115" s="696">
        <v>1</v>
      </c>
      <c r="AB115" s="696"/>
      <c r="AC115"/>
      <c r="AD115" s="699"/>
      <c r="AE115" s="699"/>
      <c r="AF115" s="700"/>
      <c r="AG115" s="696">
        <f>IF($T115=0,0,1)*AA115</f>
        <v>1</v>
      </c>
      <c r="AH115" s="696">
        <f t="shared" si="86"/>
        <v>0</v>
      </c>
      <c r="AI115"/>
      <c r="AJ115" s="699"/>
      <c r="AK115" s="699"/>
      <c r="AL115" s="700"/>
      <c r="AM115" s="696">
        <f>AG115/AG112</f>
        <v>0.33333333333333331</v>
      </c>
      <c r="AN115" s="696"/>
      <c r="AP115" s="699"/>
      <c r="AQ115" s="699"/>
      <c r="AR115" s="700"/>
      <c r="AS115" s="696">
        <f t="shared" si="112"/>
        <v>1</v>
      </c>
      <c r="AT115" s="696"/>
      <c r="AV115" s="699"/>
      <c r="AW115" s="699"/>
      <c r="AX115" s="700"/>
      <c r="AY115" s="696">
        <f t="shared" si="113"/>
        <v>0.33333333333333331</v>
      </c>
      <c r="AZ115" s="696"/>
      <c r="BN115" s="58" t="str">
        <f t="shared" si="56"/>
        <v>2.2.1.3 中水利用</v>
      </c>
    </row>
    <row r="116" spans="2:66" ht="13.2" customHeight="1">
      <c r="B116" s="1100"/>
      <c r="C116" s="1110" t="str">
        <f>採点LR2!C87</f>
        <v>2.2.2 下水道負荷の軽減</v>
      </c>
      <c r="D116" s="1102"/>
      <c r="E116" s="1103"/>
      <c r="F116" s="1103"/>
      <c r="G116" s="1103"/>
      <c r="H116" s="1119"/>
      <c r="I116" s="1104"/>
      <c r="J116" s="1105"/>
      <c r="K116" s="1105"/>
      <c r="L116" s="1105"/>
      <c r="M116" s="1105"/>
      <c r="N116" s="1105"/>
      <c r="O116" s="1106"/>
      <c r="P116" s="1037">
        <f t="shared" si="110"/>
        <v>3</v>
      </c>
      <c r="Q116" s="1024">
        <f t="shared" si="94"/>
        <v>0.5</v>
      </c>
      <c r="R116" s="1038"/>
      <c r="S116" s="1072"/>
      <c r="T116" s="696"/>
      <c r="U116" s="696">
        <f>AS116</f>
        <v>3</v>
      </c>
      <c r="V116" s="696">
        <f t="shared" si="55"/>
        <v>3</v>
      </c>
      <c r="W116" s="712"/>
      <c r="X116" s="1818"/>
      <c r="Y116" s="1818"/>
      <c r="Z116" s="1817">
        <v>1</v>
      </c>
      <c r="AA116" s="696"/>
      <c r="AB116" s="696"/>
      <c r="AC116"/>
      <c r="AD116" s="699"/>
      <c r="AE116" s="699"/>
      <c r="AF116" s="698">
        <f>IF(AG116=0,0,Z116)</f>
        <v>1</v>
      </c>
      <c r="AG116" s="697">
        <f>SUM(AG117:AG118)</f>
        <v>2</v>
      </c>
      <c r="AH116" s="696">
        <f t="shared" ref="AH116:AH118" si="114">IF($T116=0,0,1)*AB116</f>
        <v>0</v>
      </c>
      <c r="AI116"/>
      <c r="AJ116" s="699"/>
      <c r="AK116" s="699"/>
      <c r="AL116" s="698">
        <f>AF116/AF111</f>
        <v>0.5</v>
      </c>
      <c r="AM116" s="697"/>
      <c r="AN116" s="696"/>
      <c r="AP116" s="699"/>
      <c r="AQ116" s="699"/>
      <c r="AR116" s="698">
        <f t="shared" ref="AR116" si="115">($T116+AS116)*AL116</f>
        <v>1.5</v>
      </c>
      <c r="AS116" s="697">
        <f>SUM(AS117:AS118)</f>
        <v>3</v>
      </c>
      <c r="AT116" s="696"/>
      <c r="AV116" s="699"/>
      <c r="AW116" s="699"/>
      <c r="AX116" s="698">
        <f>AL116</f>
        <v>0.5</v>
      </c>
      <c r="AY116" s="697">
        <f>SUM(AY117:AY118)</f>
        <v>1</v>
      </c>
      <c r="AZ116" s="696"/>
      <c r="BN116" s="58" t="str">
        <f t="shared" si="56"/>
        <v>2.2.2 下水道負荷の軽減</v>
      </c>
    </row>
    <row r="117" spans="2:66" ht="13.2" customHeight="1">
      <c r="B117" s="1100"/>
      <c r="C117" s="1120"/>
      <c r="D117" s="1110" t="str">
        <f>採点LR2!D88</f>
        <v>2.2.2.1 排水量削減</v>
      </c>
      <c r="E117" s="1111"/>
      <c r="F117" s="1111"/>
      <c r="G117" s="1111"/>
      <c r="H117" s="1119"/>
      <c r="I117" s="1113">
        <f>採点LR2!E95</f>
        <v>0</v>
      </c>
      <c r="J117" s="1105"/>
      <c r="K117" s="1105"/>
      <c r="L117" s="1105"/>
      <c r="M117" s="1105"/>
      <c r="N117" s="1105"/>
      <c r="O117" s="1106"/>
      <c r="P117" s="1037">
        <f t="shared" si="110"/>
        <v>3</v>
      </c>
      <c r="Q117" s="1024">
        <f t="shared" si="94"/>
        <v>0.5</v>
      </c>
      <c r="R117" s="1038"/>
      <c r="S117" s="1072"/>
      <c r="T117" s="696">
        <f>採点LR2!D89</f>
        <v>3</v>
      </c>
      <c r="U117" s="696"/>
      <c r="V117" s="696">
        <f t="shared" si="55"/>
        <v>3</v>
      </c>
      <c r="W117" s="712"/>
      <c r="X117" s="1818"/>
      <c r="Y117" s="1818"/>
      <c r="Z117" s="1818"/>
      <c r="AA117" s="696">
        <v>1</v>
      </c>
      <c r="AB117" s="696"/>
      <c r="AC117"/>
      <c r="AD117" s="699"/>
      <c r="AE117" s="699"/>
      <c r="AF117" s="699"/>
      <c r="AG117" s="696">
        <f>IF($T117=0,0,1)*AA117</f>
        <v>1</v>
      </c>
      <c r="AH117" s="696">
        <f t="shared" si="114"/>
        <v>0</v>
      </c>
      <c r="AI117"/>
      <c r="AJ117" s="699"/>
      <c r="AK117" s="699"/>
      <c r="AL117" s="699"/>
      <c r="AM117" s="696">
        <f>AG117/AG116</f>
        <v>0.5</v>
      </c>
      <c r="AN117" s="696"/>
      <c r="AP117" s="699"/>
      <c r="AQ117" s="699"/>
      <c r="AR117" s="699"/>
      <c r="AS117" s="696">
        <f t="shared" ref="AS117:AS118" si="116">($T117+AT117)*AM117</f>
        <v>1.5</v>
      </c>
      <c r="AT117" s="696"/>
      <c r="AV117" s="699"/>
      <c r="AW117" s="699"/>
      <c r="AX117" s="699"/>
      <c r="AY117" s="696">
        <f t="shared" ref="AY117:AY118" si="117">AM117</f>
        <v>0.5</v>
      </c>
      <c r="AZ117" s="696"/>
      <c r="BN117" s="58" t="str">
        <f t="shared" si="56"/>
        <v>2.2.2.1 排水量削減</v>
      </c>
    </row>
    <row r="118" spans="2:66" ht="13.2" customHeight="1">
      <c r="B118" s="1100"/>
      <c r="C118" s="1109"/>
      <c r="D118" s="1110" t="str">
        <f>採点LR2!D97</f>
        <v>2.2.2.2 雨水流出抑制</v>
      </c>
      <c r="E118" s="1111"/>
      <c r="F118" s="1111"/>
      <c r="G118" s="1111"/>
      <c r="H118" s="1119"/>
      <c r="I118" s="1113">
        <f>採点LR2!E105</f>
        <v>0</v>
      </c>
      <c r="J118" s="1105"/>
      <c r="K118" s="1105"/>
      <c r="L118" s="1105"/>
      <c r="M118" s="1105"/>
      <c r="N118" s="1105"/>
      <c r="O118" s="1106"/>
      <c r="P118" s="1037">
        <f t="shared" si="110"/>
        <v>3</v>
      </c>
      <c r="Q118" s="1024">
        <f t="shared" si="94"/>
        <v>0.5</v>
      </c>
      <c r="R118" s="1039"/>
      <c r="S118" s="1072"/>
      <c r="T118" s="696">
        <f>採点LR2!D99</f>
        <v>3</v>
      </c>
      <c r="U118" s="696"/>
      <c r="V118" s="696">
        <f t="shared" si="55"/>
        <v>3</v>
      </c>
      <c r="W118" s="712"/>
      <c r="X118" s="1818"/>
      <c r="Y118" s="1818"/>
      <c r="Z118" s="1818"/>
      <c r="AA118" s="696">
        <v>1</v>
      </c>
      <c r="AB118" s="696"/>
      <c r="AC118"/>
      <c r="AD118" s="699"/>
      <c r="AE118" s="699"/>
      <c r="AF118" s="699"/>
      <c r="AG118" s="696">
        <f>IF($T118=0,0,1)*AA118</f>
        <v>1</v>
      </c>
      <c r="AH118" s="696">
        <f t="shared" si="114"/>
        <v>0</v>
      </c>
      <c r="AI118"/>
      <c r="AJ118" s="699"/>
      <c r="AK118" s="699"/>
      <c r="AL118" s="699"/>
      <c r="AM118" s="696">
        <f>AG118/AG116</f>
        <v>0.5</v>
      </c>
      <c r="AN118" s="696"/>
      <c r="AP118" s="699"/>
      <c r="AQ118" s="699"/>
      <c r="AR118" s="699"/>
      <c r="AS118" s="696">
        <f t="shared" si="116"/>
        <v>1.5</v>
      </c>
      <c r="AT118" s="696"/>
      <c r="AV118" s="699"/>
      <c r="AW118" s="699"/>
      <c r="AX118" s="699"/>
      <c r="AY118" s="696">
        <f t="shared" si="117"/>
        <v>0.5</v>
      </c>
      <c r="AZ118" s="696"/>
      <c r="BN118" s="58" t="str">
        <f t="shared" si="56"/>
        <v>2.2.2.2 雨水流出抑制</v>
      </c>
    </row>
    <row r="119" spans="2:66" ht="13.2" customHeight="1">
      <c r="B119" s="1117" t="str">
        <f>採点LR2!B109</f>
        <v>2.3 資源循環</v>
      </c>
      <c r="C119" s="1118"/>
      <c r="D119" s="1103"/>
      <c r="E119" s="1103"/>
      <c r="F119" s="1103"/>
      <c r="G119" s="1103"/>
      <c r="H119" s="1103"/>
      <c r="I119" s="1104"/>
      <c r="J119" s="1105"/>
      <c r="K119" s="1105"/>
      <c r="L119" s="1105"/>
      <c r="M119" s="1105"/>
      <c r="N119" s="1105"/>
      <c r="O119" s="1106"/>
      <c r="P119" s="1037"/>
      <c r="Q119" s="1024">
        <f t="shared" si="94"/>
        <v>0.33333333333333331</v>
      </c>
      <c r="R119" s="1022">
        <f>ROUNDDOWN($V119,1)</f>
        <v>3</v>
      </c>
      <c r="S119" s="1072"/>
      <c r="T119" s="696"/>
      <c r="U119" s="696">
        <f>AR119</f>
        <v>3</v>
      </c>
      <c r="V119" s="696">
        <f t="shared" si="55"/>
        <v>3</v>
      </c>
      <c r="W119" s="712"/>
      <c r="X119" s="1818"/>
      <c r="Y119" s="1817">
        <v>1</v>
      </c>
      <c r="Z119" s="696"/>
      <c r="AA119" s="696"/>
      <c r="AB119" s="696"/>
      <c r="AC119"/>
      <c r="AD119" s="699"/>
      <c r="AE119" s="698">
        <f>IF(AF119=0,0,Y119)</f>
        <v>1</v>
      </c>
      <c r="AF119" s="697">
        <f>SUM(AF120:AF126)</f>
        <v>2</v>
      </c>
      <c r="AG119" s="696"/>
      <c r="AH119" s="696">
        <f>IF($T119=0,0,1)*AB119</f>
        <v>0</v>
      </c>
      <c r="AI119"/>
      <c r="AJ119" s="699"/>
      <c r="AK119" s="698">
        <f>AE119/AE107</f>
        <v>0.33333333333333331</v>
      </c>
      <c r="AL119" s="697"/>
      <c r="AM119" s="696"/>
      <c r="AN119" s="696"/>
      <c r="AP119" s="699"/>
      <c r="AQ119" s="698">
        <f t="shared" ref="AQ119" si="118">($T119+AR119)*AK119</f>
        <v>1</v>
      </c>
      <c r="AR119" s="697">
        <f>SUM(AR120:AR126)</f>
        <v>3</v>
      </c>
      <c r="AS119" s="696"/>
      <c r="AT119" s="696"/>
      <c r="AV119" s="699"/>
      <c r="AW119" s="698">
        <f>AK119</f>
        <v>0.33333333333333331</v>
      </c>
      <c r="AX119" s="697">
        <f>SUM(AX120:AX126)</f>
        <v>1</v>
      </c>
      <c r="AY119" s="696"/>
      <c r="AZ119" s="696"/>
      <c r="BN119" s="58" t="str">
        <f t="shared" si="56"/>
        <v>2.3 資源循環</v>
      </c>
    </row>
    <row r="120" spans="2:66" ht="13.2" customHeight="1">
      <c r="B120" s="1100"/>
      <c r="C120" s="1110" t="str">
        <f>採点LR2!C110</f>
        <v>2.3.1 建材の選択</v>
      </c>
      <c r="D120" s="1102"/>
      <c r="E120" s="1103"/>
      <c r="F120" s="1103"/>
      <c r="G120" s="1103"/>
      <c r="H120" s="1119"/>
      <c r="I120" s="1104"/>
      <c r="J120" s="1105"/>
      <c r="K120" s="1105"/>
      <c r="L120" s="1105"/>
      <c r="M120" s="1105"/>
      <c r="N120" s="1105"/>
      <c r="O120" s="1106"/>
      <c r="P120" s="1037">
        <f t="shared" ref="P120:P126" si="119">ROUNDDOWN($V120,1)</f>
        <v>3</v>
      </c>
      <c r="Q120" s="1024">
        <f t="shared" si="94"/>
        <v>0.5</v>
      </c>
      <c r="R120" s="1038"/>
      <c r="S120" s="1072"/>
      <c r="T120" s="696"/>
      <c r="U120" s="696">
        <f>AS120</f>
        <v>3</v>
      </c>
      <c r="V120" s="696">
        <f t="shared" si="55"/>
        <v>3</v>
      </c>
      <c r="W120" s="712"/>
      <c r="X120" s="1818"/>
      <c r="Y120" s="1818"/>
      <c r="Z120" s="1817">
        <v>1</v>
      </c>
      <c r="AA120" s="696"/>
      <c r="AB120" s="696"/>
      <c r="AC120"/>
      <c r="AD120" s="699"/>
      <c r="AE120" s="699"/>
      <c r="AF120" s="698">
        <f>IF(AG120=0,0,Z120)</f>
        <v>1</v>
      </c>
      <c r="AG120" s="697">
        <f>SUM(AG121:AG122)</f>
        <v>2</v>
      </c>
      <c r="AH120" s="696">
        <f>IF($T120=0,0,1)*AB120</f>
        <v>0</v>
      </c>
      <c r="AI120"/>
      <c r="AJ120" s="699"/>
      <c r="AK120" s="699"/>
      <c r="AL120" s="698">
        <f>AF120/AF119</f>
        <v>0.5</v>
      </c>
      <c r="AM120" s="697"/>
      <c r="AN120" s="696"/>
      <c r="AP120" s="699"/>
      <c r="AQ120" s="699"/>
      <c r="AR120" s="698">
        <f t="shared" ref="AR120" si="120">($T120+AS120)*AL120</f>
        <v>1.5</v>
      </c>
      <c r="AS120" s="697">
        <f>SUM(AS121:AS122)</f>
        <v>3</v>
      </c>
      <c r="AT120" s="696"/>
      <c r="AV120" s="699"/>
      <c r="AW120" s="699"/>
      <c r="AX120" s="698">
        <f>AL120</f>
        <v>0.5</v>
      </c>
      <c r="AY120" s="697">
        <f>SUM(AY121:AY122)</f>
        <v>1</v>
      </c>
      <c r="AZ120" s="696"/>
      <c r="BN120" s="58" t="str">
        <f t="shared" si="56"/>
        <v>2.3.1 建材の選択</v>
      </c>
    </row>
    <row r="121" spans="2:66" ht="13.2" customHeight="1">
      <c r="B121" s="1100"/>
      <c r="C121" s="1120"/>
      <c r="D121" s="1110" t="str">
        <f>採点LR2!D111</f>
        <v>2.3.1.1 持続可能な森林の木材使用</v>
      </c>
      <c r="E121" s="1111"/>
      <c r="F121" s="1111"/>
      <c r="G121" s="1111"/>
      <c r="H121" s="1119"/>
      <c r="I121" s="1113">
        <f>採点LR2!E118</f>
        <v>0</v>
      </c>
      <c r="J121" s="1105"/>
      <c r="K121" s="1105"/>
      <c r="L121" s="1105"/>
      <c r="M121" s="1105"/>
      <c r="N121" s="1105"/>
      <c r="O121" s="1106"/>
      <c r="P121" s="1037">
        <f t="shared" si="119"/>
        <v>3</v>
      </c>
      <c r="Q121" s="1024">
        <f t="shared" si="94"/>
        <v>0.5</v>
      </c>
      <c r="R121" s="1038"/>
      <c r="S121" s="1072"/>
      <c r="T121" s="696">
        <f>採点LR2!D112</f>
        <v>3</v>
      </c>
      <c r="U121" s="696"/>
      <c r="V121" s="696">
        <f t="shared" si="55"/>
        <v>3</v>
      </c>
      <c r="W121" s="712"/>
      <c r="X121" s="1818"/>
      <c r="Y121" s="1818"/>
      <c r="Z121" s="1818"/>
      <c r="AA121" s="696">
        <v>1</v>
      </c>
      <c r="AB121" s="696"/>
      <c r="AC121"/>
      <c r="AD121" s="699"/>
      <c r="AE121" s="699"/>
      <c r="AF121" s="699"/>
      <c r="AG121" s="696">
        <f>IF($T121=0,0,1)*AA121</f>
        <v>1</v>
      </c>
      <c r="AH121" s="696">
        <f>IF($T121=0,0,1)*AB121</f>
        <v>0</v>
      </c>
      <c r="AI121"/>
      <c r="AJ121" s="699"/>
      <c r="AK121" s="699"/>
      <c r="AL121" s="699"/>
      <c r="AM121" s="696">
        <f>AG121/AG120</f>
        <v>0.5</v>
      </c>
      <c r="AN121" s="696"/>
      <c r="AP121" s="699"/>
      <c r="AQ121" s="699"/>
      <c r="AR121" s="699"/>
      <c r="AS121" s="696">
        <f t="shared" ref="AS121:AS122" si="121">($T121+AT121)*AM121</f>
        <v>1.5</v>
      </c>
      <c r="AT121" s="696"/>
      <c r="AV121" s="699"/>
      <c r="AW121" s="699"/>
      <c r="AX121" s="699"/>
      <c r="AY121" s="696">
        <f t="shared" ref="AY121:AY122" si="122">AM121</f>
        <v>0.5</v>
      </c>
      <c r="AZ121" s="696"/>
      <c r="BN121" s="58" t="str">
        <f t="shared" si="56"/>
        <v>2.3.1.1 持続可能な森林の木材使用</v>
      </c>
    </row>
    <row r="122" spans="2:66" ht="13.2" customHeight="1">
      <c r="B122" s="1100"/>
      <c r="C122" s="1109"/>
      <c r="D122" s="1110" t="str">
        <f>採点LR2!D120</f>
        <v>2.3.1.2 リサイクル資材の使用(躯体、非構造材料)</v>
      </c>
      <c r="E122" s="1111"/>
      <c r="F122" s="1111"/>
      <c r="G122" s="1111"/>
      <c r="H122" s="1111"/>
      <c r="I122" s="1113">
        <f>採点LR2!E127</f>
        <v>0</v>
      </c>
      <c r="J122" s="1105"/>
      <c r="K122" s="1105"/>
      <c r="L122" s="1105"/>
      <c r="M122" s="1105"/>
      <c r="N122" s="1105"/>
      <c r="O122" s="1106"/>
      <c r="P122" s="1037">
        <f t="shared" si="119"/>
        <v>3</v>
      </c>
      <c r="Q122" s="1024">
        <f t="shared" si="94"/>
        <v>0.5</v>
      </c>
      <c r="R122" s="1038"/>
      <c r="S122" s="1072"/>
      <c r="T122" s="696">
        <f>採点LR2!D121</f>
        <v>3</v>
      </c>
      <c r="U122" s="696"/>
      <c r="V122" s="696">
        <f t="shared" si="55"/>
        <v>3</v>
      </c>
      <c r="W122" s="712"/>
      <c r="X122" s="1818"/>
      <c r="Y122" s="1818"/>
      <c r="Z122" s="1819"/>
      <c r="AA122" s="696">
        <v>1</v>
      </c>
      <c r="AB122" s="696"/>
      <c r="AC122"/>
      <c r="AD122" s="699"/>
      <c r="AE122" s="699"/>
      <c r="AF122" s="700"/>
      <c r="AG122" s="696">
        <f>IF($T122=0,0,1)*AA122</f>
        <v>1</v>
      </c>
      <c r="AH122" s="696">
        <f>IF($T122=0,0,1)*AB122</f>
        <v>0</v>
      </c>
      <c r="AI122"/>
      <c r="AJ122" s="699"/>
      <c r="AK122" s="699"/>
      <c r="AL122" s="700"/>
      <c r="AM122" s="696">
        <f>AG122/AG120</f>
        <v>0.5</v>
      </c>
      <c r="AN122" s="696"/>
      <c r="AP122" s="699"/>
      <c r="AQ122" s="699"/>
      <c r="AR122" s="700"/>
      <c r="AS122" s="696">
        <f t="shared" si="121"/>
        <v>1.5</v>
      </c>
      <c r="AT122" s="696"/>
      <c r="AV122" s="699"/>
      <c r="AW122" s="699"/>
      <c r="AX122" s="700"/>
      <c r="AY122" s="696">
        <f t="shared" si="122"/>
        <v>0.5</v>
      </c>
      <c r="AZ122" s="696"/>
      <c r="BN122" s="58" t="str">
        <f t="shared" si="56"/>
        <v>2.3.1.2 リサイクル資材の使用(躯体、非構造材料)</v>
      </c>
    </row>
    <row r="123" spans="2:66" ht="13.2" customHeight="1">
      <c r="B123" s="1100"/>
      <c r="C123" s="1110" t="str">
        <f>採点LR2!C129</f>
        <v>2.3.2 ゴミ等の処理負荷の軽減</v>
      </c>
      <c r="D123" s="1102"/>
      <c r="E123" s="1103"/>
      <c r="F123" s="1103"/>
      <c r="G123" s="1103"/>
      <c r="H123" s="1119"/>
      <c r="I123" s="1104"/>
      <c r="J123" s="1105"/>
      <c r="K123" s="1105"/>
      <c r="L123" s="1105"/>
      <c r="M123" s="1105"/>
      <c r="N123" s="1105"/>
      <c r="O123" s="1106"/>
      <c r="P123" s="1037">
        <f t="shared" si="119"/>
        <v>3</v>
      </c>
      <c r="Q123" s="1024">
        <f t="shared" si="94"/>
        <v>0.5</v>
      </c>
      <c r="R123" s="1038"/>
      <c r="S123" s="1072"/>
      <c r="T123" s="696"/>
      <c r="U123" s="696">
        <f>AS123</f>
        <v>3</v>
      </c>
      <c r="V123" s="696">
        <f t="shared" si="55"/>
        <v>3</v>
      </c>
      <c r="W123" s="712"/>
      <c r="X123" s="1818"/>
      <c r="Y123" s="1818"/>
      <c r="Z123" s="1817">
        <v>1</v>
      </c>
      <c r="AA123" s="696"/>
      <c r="AB123" s="696"/>
      <c r="AC123"/>
      <c r="AD123" s="699"/>
      <c r="AE123" s="699"/>
      <c r="AF123" s="698">
        <f>IF(AG123=0,0,Z123)</f>
        <v>1</v>
      </c>
      <c r="AG123" s="697">
        <f>SUM(AG124:AG126)</f>
        <v>3</v>
      </c>
      <c r="AH123" s="696">
        <f t="shared" ref="AH123" si="123">IF($T123=0,0,1)*AB123</f>
        <v>0</v>
      </c>
      <c r="AI123"/>
      <c r="AJ123" s="699"/>
      <c r="AK123" s="699"/>
      <c r="AL123" s="698">
        <f>AF123/AF119</f>
        <v>0.5</v>
      </c>
      <c r="AM123" s="697"/>
      <c r="AN123" s="696"/>
      <c r="AP123" s="699"/>
      <c r="AQ123" s="699"/>
      <c r="AR123" s="698">
        <f t="shared" ref="AR123" si="124">($T123+AS123)*AL123</f>
        <v>1.5</v>
      </c>
      <c r="AS123" s="697">
        <f>SUM(AS124:AS126)</f>
        <v>3</v>
      </c>
      <c r="AT123" s="696"/>
      <c r="AV123" s="699"/>
      <c r="AW123" s="699"/>
      <c r="AX123" s="698">
        <f>AL123</f>
        <v>0.5</v>
      </c>
      <c r="AY123" s="697">
        <f>SUM(AY124:AY126)</f>
        <v>1</v>
      </c>
      <c r="AZ123" s="696"/>
      <c r="BN123" s="58" t="str">
        <f t="shared" si="56"/>
        <v>2.3.2 ゴミ等の処理負荷の軽減</v>
      </c>
    </row>
    <row r="124" spans="2:66" ht="13.2" customHeight="1">
      <c r="B124" s="1100"/>
      <c r="C124" s="1120"/>
      <c r="D124" s="1110" t="str">
        <f>採点LR2!D130</f>
        <v>2.3.2.1 ゴミの分別回収</v>
      </c>
      <c r="E124" s="1111"/>
      <c r="F124" s="1111"/>
      <c r="G124" s="1111"/>
      <c r="H124" s="1119"/>
      <c r="I124" s="1113">
        <f>採点LR2!E137</f>
        <v>0</v>
      </c>
      <c r="J124" s="1105"/>
      <c r="K124" s="1105"/>
      <c r="L124" s="1105"/>
      <c r="M124" s="1105"/>
      <c r="N124" s="1105"/>
      <c r="O124" s="1106"/>
      <c r="P124" s="1037">
        <f t="shared" si="119"/>
        <v>3</v>
      </c>
      <c r="Q124" s="1024">
        <f t="shared" si="94"/>
        <v>0.33333333333333331</v>
      </c>
      <c r="R124" s="1038"/>
      <c r="S124" s="1072"/>
      <c r="T124" s="696">
        <f>採点LR2!D131</f>
        <v>3</v>
      </c>
      <c r="U124" s="696"/>
      <c r="V124" s="696">
        <f t="shared" si="55"/>
        <v>3</v>
      </c>
      <c r="W124" s="712"/>
      <c r="X124" s="1818"/>
      <c r="Y124" s="1818"/>
      <c r="Z124" s="1818"/>
      <c r="AA124" s="696">
        <v>1</v>
      </c>
      <c r="AB124" s="696"/>
      <c r="AC124"/>
      <c r="AD124" s="699"/>
      <c r="AE124" s="699"/>
      <c r="AF124" s="699"/>
      <c r="AG124" s="696">
        <f t="shared" ref="AG124:AH126" si="125">IF($T124=0,0,1)*AA124</f>
        <v>1</v>
      </c>
      <c r="AH124" s="696">
        <f t="shared" si="125"/>
        <v>0</v>
      </c>
      <c r="AI124"/>
      <c r="AJ124" s="699"/>
      <c r="AK124" s="699"/>
      <c r="AL124" s="699"/>
      <c r="AM124" s="696">
        <f>AG124/AG123</f>
        <v>0.33333333333333331</v>
      </c>
      <c r="AN124" s="696"/>
      <c r="AP124" s="699"/>
      <c r="AQ124" s="699"/>
      <c r="AR124" s="699"/>
      <c r="AS124" s="696">
        <f t="shared" ref="AS124:AS126" si="126">($T124+AT124)*AM124</f>
        <v>1</v>
      </c>
      <c r="AT124" s="696"/>
      <c r="AV124" s="699"/>
      <c r="AW124" s="699"/>
      <c r="AX124" s="699"/>
      <c r="AY124" s="696">
        <f t="shared" ref="AY124:AY126" si="127">AM124</f>
        <v>0.33333333333333331</v>
      </c>
      <c r="AZ124" s="696"/>
      <c r="BN124" s="58" t="str">
        <f t="shared" si="56"/>
        <v>2.3.2.1 ゴミの分別回収</v>
      </c>
    </row>
    <row r="125" spans="2:66" ht="13.2" customHeight="1">
      <c r="B125" s="1100"/>
      <c r="C125" s="1120"/>
      <c r="D125" s="1110" t="str">
        <f>採点LR2!D139</f>
        <v>2.3.2.2 ゴミの減容化、減量化、堆肥化</v>
      </c>
      <c r="E125" s="1111"/>
      <c r="F125" s="1111"/>
      <c r="G125" s="1111"/>
      <c r="H125" s="1119"/>
      <c r="I125" s="1113">
        <f>採点LR2!E146</f>
        <v>0</v>
      </c>
      <c r="J125" s="1105"/>
      <c r="K125" s="1105"/>
      <c r="L125" s="1105"/>
      <c r="M125" s="1105"/>
      <c r="N125" s="1105"/>
      <c r="O125" s="1106"/>
      <c r="P125" s="1037">
        <f t="shared" si="119"/>
        <v>3</v>
      </c>
      <c r="Q125" s="1024">
        <f t="shared" si="94"/>
        <v>0.33333333333333331</v>
      </c>
      <c r="R125" s="1038"/>
      <c r="S125" s="1072"/>
      <c r="T125" s="696">
        <f>採点LR2!D140</f>
        <v>3</v>
      </c>
      <c r="U125" s="696"/>
      <c r="V125" s="696">
        <f t="shared" si="55"/>
        <v>3</v>
      </c>
      <c r="W125" s="712"/>
      <c r="X125" s="1818"/>
      <c r="Y125" s="1818"/>
      <c r="Z125" s="1818"/>
      <c r="AA125" s="696">
        <v>1</v>
      </c>
      <c r="AB125" s="696"/>
      <c r="AC125"/>
      <c r="AD125" s="699"/>
      <c r="AE125" s="699"/>
      <c r="AF125" s="699"/>
      <c r="AG125" s="696">
        <f t="shared" si="125"/>
        <v>1</v>
      </c>
      <c r="AH125" s="696">
        <f t="shared" si="125"/>
        <v>0</v>
      </c>
      <c r="AI125"/>
      <c r="AJ125" s="699"/>
      <c r="AK125" s="699"/>
      <c r="AL125" s="699"/>
      <c r="AM125" s="696">
        <f>AG125/AG123</f>
        <v>0.33333333333333331</v>
      </c>
      <c r="AN125" s="696"/>
      <c r="AP125" s="699"/>
      <c r="AQ125" s="699"/>
      <c r="AR125" s="699"/>
      <c r="AS125" s="696">
        <f t="shared" si="126"/>
        <v>1</v>
      </c>
      <c r="AT125" s="696"/>
      <c r="AV125" s="699"/>
      <c r="AW125" s="699"/>
      <c r="AX125" s="699"/>
      <c r="AY125" s="696">
        <f t="shared" si="127"/>
        <v>0.33333333333333331</v>
      </c>
      <c r="AZ125" s="696"/>
      <c r="BN125" s="58" t="str">
        <f t="shared" si="56"/>
        <v>2.3.2.2 ゴミの減容化、減量化、堆肥化</v>
      </c>
    </row>
    <row r="126" spans="2:66" ht="13.2" customHeight="1" thickBot="1">
      <c r="B126" s="1100"/>
      <c r="C126" s="1109"/>
      <c r="D126" s="1110" t="str">
        <f>採点LR2!D148</f>
        <v>2.3.2.3 食品系のリサイクル・廃棄物削減</v>
      </c>
      <c r="E126" s="1131"/>
      <c r="F126" s="1131"/>
      <c r="G126" s="1131"/>
      <c r="H126" s="1131"/>
      <c r="I126" s="1113" t="str">
        <f>採点LR2!D156</f>
        <v>評価する取組</v>
      </c>
      <c r="J126" s="1125"/>
      <c r="K126" s="1122">
        <f>採点LR2!E155</f>
        <v>0</v>
      </c>
      <c r="L126" s="1125"/>
      <c r="M126" s="1125"/>
      <c r="N126" s="1125"/>
      <c r="O126" s="1126"/>
      <c r="P126" s="1040">
        <f t="shared" si="119"/>
        <v>3</v>
      </c>
      <c r="Q126" s="1041">
        <f t="shared" si="94"/>
        <v>0.33333333333333331</v>
      </c>
      <c r="R126" s="1038"/>
      <c r="S126" s="1072"/>
      <c r="T126" s="696">
        <f>採点LR2!D149</f>
        <v>3</v>
      </c>
      <c r="U126" s="696"/>
      <c r="V126" s="696">
        <f t="shared" si="55"/>
        <v>3</v>
      </c>
      <c r="W126" s="712"/>
      <c r="X126" s="1819"/>
      <c r="Y126" s="1819"/>
      <c r="Z126" s="1819"/>
      <c r="AA126" s="696">
        <v>1</v>
      </c>
      <c r="AB126" s="696"/>
      <c r="AC126"/>
      <c r="AD126" s="700"/>
      <c r="AE126" s="700"/>
      <c r="AF126" s="700"/>
      <c r="AG126" s="696">
        <f t="shared" si="125"/>
        <v>1</v>
      </c>
      <c r="AH126" s="696">
        <f t="shared" si="125"/>
        <v>0</v>
      </c>
      <c r="AI126"/>
      <c r="AJ126" s="700"/>
      <c r="AK126" s="700"/>
      <c r="AL126" s="700"/>
      <c r="AM126" s="696">
        <f>AG126/AG123</f>
        <v>0.33333333333333331</v>
      </c>
      <c r="AN126" s="696"/>
      <c r="AP126" s="700"/>
      <c r="AQ126" s="700"/>
      <c r="AR126" s="700"/>
      <c r="AS126" s="696">
        <f t="shared" si="126"/>
        <v>1</v>
      </c>
      <c r="AT126" s="696"/>
      <c r="AV126" s="700"/>
      <c r="AW126" s="700"/>
      <c r="AX126" s="700"/>
      <c r="AY126" s="696">
        <f t="shared" si="127"/>
        <v>0.33333333333333331</v>
      </c>
      <c r="AZ126" s="696"/>
      <c r="BN126" s="58" t="str">
        <f t="shared" si="56"/>
        <v>2.3.2.3 食品系のリサイクル・廃棄物削減</v>
      </c>
    </row>
    <row r="127" spans="2:66" ht="13.2" customHeight="1" thickBot="1">
      <c r="B127" s="1087" t="str">
        <f>採点LR3!B9</f>
        <v>LR-3 周辺環境</v>
      </c>
      <c r="C127" s="1088"/>
      <c r="D127" s="1088"/>
      <c r="E127" s="1088"/>
      <c r="F127" s="1088"/>
      <c r="G127" s="1088"/>
      <c r="H127" s="1089"/>
      <c r="I127" s="1127"/>
      <c r="J127" s="1091"/>
      <c r="K127" s="1091"/>
      <c r="L127" s="1091"/>
      <c r="M127" s="1091"/>
      <c r="N127" s="1091"/>
      <c r="O127" s="1092"/>
      <c r="P127" s="1017"/>
      <c r="Q127" s="1018">
        <f t="shared" si="94"/>
        <v>0.33333333333333331</v>
      </c>
      <c r="R127" s="1019">
        <f>ROUNDDOWN($T127+$U127,1)</f>
        <v>2.6</v>
      </c>
      <c r="S127" s="1072"/>
      <c r="T127" s="696"/>
      <c r="U127" s="696">
        <f>AQ127</f>
        <v>2.6481481481481479</v>
      </c>
      <c r="V127" s="696">
        <f t="shared" si="55"/>
        <v>2.6481481481481479</v>
      </c>
      <c r="W127" s="712"/>
      <c r="X127" s="1817">
        <v>1</v>
      </c>
      <c r="Y127" s="696"/>
      <c r="Z127" s="696"/>
      <c r="AA127" s="696"/>
      <c r="AB127" s="696"/>
      <c r="AC127"/>
      <c r="AD127" s="698">
        <f>IF(AE127=0,0,X127)</f>
        <v>1</v>
      </c>
      <c r="AE127" s="697">
        <f>SUM(AE128:AE150)</f>
        <v>3</v>
      </c>
      <c r="AF127" s="696"/>
      <c r="AG127" s="696"/>
      <c r="AH127" s="696">
        <f t="shared" ref="AH127:AH133" si="128">IF($T127=0,0,1)*AB127</f>
        <v>0</v>
      </c>
      <c r="AI127"/>
      <c r="AJ127" s="698">
        <f>AD127/AD99</f>
        <v>0.33333333333333331</v>
      </c>
      <c r="AK127" s="697"/>
      <c r="AL127" s="696"/>
      <c r="AM127" s="696"/>
      <c r="AN127" s="696"/>
      <c r="AP127" s="698">
        <f t="shared" ref="AP127" si="129">($T127+AQ127)*AJ127</f>
        <v>0.88271604938271597</v>
      </c>
      <c r="AQ127" s="697">
        <f>SUM(AQ128:AQ150)</f>
        <v>2.6481481481481479</v>
      </c>
      <c r="AR127" s="696"/>
      <c r="AS127" s="696"/>
      <c r="AT127" s="696"/>
      <c r="AV127" s="698">
        <f>AJ127</f>
        <v>0.33333333333333331</v>
      </c>
      <c r="AW127" s="697">
        <f>SUM(AW128:AW150)</f>
        <v>1</v>
      </c>
      <c r="AX127" s="696"/>
      <c r="AY127" s="696"/>
      <c r="AZ127" s="696"/>
      <c r="BN127" s="58" t="str">
        <f t="shared" si="56"/>
        <v>LR-3 周辺環境</v>
      </c>
    </row>
    <row r="128" spans="2:66" ht="13.2" customHeight="1">
      <c r="B128" s="1132" t="str">
        <f>採点LR3!B12</f>
        <v>3.1　地球温暖化への配慮</v>
      </c>
      <c r="C128" s="1133"/>
      <c r="D128" s="1134"/>
      <c r="E128" s="1134"/>
      <c r="F128" s="1134"/>
      <c r="G128" s="1134"/>
      <c r="H128" s="1134"/>
      <c r="I128" s="1135">
        <f>採点LR3!E19</f>
        <v>0</v>
      </c>
      <c r="J128" s="1136"/>
      <c r="K128" s="1136"/>
      <c r="L128" s="1136"/>
      <c r="M128" s="1136"/>
      <c r="N128" s="1136"/>
      <c r="O128" s="1137"/>
      <c r="P128" s="1043"/>
      <c r="Q128" s="1044">
        <f t="shared" si="94"/>
        <v>0.33333333333333331</v>
      </c>
      <c r="R128" s="1042">
        <f>ROUNDDOWN($V128,1)</f>
        <v>2</v>
      </c>
      <c r="S128" s="1072"/>
      <c r="T128" s="696">
        <f>採点LR3!D13</f>
        <v>2</v>
      </c>
      <c r="U128" s="696"/>
      <c r="V128" s="696">
        <f t="shared" si="55"/>
        <v>2</v>
      </c>
      <c r="W128" s="712"/>
      <c r="X128" s="1818"/>
      <c r="Y128" s="696">
        <v>1</v>
      </c>
      <c r="Z128" s="696"/>
      <c r="AA128" s="696"/>
      <c r="AB128" s="696"/>
      <c r="AC128"/>
      <c r="AD128" s="699"/>
      <c r="AE128" s="696">
        <f t="shared" ref="AE128" si="130">IF($T128=0,0,1)*Y128</f>
        <v>1</v>
      </c>
      <c r="AF128" s="696">
        <f t="shared" ref="AF128" si="131">IF($T128=0,0,1)*Z128</f>
        <v>0</v>
      </c>
      <c r="AG128" s="696">
        <f>IF($T128=0,0,1)*AA128</f>
        <v>0</v>
      </c>
      <c r="AH128" s="696">
        <f t="shared" si="128"/>
        <v>0</v>
      </c>
      <c r="AI128"/>
      <c r="AJ128" s="699"/>
      <c r="AK128" s="698">
        <f>AE128/AE127</f>
        <v>0.33333333333333331</v>
      </c>
      <c r="AL128" s="696"/>
      <c r="AM128" s="696"/>
      <c r="AN128" s="696"/>
      <c r="AP128" s="699"/>
      <c r="AQ128" s="698">
        <f t="shared" ref="AQ128:AQ129" si="132">($T128+AR128)*AK128</f>
        <v>0.66666666666666663</v>
      </c>
      <c r="AR128" s="696"/>
      <c r="AS128" s="696"/>
      <c r="AT128" s="696"/>
      <c r="AV128" s="699"/>
      <c r="AW128" s="698">
        <f>AK128</f>
        <v>0.33333333333333331</v>
      </c>
      <c r="AX128" s="696"/>
      <c r="AY128" s="696"/>
      <c r="AZ128" s="696"/>
      <c r="BN128" s="58" t="str">
        <f t="shared" si="56"/>
        <v>3.1　地球温暖化への配慮</v>
      </c>
    </row>
    <row r="129" spans="2:66" ht="13.2" customHeight="1">
      <c r="B129" s="1117" t="str">
        <f>採点LR3!B93</f>
        <v>3.2 交通負荷の削減</v>
      </c>
      <c r="C129" s="1118"/>
      <c r="D129" s="1103"/>
      <c r="E129" s="1103"/>
      <c r="F129" s="1103"/>
      <c r="G129" s="1103"/>
      <c r="H129" s="1103"/>
      <c r="I129" s="1104"/>
      <c r="J129" s="1105"/>
      <c r="K129" s="1105"/>
      <c r="L129" s="1105"/>
      <c r="M129" s="1105"/>
      <c r="N129" s="1105"/>
      <c r="O129" s="1106"/>
      <c r="P129" s="1037"/>
      <c r="Q129" s="1024">
        <f t="shared" si="94"/>
        <v>0.33333333333333331</v>
      </c>
      <c r="R129" s="1022">
        <f>ROUNDDOWN($V129,1)</f>
        <v>3</v>
      </c>
      <c r="S129" s="1072"/>
      <c r="T129" s="696"/>
      <c r="U129" s="696">
        <f>AR129</f>
        <v>3</v>
      </c>
      <c r="V129" s="696">
        <f t="shared" si="55"/>
        <v>3</v>
      </c>
      <c r="W129" s="712"/>
      <c r="X129" s="1818"/>
      <c r="Y129" s="1817">
        <v>1</v>
      </c>
      <c r="Z129" s="696"/>
      <c r="AA129" s="696"/>
      <c r="AB129" s="696"/>
      <c r="AC129"/>
      <c r="AD129" s="699"/>
      <c r="AE129" s="698">
        <f>IF(AF129=0,0,Y129)</f>
        <v>1</v>
      </c>
      <c r="AF129" s="697">
        <f>SUM(AF130:AF135)</f>
        <v>2</v>
      </c>
      <c r="AG129" s="696"/>
      <c r="AH129" s="696">
        <f t="shared" si="128"/>
        <v>0</v>
      </c>
      <c r="AI129"/>
      <c r="AJ129" s="699"/>
      <c r="AK129" s="698">
        <f>AE129/AE127</f>
        <v>0.33333333333333331</v>
      </c>
      <c r="AL129" s="697"/>
      <c r="AM129" s="696"/>
      <c r="AN129" s="696"/>
      <c r="AP129" s="699"/>
      <c r="AQ129" s="698">
        <f t="shared" si="132"/>
        <v>1</v>
      </c>
      <c r="AR129" s="697">
        <f>SUM(AR130:AR135)</f>
        <v>3</v>
      </c>
      <c r="AS129" s="696"/>
      <c r="AT129" s="696"/>
      <c r="AV129" s="699"/>
      <c r="AW129" s="698">
        <f>AK129</f>
        <v>0.33333333333333331</v>
      </c>
      <c r="AX129" s="697">
        <f>SUM(AX130:AX135)</f>
        <v>1</v>
      </c>
      <c r="AY129" s="696"/>
      <c r="AZ129" s="696"/>
      <c r="BN129" s="58" t="str">
        <f t="shared" si="56"/>
        <v>3.2 交通負荷の削減</v>
      </c>
    </row>
    <row r="130" spans="2:66" ht="13.2" customHeight="1">
      <c r="B130" s="1100"/>
      <c r="C130" s="1110" t="str">
        <f>採点LR3!C94</f>
        <v>3.2.1 交通に関する広域的取組み</v>
      </c>
      <c r="D130" s="1102"/>
      <c r="E130" s="1103"/>
      <c r="F130" s="1103"/>
      <c r="G130" s="1103"/>
      <c r="H130" s="1119"/>
      <c r="I130" s="1104"/>
      <c r="J130" s="1105"/>
      <c r="K130" s="1105"/>
      <c r="L130" s="1105"/>
      <c r="M130" s="1105"/>
      <c r="N130" s="1105"/>
      <c r="O130" s="1106"/>
      <c r="P130" s="1037">
        <f t="shared" ref="P130:P135" si="133">ROUNDDOWN($V130,1)</f>
        <v>3</v>
      </c>
      <c r="Q130" s="1024">
        <f t="shared" si="94"/>
        <v>0.5</v>
      </c>
      <c r="R130" s="1038"/>
      <c r="S130" s="1072"/>
      <c r="T130" s="696"/>
      <c r="U130" s="696">
        <f>AS130</f>
        <v>3</v>
      </c>
      <c r="V130" s="696">
        <f t="shared" si="55"/>
        <v>3</v>
      </c>
      <c r="W130" s="712"/>
      <c r="X130" s="1818"/>
      <c r="Y130" s="1818"/>
      <c r="Z130" s="1817">
        <v>1</v>
      </c>
      <c r="AA130" s="696"/>
      <c r="AB130" s="696"/>
      <c r="AC130"/>
      <c r="AD130" s="699"/>
      <c r="AE130" s="699"/>
      <c r="AF130" s="698">
        <f>IF(AG130=0,0,Z130)</f>
        <v>1</v>
      </c>
      <c r="AG130" s="697">
        <f>SUM(AG131:AG132)</f>
        <v>2</v>
      </c>
      <c r="AH130" s="696">
        <f t="shared" si="128"/>
        <v>0</v>
      </c>
      <c r="AI130"/>
      <c r="AJ130" s="699"/>
      <c r="AK130" s="699"/>
      <c r="AL130" s="698">
        <f>AF130/AF129</f>
        <v>0.5</v>
      </c>
      <c r="AM130" s="697"/>
      <c r="AN130" s="696"/>
      <c r="AP130" s="699"/>
      <c r="AQ130" s="699"/>
      <c r="AR130" s="698">
        <f t="shared" ref="AR130" si="134">($T130+AS130)*AL130</f>
        <v>1.5</v>
      </c>
      <c r="AS130" s="697">
        <f>SUM(AS131:AS132)</f>
        <v>3</v>
      </c>
      <c r="AT130" s="696"/>
      <c r="AV130" s="699"/>
      <c r="AW130" s="699"/>
      <c r="AX130" s="698">
        <f>AL130</f>
        <v>0.5</v>
      </c>
      <c r="AY130" s="697">
        <f>SUM(AY131:AY132)</f>
        <v>1</v>
      </c>
      <c r="AZ130" s="696"/>
      <c r="BN130" s="58" t="str">
        <f t="shared" si="56"/>
        <v>3.2.1 交通に関する広域的取組み</v>
      </c>
    </row>
    <row r="131" spans="2:66" ht="13.2" customHeight="1">
      <c r="B131" s="1100"/>
      <c r="C131" s="1120"/>
      <c r="D131" s="1110" t="str">
        <f>採点LR3!D95</f>
        <v>3.2.1.1 交通施設整備に関する上位計画との整合</v>
      </c>
      <c r="E131" s="1111"/>
      <c r="F131" s="1111"/>
      <c r="G131" s="1111"/>
      <c r="H131" s="1119"/>
      <c r="I131" s="1113">
        <f>採点LR3!E102</f>
        <v>0</v>
      </c>
      <c r="J131" s="1105"/>
      <c r="K131" s="1105"/>
      <c r="L131" s="1105"/>
      <c r="M131" s="1105"/>
      <c r="N131" s="1105"/>
      <c r="O131" s="1106"/>
      <c r="P131" s="1037">
        <f t="shared" si="133"/>
        <v>3</v>
      </c>
      <c r="Q131" s="1024">
        <f t="shared" si="94"/>
        <v>0.5</v>
      </c>
      <c r="R131" s="1038"/>
      <c r="S131" s="1072"/>
      <c r="T131" s="696">
        <f>採点LR3!D96</f>
        <v>3</v>
      </c>
      <c r="U131" s="696"/>
      <c r="V131" s="696">
        <f t="shared" si="55"/>
        <v>3</v>
      </c>
      <c r="W131" s="712"/>
      <c r="X131" s="1818"/>
      <c r="Y131" s="1818"/>
      <c r="Z131" s="1818"/>
      <c r="AA131" s="696">
        <v>1</v>
      </c>
      <c r="AB131" s="696"/>
      <c r="AC131"/>
      <c r="AD131" s="699"/>
      <c r="AE131" s="699"/>
      <c r="AF131" s="699"/>
      <c r="AG131" s="696">
        <f>IF($T131=0,0,1)*AA131</f>
        <v>1</v>
      </c>
      <c r="AH131" s="696">
        <f t="shared" si="128"/>
        <v>0</v>
      </c>
      <c r="AI131"/>
      <c r="AJ131" s="699"/>
      <c r="AK131" s="699"/>
      <c r="AL131" s="699"/>
      <c r="AM131" s="696">
        <f>AG131/AG130</f>
        <v>0.5</v>
      </c>
      <c r="AN131" s="696"/>
      <c r="AP131" s="699"/>
      <c r="AQ131" s="699"/>
      <c r="AR131" s="699"/>
      <c r="AS131" s="696">
        <f t="shared" ref="AS131:AS132" si="135">($T131+AT131)*AM131</f>
        <v>1.5</v>
      </c>
      <c r="AT131" s="696"/>
      <c r="AV131" s="699"/>
      <c r="AW131" s="699"/>
      <c r="AX131" s="699"/>
      <c r="AY131" s="696">
        <f t="shared" ref="AY131:AY132" si="136">AM131</f>
        <v>0.5</v>
      </c>
      <c r="AZ131" s="696"/>
      <c r="BN131" s="58" t="str">
        <f t="shared" si="56"/>
        <v>3.2.1.1 交通施設整備に関する上位計画との整合</v>
      </c>
    </row>
    <row r="132" spans="2:66" ht="13.2" customHeight="1">
      <c r="B132" s="1100"/>
      <c r="C132" s="1120"/>
      <c r="D132" s="1110" t="str">
        <f>採点LR3!D104</f>
        <v>3.2.1.2 交通需要マネジメント等の取組み</v>
      </c>
      <c r="E132" s="1111"/>
      <c r="F132" s="1111"/>
      <c r="G132" s="1111"/>
      <c r="H132" s="1119"/>
      <c r="I132" s="1113">
        <f>採点LR3!E111</f>
        <v>0</v>
      </c>
      <c r="J132" s="1105"/>
      <c r="K132" s="1105"/>
      <c r="L132" s="1105"/>
      <c r="M132" s="1105"/>
      <c r="N132" s="1105"/>
      <c r="O132" s="1106"/>
      <c r="P132" s="1037">
        <f t="shared" si="133"/>
        <v>3</v>
      </c>
      <c r="Q132" s="1024">
        <f t="shared" si="94"/>
        <v>0.5</v>
      </c>
      <c r="R132" s="1038"/>
      <c r="S132" s="1072"/>
      <c r="T132" s="696">
        <f>採点LR3!D105</f>
        <v>3</v>
      </c>
      <c r="U132" s="696"/>
      <c r="V132" s="696">
        <f t="shared" si="55"/>
        <v>3</v>
      </c>
      <c r="W132" s="712"/>
      <c r="X132" s="1818"/>
      <c r="Y132" s="1818"/>
      <c r="Z132" s="1819"/>
      <c r="AA132" s="696">
        <v>1</v>
      </c>
      <c r="AB132" s="696"/>
      <c r="AC132"/>
      <c r="AD132" s="699"/>
      <c r="AE132" s="699"/>
      <c r="AF132" s="700"/>
      <c r="AG132" s="696">
        <f>IF($T132=0,0,1)*AA132</f>
        <v>1</v>
      </c>
      <c r="AH132" s="696">
        <f t="shared" si="128"/>
        <v>0</v>
      </c>
      <c r="AI132"/>
      <c r="AJ132" s="699"/>
      <c r="AK132" s="699"/>
      <c r="AL132" s="700"/>
      <c r="AM132" s="696">
        <f>AG132/AG130</f>
        <v>0.5</v>
      </c>
      <c r="AN132" s="696"/>
      <c r="AP132" s="699"/>
      <c r="AQ132" s="699"/>
      <c r="AR132" s="700"/>
      <c r="AS132" s="696">
        <f t="shared" si="135"/>
        <v>1.5</v>
      </c>
      <c r="AT132" s="696"/>
      <c r="AV132" s="699"/>
      <c r="AW132" s="699"/>
      <c r="AX132" s="700"/>
      <c r="AY132" s="696">
        <f t="shared" si="136"/>
        <v>0.5</v>
      </c>
      <c r="AZ132" s="696"/>
      <c r="BN132" s="58" t="str">
        <f t="shared" si="56"/>
        <v>3.2.1.2 交通需要マネジメント等の取組み</v>
      </c>
    </row>
    <row r="133" spans="2:66" ht="13.2" customHeight="1">
      <c r="B133" s="1100"/>
      <c r="C133" s="1110" t="str">
        <f>採点LR3!C113</f>
        <v>3.2.2 自動車交通量に関する配慮</v>
      </c>
      <c r="D133" s="1102"/>
      <c r="E133" s="1103"/>
      <c r="F133" s="1103"/>
      <c r="G133" s="1103"/>
      <c r="H133" s="1119"/>
      <c r="I133" s="1104"/>
      <c r="J133" s="1105"/>
      <c r="K133" s="1105"/>
      <c r="L133" s="1105"/>
      <c r="M133" s="1105"/>
      <c r="N133" s="1105"/>
      <c r="O133" s="1106"/>
      <c r="P133" s="1037">
        <f t="shared" si="133"/>
        <v>3</v>
      </c>
      <c r="Q133" s="1024">
        <f t="shared" si="94"/>
        <v>0.5</v>
      </c>
      <c r="R133" s="1038"/>
      <c r="S133" s="1072"/>
      <c r="T133" s="696"/>
      <c r="U133" s="696">
        <f>AS133</f>
        <v>3</v>
      </c>
      <c r="V133" s="696">
        <f t="shared" si="55"/>
        <v>3</v>
      </c>
      <c r="W133" s="712"/>
      <c r="X133" s="1818"/>
      <c r="Y133" s="1818"/>
      <c r="Z133" s="1817">
        <v>1</v>
      </c>
      <c r="AA133" s="696"/>
      <c r="AB133" s="696"/>
      <c r="AC133"/>
      <c r="AD133" s="699"/>
      <c r="AE133" s="699"/>
      <c r="AF133" s="698">
        <f>IF(AG133=0,0,Z133)</f>
        <v>1</v>
      </c>
      <c r="AG133" s="697">
        <f>SUM(AG134:AG135)</f>
        <v>2</v>
      </c>
      <c r="AH133" s="696">
        <f t="shared" si="128"/>
        <v>0</v>
      </c>
      <c r="AI133"/>
      <c r="AJ133" s="699"/>
      <c r="AK133" s="699"/>
      <c r="AL133" s="698">
        <f>AF133/AF129</f>
        <v>0.5</v>
      </c>
      <c r="AM133" s="697"/>
      <c r="AN133" s="696"/>
      <c r="AP133" s="699"/>
      <c r="AQ133" s="699"/>
      <c r="AR133" s="698">
        <f t="shared" ref="AR133" si="137">($T133+AS133)*AL133</f>
        <v>1.5</v>
      </c>
      <c r="AS133" s="697">
        <f>SUM(AS134:AS135)</f>
        <v>3</v>
      </c>
      <c r="AT133" s="696"/>
      <c r="AV133" s="699"/>
      <c r="AW133" s="699"/>
      <c r="AX133" s="698">
        <f>AL133</f>
        <v>0.5</v>
      </c>
      <c r="AY133" s="697">
        <f>SUM(AY134:AY135)</f>
        <v>1</v>
      </c>
      <c r="AZ133" s="696"/>
      <c r="BN133" s="58" t="str">
        <f t="shared" si="56"/>
        <v>3.2.2 自動車交通量に関する配慮</v>
      </c>
    </row>
    <row r="134" spans="2:66" ht="13.2" customHeight="1">
      <c r="B134" s="1100"/>
      <c r="C134" s="1120"/>
      <c r="D134" s="1138" t="str">
        <f>採点LR3!D114</f>
        <v>3.2.2.1 他の交通手段への転換による自動車交通量の総量削減</v>
      </c>
      <c r="E134" s="1111"/>
      <c r="F134" s="1111"/>
      <c r="G134" s="1111"/>
      <c r="H134" s="1119"/>
      <c r="I134" s="1113">
        <f>採点LR3!E121</f>
        <v>0</v>
      </c>
      <c r="J134" s="1105"/>
      <c r="K134" s="1105"/>
      <c r="L134" s="1105"/>
      <c r="M134" s="1105"/>
      <c r="N134" s="1105"/>
      <c r="O134" s="1106"/>
      <c r="P134" s="1037">
        <f t="shared" si="133"/>
        <v>3</v>
      </c>
      <c r="Q134" s="1024">
        <f t="shared" si="94"/>
        <v>0.5</v>
      </c>
      <c r="R134" s="1038"/>
      <c r="S134" s="1072"/>
      <c r="T134" s="696">
        <f>採点LR3!D115</f>
        <v>3</v>
      </c>
      <c r="U134" s="696"/>
      <c r="V134" s="696">
        <f t="shared" si="55"/>
        <v>3</v>
      </c>
      <c r="W134" s="712"/>
      <c r="X134" s="1818"/>
      <c r="Y134" s="1818"/>
      <c r="Z134" s="1818"/>
      <c r="AA134" s="696">
        <v>1</v>
      </c>
      <c r="AB134" s="696"/>
      <c r="AC134"/>
      <c r="AD134" s="699"/>
      <c r="AE134" s="699"/>
      <c r="AF134" s="699"/>
      <c r="AG134" s="696">
        <f t="shared" ref="AF134:AG150" si="138">IF($T134=0,0,1)*AA134</f>
        <v>1</v>
      </c>
      <c r="AH134" s="696">
        <f t="shared" ref="AH134:AH150" si="139">IF($T134=0,0,1)*AB134</f>
        <v>0</v>
      </c>
      <c r="AI134"/>
      <c r="AJ134" s="699"/>
      <c r="AK134" s="699"/>
      <c r="AL134" s="699"/>
      <c r="AM134" s="696">
        <f>AG134/AG133</f>
        <v>0.5</v>
      </c>
      <c r="AN134" s="696"/>
      <c r="AP134" s="699"/>
      <c r="AQ134" s="699"/>
      <c r="AR134" s="699"/>
      <c r="AS134" s="696">
        <f t="shared" ref="AS134:AS135" si="140">($T134+AT134)*AM134</f>
        <v>1.5</v>
      </c>
      <c r="AT134" s="696"/>
      <c r="AV134" s="699"/>
      <c r="AW134" s="699"/>
      <c r="AX134" s="699"/>
      <c r="AY134" s="696">
        <f t="shared" ref="AY134:AY135" si="141">AM134</f>
        <v>0.5</v>
      </c>
      <c r="AZ134" s="696"/>
      <c r="BN134" s="58" t="str">
        <f t="shared" si="56"/>
        <v>3.2.2.1 他の交通手段への転換による自動車交通量の総量削減</v>
      </c>
    </row>
    <row r="135" spans="2:66" ht="13.2" customHeight="1">
      <c r="B135" s="1100"/>
      <c r="C135" s="1120"/>
      <c r="D135" s="1110" t="str">
        <f>採点LR3!D123</f>
        <v>3.2.2.2 周辺道路への負荷を抑制する動線計画</v>
      </c>
      <c r="E135" s="1111"/>
      <c r="F135" s="1111"/>
      <c r="G135" s="1111"/>
      <c r="H135" s="1119"/>
      <c r="I135" s="1113">
        <f>採点LR3!E130</f>
        <v>0</v>
      </c>
      <c r="J135" s="1105"/>
      <c r="K135" s="1105"/>
      <c r="L135" s="1105"/>
      <c r="M135" s="1105"/>
      <c r="N135" s="1105"/>
      <c r="O135" s="1106"/>
      <c r="P135" s="1037">
        <f t="shared" si="133"/>
        <v>3</v>
      </c>
      <c r="Q135" s="1024">
        <f t="shared" ref="Q135:Q150" si="142">SUM(AJ135:AN135)</f>
        <v>0.5</v>
      </c>
      <c r="R135" s="1039"/>
      <c r="S135" s="1072"/>
      <c r="T135" s="696">
        <f>採点LR3!D124</f>
        <v>3</v>
      </c>
      <c r="U135" s="696"/>
      <c r="V135" s="696">
        <f t="shared" si="55"/>
        <v>3</v>
      </c>
      <c r="W135" s="712"/>
      <c r="X135" s="1818"/>
      <c r="Y135" s="1819"/>
      <c r="Z135" s="1819"/>
      <c r="AA135" s="696">
        <v>1</v>
      </c>
      <c r="AB135" s="696"/>
      <c r="AC135"/>
      <c r="AD135" s="699"/>
      <c r="AE135" s="700"/>
      <c r="AF135" s="700"/>
      <c r="AG135" s="696">
        <f t="shared" si="138"/>
        <v>1</v>
      </c>
      <c r="AH135" s="696">
        <f t="shared" si="139"/>
        <v>0</v>
      </c>
      <c r="AI135"/>
      <c r="AJ135" s="699"/>
      <c r="AK135" s="700"/>
      <c r="AL135" s="700"/>
      <c r="AM135" s="696">
        <f>AG135/AG133</f>
        <v>0.5</v>
      </c>
      <c r="AN135" s="696"/>
      <c r="AP135" s="699"/>
      <c r="AQ135" s="700"/>
      <c r="AR135" s="700"/>
      <c r="AS135" s="696">
        <f t="shared" si="140"/>
        <v>1.5</v>
      </c>
      <c r="AT135" s="696"/>
      <c r="AV135" s="699"/>
      <c r="AW135" s="700"/>
      <c r="AX135" s="700"/>
      <c r="AY135" s="696">
        <f t="shared" si="141"/>
        <v>0.5</v>
      </c>
      <c r="AZ135" s="696"/>
      <c r="BN135" s="58" t="str">
        <f t="shared" si="56"/>
        <v>3.2.2.2 周辺道路への負荷を抑制する動線計画</v>
      </c>
    </row>
    <row r="136" spans="2:66" ht="13.2" customHeight="1">
      <c r="B136" s="1117" t="str">
        <f>採点LR3!B132</f>
        <v>3.3 環境阻害の削減</v>
      </c>
      <c r="C136" s="1118"/>
      <c r="D136" s="1103"/>
      <c r="E136" s="1103"/>
      <c r="F136" s="1103"/>
      <c r="G136" s="1103"/>
      <c r="H136" s="1103"/>
      <c r="I136" s="1104"/>
      <c r="J136" s="1105"/>
      <c r="K136" s="1105"/>
      <c r="L136" s="1105"/>
      <c r="M136" s="1105"/>
      <c r="N136" s="1105"/>
      <c r="O136" s="1106"/>
      <c r="P136" s="1037"/>
      <c r="Q136" s="1024">
        <f t="shared" si="142"/>
        <v>0.33333333333333331</v>
      </c>
      <c r="R136" s="1022">
        <f>ROUNDDOWN($V136,1)</f>
        <v>2.9</v>
      </c>
      <c r="S136" s="1072"/>
      <c r="T136" s="696"/>
      <c r="U136" s="696">
        <f>AR136</f>
        <v>2.9444444444444446</v>
      </c>
      <c r="V136" s="696">
        <f t="shared" ref="V136:V150" si="143">T136+U136</f>
        <v>2.9444444444444446</v>
      </c>
      <c r="W136" s="712"/>
      <c r="X136" s="1818"/>
      <c r="Y136" s="1817">
        <v>1</v>
      </c>
      <c r="Z136" s="696"/>
      <c r="AA136" s="696"/>
      <c r="AB136" s="696"/>
      <c r="AC136"/>
      <c r="AD136" s="699"/>
      <c r="AE136" s="698">
        <f>IF(AF136=0,0,Y136)</f>
        <v>1</v>
      </c>
      <c r="AF136" s="697">
        <f>SUM(AF137:AF149)</f>
        <v>6</v>
      </c>
      <c r="AG136" s="696"/>
      <c r="AH136" s="696">
        <f t="shared" si="139"/>
        <v>0</v>
      </c>
      <c r="AI136"/>
      <c r="AJ136" s="699"/>
      <c r="AK136" s="698">
        <f>AE136/AE127</f>
        <v>0.33333333333333331</v>
      </c>
      <c r="AL136" s="697"/>
      <c r="AM136" s="696"/>
      <c r="AN136" s="696"/>
      <c r="AP136" s="699"/>
      <c r="AQ136" s="698">
        <f t="shared" ref="AQ136" si="144">($T136+AR136)*AK136</f>
        <v>0.98148148148148151</v>
      </c>
      <c r="AR136" s="697">
        <f>SUM(AR137:AR149)</f>
        <v>2.9444444444444446</v>
      </c>
      <c r="AS136" s="696"/>
      <c r="AT136" s="696"/>
      <c r="AV136" s="699"/>
      <c r="AW136" s="698">
        <f>AK136</f>
        <v>0.33333333333333331</v>
      </c>
      <c r="AX136" s="697">
        <f>SUM(AX137:AX149)</f>
        <v>0.99999999999999989</v>
      </c>
      <c r="AY136" s="696"/>
      <c r="AZ136" s="696"/>
      <c r="BN136" s="58" t="str">
        <f t="shared" si="56"/>
        <v>3.3 環境阻害の削減</v>
      </c>
    </row>
    <row r="137" spans="2:66" ht="13.2" customHeight="1">
      <c r="B137" s="1100"/>
      <c r="C137" s="1110" t="str">
        <f>採点LR3!C133</f>
        <v>3.3.1 ヒートアイランドの緩和</v>
      </c>
      <c r="D137" s="1102"/>
      <c r="E137" s="1103"/>
      <c r="F137" s="1103"/>
      <c r="G137" s="1103"/>
      <c r="H137" s="1119"/>
      <c r="I137" s="1113">
        <v>0</v>
      </c>
      <c r="J137" s="1105"/>
      <c r="K137" s="1105"/>
      <c r="L137" s="1105"/>
      <c r="M137" s="1105"/>
      <c r="N137" s="1105"/>
      <c r="O137" s="1106"/>
      <c r="P137" s="1037">
        <f t="shared" ref="P137:P150" si="145">ROUNDDOWN($V137,1)</f>
        <v>3</v>
      </c>
      <c r="Q137" s="1024">
        <f t="shared" si="142"/>
        <v>0.16666666666666666</v>
      </c>
      <c r="R137" s="1038"/>
      <c r="S137" s="1072"/>
      <c r="T137" s="696">
        <f>採点LR3!D134</f>
        <v>3</v>
      </c>
      <c r="U137" s="696"/>
      <c r="V137" s="696">
        <f t="shared" si="143"/>
        <v>3</v>
      </c>
      <c r="W137" s="712"/>
      <c r="X137" s="1818"/>
      <c r="Y137" s="1818"/>
      <c r="Z137" s="696">
        <v>1</v>
      </c>
      <c r="AA137" s="696"/>
      <c r="AB137" s="696"/>
      <c r="AC137"/>
      <c r="AD137" s="699"/>
      <c r="AE137" s="699"/>
      <c r="AF137" s="696">
        <f t="shared" ref="AF137" si="146">IF($T137=0,0,1)*Z137</f>
        <v>1</v>
      </c>
      <c r="AG137" s="696">
        <f t="shared" ref="AG137" si="147">IF($T137=0,0,1)*AA137</f>
        <v>0</v>
      </c>
      <c r="AH137" s="696">
        <f t="shared" ref="AH137" si="148">IF($T137=0,0,1)*AB137</f>
        <v>0</v>
      </c>
      <c r="AI137"/>
      <c r="AJ137" s="699"/>
      <c r="AK137" s="699"/>
      <c r="AL137" s="696">
        <f>AF137/AF136</f>
        <v>0.16666666666666666</v>
      </c>
      <c r="AM137" s="696"/>
      <c r="AN137" s="696"/>
      <c r="AP137" s="699"/>
      <c r="AQ137" s="699"/>
      <c r="AR137" s="696">
        <f t="shared" ref="AR137:AR138" si="149">($T137+AS137)*AL137</f>
        <v>0.5</v>
      </c>
      <c r="AS137" s="696"/>
      <c r="AT137" s="696"/>
      <c r="AV137" s="699"/>
      <c r="AW137" s="699"/>
      <c r="AX137" s="696">
        <f t="shared" ref="AX137:AX138" si="150">AL137</f>
        <v>0.16666666666666666</v>
      </c>
      <c r="AY137" s="696"/>
      <c r="AZ137" s="696"/>
      <c r="BN137" s="58" t="str">
        <f t="shared" si="56"/>
        <v>3.3.1 ヒートアイランドの緩和</v>
      </c>
    </row>
    <row r="138" spans="2:66" ht="13.2" customHeight="1">
      <c r="B138" s="1100"/>
      <c r="C138" s="1110" t="str">
        <f>採点LR3!C138</f>
        <v>3.3.2 対象区域外に対する大気汚染の防止</v>
      </c>
      <c r="D138" s="1102"/>
      <c r="E138" s="1103"/>
      <c r="F138" s="1103"/>
      <c r="G138" s="1103"/>
      <c r="H138" s="1119"/>
      <c r="I138" s="1104"/>
      <c r="J138" s="1105"/>
      <c r="K138" s="1105"/>
      <c r="L138" s="1105"/>
      <c r="M138" s="1105"/>
      <c r="N138" s="1105"/>
      <c r="O138" s="1106"/>
      <c r="P138" s="1037">
        <f t="shared" si="145"/>
        <v>3</v>
      </c>
      <c r="Q138" s="1024">
        <f t="shared" si="142"/>
        <v>0.16666666666666666</v>
      </c>
      <c r="R138" s="1038"/>
      <c r="S138" s="1072"/>
      <c r="T138" s="696"/>
      <c r="U138" s="696">
        <f>AS138</f>
        <v>3</v>
      </c>
      <c r="V138" s="696">
        <f t="shared" si="143"/>
        <v>3</v>
      </c>
      <c r="W138" s="712"/>
      <c r="X138" s="1818"/>
      <c r="Y138" s="1818"/>
      <c r="Z138" s="1817">
        <v>1</v>
      </c>
      <c r="AA138" s="696"/>
      <c r="AB138" s="696"/>
      <c r="AC138"/>
      <c r="AD138" s="699"/>
      <c r="AE138" s="699"/>
      <c r="AF138" s="698">
        <f>IF(AG138=0,0,Z138)</f>
        <v>1</v>
      </c>
      <c r="AG138" s="697">
        <f>SUM(AG139:AG141)</f>
        <v>3</v>
      </c>
      <c r="AH138" s="696">
        <f t="shared" si="139"/>
        <v>0</v>
      </c>
      <c r="AI138"/>
      <c r="AJ138" s="699"/>
      <c r="AK138" s="699"/>
      <c r="AL138" s="698">
        <f>AF138/AF136</f>
        <v>0.16666666666666666</v>
      </c>
      <c r="AM138" s="697"/>
      <c r="AN138" s="696"/>
      <c r="AP138" s="699"/>
      <c r="AQ138" s="699"/>
      <c r="AR138" s="698">
        <f t="shared" si="149"/>
        <v>0.5</v>
      </c>
      <c r="AS138" s="697">
        <f>SUM(AS139:AS141)</f>
        <v>3</v>
      </c>
      <c r="AT138" s="696"/>
      <c r="AV138" s="699"/>
      <c r="AW138" s="699"/>
      <c r="AX138" s="698">
        <f t="shared" si="150"/>
        <v>0.16666666666666666</v>
      </c>
      <c r="AY138" s="697">
        <f>SUM(AY139:AY141)</f>
        <v>1</v>
      </c>
      <c r="AZ138" s="696"/>
      <c r="BN138" s="58" t="str">
        <f t="shared" ref="BN138:BN170" si="151">B138&amp;C138&amp;D138&amp;E138</f>
        <v>3.3.2 対象区域外に対する大気汚染の防止</v>
      </c>
    </row>
    <row r="139" spans="2:66" ht="13.2" customHeight="1">
      <c r="B139" s="1100"/>
      <c r="C139" s="1120"/>
      <c r="D139" s="1110" t="str">
        <f>採点LR3!D139</f>
        <v>3.3.2.1 発生源における対策</v>
      </c>
      <c r="E139" s="1111"/>
      <c r="F139" s="1111"/>
      <c r="G139" s="1111"/>
      <c r="H139" s="1119"/>
      <c r="I139" s="1113">
        <f>採点LR3!E146</f>
        <v>0</v>
      </c>
      <c r="J139" s="1105"/>
      <c r="K139" s="1105"/>
      <c r="L139" s="1105"/>
      <c r="M139" s="1105"/>
      <c r="N139" s="1105"/>
      <c r="O139" s="1106"/>
      <c r="P139" s="1037">
        <f t="shared" si="145"/>
        <v>3</v>
      </c>
      <c r="Q139" s="1024">
        <f t="shared" si="142"/>
        <v>0.33333333333333331</v>
      </c>
      <c r="R139" s="1038"/>
      <c r="S139" s="1072"/>
      <c r="T139" s="696">
        <f>採点LR3!D140</f>
        <v>3</v>
      </c>
      <c r="U139" s="696"/>
      <c r="V139" s="696">
        <f t="shared" si="143"/>
        <v>3</v>
      </c>
      <c r="W139" s="712"/>
      <c r="X139" s="1818"/>
      <c r="Y139" s="1818"/>
      <c r="Z139" s="1818"/>
      <c r="AA139" s="696">
        <v>1</v>
      </c>
      <c r="AB139" s="696"/>
      <c r="AC139"/>
      <c r="AD139" s="699"/>
      <c r="AE139" s="699"/>
      <c r="AF139" s="699"/>
      <c r="AG139" s="696">
        <f t="shared" si="138"/>
        <v>1</v>
      </c>
      <c r="AH139" s="696">
        <f t="shared" si="139"/>
        <v>0</v>
      </c>
      <c r="AI139"/>
      <c r="AJ139" s="699"/>
      <c r="AK139" s="699"/>
      <c r="AL139" s="699"/>
      <c r="AM139" s="696">
        <f>AG139/AG138</f>
        <v>0.33333333333333331</v>
      </c>
      <c r="AN139" s="696"/>
      <c r="AP139" s="699"/>
      <c r="AQ139" s="699"/>
      <c r="AR139" s="699"/>
      <c r="AS139" s="696">
        <f t="shared" ref="AS139:AS141" si="152">($T139+AT139)*AM139</f>
        <v>1</v>
      </c>
      <c r="AT139" s="696"/>
      <c r="AV139" s="699"/>
      <c r="AW139" s="699"/>
      <c r="AX139" s="699"/>
      <c r="AY139" s="696">
        <f t="shared" ref="AY139:AY141" si="153">AM139</f>
        <v>0.33333333333333331</v>
      </c>
      <c r="AZ139" s="696"/>
      <c r="BN139" s="58" t="str">
        <f t="shared" si="151"/>
        <v>3.3.2.1 発生源における対策</v>
      </c>
    </row>
    <row r="140" spans="2:66" ht="13.2" customHeight="1">
      <c r="B140" s="1100"/>
      <c r="C140" s="1120"/>
      <c r="D140" s="1110" t="str">
        <f>採点LR3!D148</f>
        <v>3.3.2.2 交通手段における対策</v>
      </c>
      <c r="E140" s="1111"/>
      <c r="F140" s="1111"/>
      <c r="G140" s="1111"/>
      <c r="H140" s="1119"/>
      <c r="I140" s="1113">
        <f>採点LR3!E155</f>
        <v>0</v>
      </c>
      <c r="J140" s="1105"/>
      <c r="K140" s="1105"/>
      <c r="L140" s="1105"/>
      <c r="M140" s="1105"/>
      <c r="N140" s="1105"/>
      <c r="O140" s="1106"/>
      <c r="P140" s="1037">
        <f t="shared" si="145"/>
        <v>3</v>
      </c>
      <c r="Q140" s="1024">
        <f t="shared" si="142"/>
        <v>0.33333333333333331</v>
      </c>
      <c r="R140" s="1038"/>
      <c r="S140" s="1072"/>
      <c r="T140" s="696">
        <f>採点LR3!D149</f>
        <v>3</v>
      </c>
      <c r="U140" s="696"/>
      <c r="V140" s="696">
        <f t="shared" si="143"/>
        <v>3</v>
      </c>
      <c r="W140" s="712"/>
      <c r="X140" s="1818"/>
      <c r="Y140" s="1818"/>
      <c r="Z140" s="1818"/>
      <c r="AA140" s="696">
        <v>1</v>
      </c>
      <c r="AB140" s="696"/>
      <c r="AC140"/>
      <c r="AD140" s="699"/>
      <c r="AE140" s="699"/>
      <c r="AF140" s="699"/>
      <c r="AG140" s="696">
        <f t="shared" si="138"/>
        <v>1</v>
      </c>
      <c r="AH140" s="696">
        <f t="shared" si="139"/>
        <v>0</v>
      </c>
      <c r="AI140"/>
      <c r="AJ140" s="699"/>
      <c r="AK140" s="699"/>
      <c r="AL140" s="699"/>
      <c r="AM140" s="696">
        <f>AG140/AG138</f>
        <v>0.33333333333333331</v>
      </c>
      <c r="AN140" s="696"/>
      <c r="AP140" s="699"/>
      <c r="AQ140" s="699"/>
      <c r="AR140" s="699"/>
      <c r="AS140" s="696">
        <f t="shared" si="152"/>
        <v>1</v>
      </c>
      <c r="AT140" s="696"/>
      <c r="AV140" s="699"/>
      <c r="AW140" s="699"/>
      <c r="AX140" s="699"/>
      <c r="AY140" s="696">
        <f t="shared" si="153"/>
        <v>0.33333333333333331</v>
      </c>
      <c r="AZ140" s="696"/>
      <c r="BN140" s="58" t="str">
        <f t="shared" si="151"/>
        <v>3.3.2.2 交通手段における対策</v>
      </c>
    </row>
    <row r="141" spans="2:66" ht="13.2" customHeight="1">
      <c r="B141" s="1100"/>
      <c r="C141" s="1120"/>
      <c r="D141" s="1110" t="str">
        <f>採点LR3!D157</f>
        <v>3.3.2.3 大気浄化に対する取組み</v>
      </c>
      <c r="E141" s="1112"/>
      <c r="F141" s="1112"/>
      <c r="G141" s="1112"/>
      <c r="H141" s="1119"/>
      <c r="I141" s="1113" t="str">
        <f>採点LR3!D165</f>
        <v>評価する取組</v>
      </c>
      <c r="J141" s="1105"/>
      <c r="K141" s="1122">
        <f>採点LR3!E164</f>
        <v>0</v>
      </c>
      <c r="L141" s="1105"/>
      <c r="M141" s="1105"/>
      <c r="N141" s="1105"/>
      <c r="O141" s="1106"/>
      <c r="P141" s="1037">
        <f t="shared" si="145"/>
        <v>3</v>
      </c>
      <c r="Q141" s="1024">
        <f t="shared" si="142"/>
        <v>0.33333333333333331</v>
      </c>
      <c r="R141" s="1038"/>
      <c r="S141" s="1072"/>
      <c r="T141" s="696">
        <f>採点LR3!D158</f>
        <v>3</v>
      </c>
      <c r="U141" s="696"/>
      <c r="V141" s="696">
        <f t="shared" si="143"/>
        <v>3</v>
      </c>
      <c r="W141" s="712"/>
      <c r="X141" s="1818"/>
      <c r="Y141" s="1818"/>
      <c r="Z141" s="1819"/>
      <c r="AA141" s="696">
        <v>1</v>
      </c>
      <c r="AB141" s="696"/>
      <c r="AC141"/>
      <c r="AD141" s="699"/>
      <c r="AE141" s="699"/>
      <c r="AF141" s="700"/>
      <c r="AG141" s="696">
        <f t="shared" si="138"/>
        <v>1</v>
      </c>
      <c r="AH141" s="696">
        <f t="shared" si="139"/>
        <v>0</v>
      </c>
      <c r="AI141"/>
      <c r="AJ141" s="699"/>
      <c r="AK141" s="699"/>
      <c r="AL141" s="700"/>
      <c r="AM141" s="696">
        <f>AG141/AG138</f>
        <v>0.33333333333333331</v>
      </c>
      <c r="AN141" s="696"/>
      <c r="AP141" s="699"/>
      <c r="AQ141" s="699"/>
      <c r="AR141" s="700"/>
      <c r="AS141" s="696">
        <f t="shared" si="152"/>
        <v>1</v>
      </c>
      <c r="AT141" s="696"/>
      <c r="AV141" s="699"/>
      <c r="AW141" s="699"/>
      <c r="AX141" s="700"/>
      <c r="AY141" s="696">
        <f t="shared" si="153"/>
        <v>0.33333333333333331</v>
      </c>
      <c r="AZ141" s="696"/>
      <c r="BN141" s="58" t="str">
        <f t="shared" si="151"/>
        <v>3.3.2.3 大気浄化に対する取組み</v>
      </c>
    </row>
    <row r="142" spans="2:66" ht="13.2" customHeight="1">
      <c r="B142" s="1100"/>
      <c r="C142" s="1110" t="str">
        <f>採点LR3!C170</f>
        <v>3.3.3 対象区域外に対する騒音・振動・悪臭の防止</v>
      </c>
      <c r="D142" s="1102"/>
      <c r="E142" s="1103"/>
      <c r="F142" s="1103"/>
      <c r="G142" s="1103"/>
      <c r="H142" s="1119"/>
      <c r="I142" s="1104"/>
      <c r="J142" s="1105"/>
      <c r="K142" s="1105"/>
      <c r="L142" s="1105"/>
      <c r="M142" s="1105"/>
      <c r="N142" s="1105"/>
      <c r="O142" s="1106"/>
      <c r="P142" s="1037">
        <f t="shared" si="145"/>
        <v>2.6</v>
      </c>
      <c r="Q142" s="1024">
        <f t="shared" si="142"/>
        <v>0.16666666666666666</v>
      </c>
      <c r="R142" s="1038"/>
      <c r="S142" s="1072"/>
      <c r="T142" s="696"/>
      <c r="U142" s="696">
        <f>AS142</f>
        <v>2.6666666666666665</v>
      </c>
      <c r="V142" s="696">
        <f t="shared" si="143"/>
        <v>2.6666666666666665</v>
      </c>
      <c r="W142" s="712"/>
      <c r="X142" s="1818"/>
      <c r="Y142" s="1818"/>
      <c r="Z142" s="1817">
        <v>1</v>
      </c>
      <c r="AA142" s="696"/>
      <c r="AB142" s="696"/>
      <c r="AC142"/>
      <c r="AD142" s="699"/>
      <c r="AE142" s="699"/>
      <c r="AF142" s="698">
        <f>IF(AG142=0,0,Z142)</f>
        <v>1</v>
      </c>
      <c r="AG142" s="697">
        <f>SUM(AG143:AG145)</f>
        <v>3</v>
      </c>
      <c r="AH142" s="696">
        <f t="shared" si="139"/>
        <v>0</v>
      </c>
      <c r="AI142"/>
      <c r="AJ142" s="699"/>
      <c r="AK142" s="699"/>
      <c r="AL142" s="698">
        <f>AF142/AF136</f>
        <v>0.16666666666666666</v>
      </c>
      <c r="AM142" s="697"/>
      <c r="AN142" s="696"/>
      <c r="AP142" s="699"/>
      <c r="AQ142" s="699"/>
      <c r="AR142" s="698">
        <f t="shared" ref="AR142" si="154">($T142+AS142)*AL142</f>
        <v>0.44444444444444442</v>
      </c>
      <c r="AS142" s="697">
        <f>SUM(AS143:AS145)</f>
        <v>2.6666666666666665</v>
      </c>
      <c r="AT142" s="696"/>
      <c r="AV142" s="699"/>
      <c r="AW142" s="699"/>
      <c r="AX142" s="698">
        <f>AL142</f>
        <v>0.16666666666666666</v>
      </c>
      <c r="AY142" s="697">
        <f>SUM(AY143:AY145)</f>
        <v>1</v>
      </c>
      <c r="AZ142" s="696"/>
      <c r="BN142" s="58" t="str">
        <f t="shared" si="151"/>
        <v>3.3.3 対象区域外に対する騒音・振動・悪臭の防止</v>
      </c>
    </row>
    <row r="143" spans="2:66" ht="13.2" customHeight="1">
      <c r="B143" s="1100"/>
      <c r="C143" s="1120"/>
      <c r="D143" s="1110" t="str">
        <f>採点LR3!D171</f>
        <v>3.3.3.1 騒音が対象区域外に及ぼす影響の軽減</v>
      </c>
      <c r="E143" s="1111"/>
      <c r="F143" s="1111"/>
      <c r="G143" s="1111"/>
      <c r="H143" s="1119"/>
      <c r="I143" s="1113">
        <f>採点LR3!E178</f>
        <v>0</v>
      </c>
      <c r="J143" s="1105"/>
      <c r="K143" s="1105"/>
      <c r="L143" s="1105"/>
      <c r="M143" s="1105"/>
      <c r="N143" s="1105"/>
      <c r="O143" s="1106"/>
      <c r="P143" s="1037">
        <f t="shared" si="145"/>
        <v>3</v>
      </c>
      <c r="Q143" s="1024">
        <f t="shared" si="142"/>
        <v>0.33333333333333331</v>
      </c>
      <c r="R143" s="1038"/>
      <c r="S143" s="1072"/>
      <c r="T143" s="696">
        <f>採点LR3!D172</f>
        <v>3</v>
      </c>
      <c r="U143" s="696"/>
      <c r="V143" s="696">
        <f t="shared" si="143"/>
        <v>3</v>
      </c>
      <c r="W143" s="712"/>
      <c r="X143" s="1818"/>
      <c r="Y143" s="1818"/>
      <c r="Z143" s="1818"/>
      <c r="AA143" s="696">
        <v>1</v>
      </c>
      <c r="AB143" s="696"/>
      <c r="AC143"/>
      <c r="AD143" s="699"/>
      <c r="AE143" s="699"/>
      <c r="AF143" s="699"/>
      <c r="AG143" s="696">
        <f t="shared" si="138"/>
        <v>1</v>
      </c>
      <c r="AH143" s="696">
        <f t="shared" si="139"/>
        <v>0</v>
      </c>
      <c r="AI143"/>
      <c r="AJ143" s="699"/>
      <c r="AK143" s="699"/>
      <c r="AL143" s="699"/>
      <c r="AM143" s="696">
        <f>AG143/AG142</f>
        <v>0.33333333333333331</v>
      </c>
      <c r="AN143" s="696"/>
      <c r="AP143" s="699"/>
      <c r="AQ143" s="699"/>
      <c r="AR143" s="699"/>
      <c r="AS143" s="696">
        <f t="shared" ref="AS143:AS145" si="155">($T143+AT143)*AM143</f>
        <v>1</v>
      </c>
      <c r="AT143" s="696"/>
      <c r="AV143" s="699"/>
      <c r="AW143" s="699"/>
      <c r="AX143" s="699"/>
      <c r="AY143" s="696">
        <f t="shared" ref="AY143:AY145" si="156">AM143</f>
        <v>0.33333333333333331</v>
      </c>
      <c r="AZ143" s="696"/>
      <c r="BN143" s="58" t="str">
        <f t="shared" si="151"/>
        <v>3.3.3.1 騒音が対象区域外に及ぼす影響の軽減</v>
      </c>
    </row>
    <row r="144" spans="2:66" ht="13.2" customHeight="1">
      <c r="B144" s="1100"/>
      <c r="C144" s="1120"/>
      <c r="D144" s="1110" t="str">
        <f>採点LR3!D180</f>
        <v>3.3.3.2 振動が対象区域外に及ぼす影響の軽減</v>
      </c>
      <c r="E144" s="1111"/>
      <c r="F144" s="1111"/>
      <c r="G144" s="1111"/>
      <c r="H144" s="1119"/>
      <c r="I144" s="1113">
        <f>採点LR3!E187</f>
        <v>0</v>
      </c>
      <c r="J144" s="1105"/>
      <c r="K144" s="1105"/>
      <c r="L144" s="1105"/>
      <c r="M144" s="1105"/>
      <c r="N144" s="1105"/>
      <c r="O144" s="1106"/>
      <c r="P144" s="1037">
        <f t="shared" si="145"/>
        <v>3</v>
      </c>
      <c r="Q144" s="1024">
        <f t="shared" si="142"/>
        <v>0.33333333333333331</v>
      </c>
      <c r="R144" s="1038"/>
      <c r="S144" s="1072"/>
      <c r="T144" s="696">
        <f>採点LR3!D181</f>
        <v>3</v>
      </c>
      <c r="U144" s="696"/>
      <c r="V144" s="696">
        <f t="shared" si="143"/>
        <v>3</v>
      </c>
      <c r="W144" s="712"/>
      <c r="X144" s="1818"/>
      <c r="Y144" s="1818"/>
      <c r="Z144" s="1818"/>
      <c r="AA144" s="696">
        <v>1</v>
      </c>
      <c r="AB144" s="696"/>
      <c r="AC144"/>
      <c r="AD144" s="699"/>
      <c r="AE144" s="699"/>
      <c r="AF144" s="699"/>
      <c r="AG144" s="696">
        <f t="shared" si="138"/>
        <v>1</v>
      </c>
      <c r="AH144" s="696">
        <f t="shared" si="139"/>
        <v>0</v>
      </c>
      <c r="AI144"/>
      <c r="AJ144" s="699"/>
      <c r="AK144" s="699"/>
      <c r="AL144" s="699"/>
      <c r="AM144" s="696">
        <f>AG144/AG142</f>
        <v>0.33333333333333331</v>
      </c>
      <c r="AN144" s="696"/>
      <c r="AP144" s="699"/>
      <c r="AQ144" s="699"/>
      <c r="AR144" s="699"/>
      <c r="AS144" s="696">
        <f t="shared" si="155"/>
        <v>1</v>
      </c>
      <c r="AT144" s="696"/>
      <c r="AV144" s="699"/>
      <c r="AW144" s="699"/>
      <c r="AX144" s="699"/>
      <c r="AY144" s="696">
        <f t="shared" si="156"/>
        <v>0.33333333333333331</v>
      </c>
      <c r="AZ144" s="696"/>
      <c r="BN144" s="58" t="str">
        <f t="shared" si="151"/>
        <v>3.3.3.2 振動が対象区域外に及ぼす影響の軽減</v>
      </c>
    </row>
    <row r="145" spans="1:66" ht="13.2" customHeight="1">
      <c r="B145" s="1100"/>
      <c r="C145" s="1120"/>
      <c r="D145" s="1110" t="str">
        <f>採点LR3!D189</f>
        <v>3.3.3.3 悪臭が対象区域外に及ぼす影響の軽減</v>
      </c>
      <c r="E145" s="1112"/>
      <c r="F145" s="1112"/>
      <c r="G145" s="1112"/>
      <c r="H145" s="1119"/>
      <c r="I145" s="1113" t="str">
        <f>採点LR3!D197</f>
        <v>評価する取組</v>
      </c>
      <c r="J145" s="1105"/>
      <c r="K145" s="1122">
        <f>採点LR3!E196</f>
        <v>0</v>
      </c>
      <c r="L145" s="1105"/>
      <c r="M145" s="1105"/>
      <c r="N145" s="1105"/>
      <c r="O145" s="1106"/>
      <c r="P145" s="1037">
        <f t="shared" si="145"/>
        <v>2</v>
      </c>
      <c r="Q145" s="1024">
        <f t="shared" si="142"/>
        <v>0.33333333333333331</v>
      </c>
      <c r="R145" s="1038"/>
      <c r="S145" s="1072"/>
      <c r="T145" s="696">
        <f>採点LR3!D190</f>
        <v>2</v>
      </c>
      <c r="U145" s="696"/>
      <c r="V145" s="696">
        <f t="shared" si="143"/>
        <v>2</v>
      </c>
      <c r="W145" s="712"/>
      <c r="X145" s="1818"/>
      <c r="Y145" s="1818"/>
      <c r="Z145" s="1819"/>
      <c r="AA145" s="696">
        <v>1</v>
      </c>
      <c r="AB145" s="696"/>
      <c r="AC145"/>
      <c r="AD145" s="699"/>
      <c r="AE145" s="699"/>
      <c r="AF145" s="700"/>
      <c r="AG145" s="696">
        <f t="shared" si="138"/>
        <v>1</v>
      </c>
      <c r="AH145" s="696">
        <f t="shared" si="139"/>
        <v>0</v>
      </c>
      <c r="AI145"/>
      <c r="AJ145" s="699"/>
      <c r="AK145" s="699"/>
      <c r="AL145" s="700"/>
      <c r="AM145" s="696">
        <f>AG145/AG142</f>
        <v>0.33333333333333331</v>
      </c>
      <c r="AN145" s="696"/>
      <c r="AP145" s="699"/>
      <c r="AQ145" s="699"/>
      <c r="AR145" s="700"/>
      <c r="AS145" s="696">
        <f t="shared" si="155"/>
        <v>0.66666666666666663</v>
      </c>
      <c r="AT145" s="696"/>
      <c r="AV145" s="699"/>
      <c r="AW145" s="699"/>
      <c r="AX145" s="700"/>
      <c r="AY145" s="696">
        <f t="shared" si="156"/>
        <v>0.33333333333333331</v>
      </c>
      <c r="AZ145" s="696"/>
      <c r="BN145" s="58" t="str">
        <f t="shared" si="151"/>
        <v>3.3.3.3 悪臭が対象区域外に及ぼす影響の軽減</v>
      </c>
    </row>
    <row r="146" spans="1:66" ht="13.2" customHeight="1">
      <c r="B146" s="1100"/>
      <c r="C146" s="1110" t="str">
        <f>採点LR3!C202</f>
        <v>3.3.4 対象区域外に対する風害の抑制</v>
      </c>
      <c r="D146" s="1102"/>
      <c r="E146" s="1103"/>
      <c r="F146" s="1103"/>
      <c r="G146" s="1103"/>
      <c r="H146" s="1119"/>
      <c r="I146" s="1113">
        <f>採点LR3!E209</f>
        <v>0</v>
      </c>
      <c r="J146" s="1105"/>
      <c r="K146" s="1105"/>
      <c r="L146" s="1105"/>
      <c r="M146" s="1105"/>
      <c r="N146" s="1105"/>
      <c r="O146" s="1106"/>
      <c r="P146" s="1037">
        <f t="shared" si="145"/>
        <v>3</v>
      </c>
      <c r="Q146" s="1024">
        <f t="shared" si="142"/>
        <v>0.16666666666666666</v>
      </c>
      <c r="R146" s="1038"/>
      <c r="S146" s="1072"/>
      <c r="T146" s="696">
        <f>採点LR3!D203</f>
        <v>3</v>
      </c>
      <c r="U146" s="696"/>
      <c r="V146" s="696">
        <f t="shared" si="143"/>
        <v>3</v>
      </c>
      <c r="W146" s="712"/>
      <c r="X146" s="1818"/>
      <c r="Y146" s="1818"/>
      <c r="Z146" s="696">
        <v>1</v>
      </c>
      <c r="AA146" s="696"/>
      <c r="AB146" s="696"/>
      <c r="AC146"/>
      <c r="AD146" s="699"/>
      <c r="AE146" s="699"/>
      <c r="AF146" s="696">
        <f t="shared" si="138"/>
        <v>1</v>
      </c>
      <c r="AG146" s="696">
        <f t="shared" si="138"/>
        <v>0</v>
      </c>
      <c r="AH146" s="696">
        <f t="shared" si="139"/>
        <v>0</v>
      </c>
      <c r="AI146"/>
      <c r="AJ146" s="699"/>
      <c r="AK146" s="699"/>
      <c r="AL146" s="698">
        <f>AF146/AF136</f>
        <v>0.16666666666666666</v>
      </c>
      <c r="AM146" s="696"/>
      <c r="AN146" s="696"/>
      <c r="AP146" s="699"/>
      <c r="AQ146" s="699"/>
      <c r="AR146" s="698">
        <f t="shared" ref="AR146:AR148" si="157">($T146+AS146)*AL146</f>
        <v>0.5</v>
      </c>
      <c r="AS146" s="696"/>
      <c r="AT146" s="696"/>
      <c r="AV146" s="699"/>
      <c r="AW146" s="699"/>
      <c r="AX146" s="698">
        <f t="shared" ref="AX146:AX147" si="158">AL146</f>
        <v>0.16666666666666666</v>
      </c>
      <c r="AY146" s="696"/>
      <c r="AZ146" s="696"/>
      <c r="BN146" s="58" t="str">
        <f t="shared" si="151"/>
        <v>3.3.4 対象区域外に対する風害の抑制</v>
      </c>
    </row>
    <row r="147" spans="1:66" ht="13.2" customHeight="1">
      <c r="B147" s="1100"/>
      <c r="C147" s="1110" t="str">
        <f>採点LR3!C211</f>
        <v>3.3.5 対象区域外に対する日照阻害の抑制</v>
      </c>
      <c r="D147" s="1102"/>
      <c r="E147" s="1103"/>
      <c r="F147" s="1103"/>
      <c r="G147" s="1103"/>
      <c r="H147" s="1119"/>
      <c r="I147" s="1113">
        <f>採点LR3!E218</f>
        <v>0</v>
      </c>
      <c r="J147" s="1105"/>
      <c r="K147" s="1105"/>
      <c r="L147" s="1105"/>
      <c r="M147" s="1105"/>
      <c r="N147" s="1105"/>
      <c r="O147" s="1106"/>
      <c r="P147" s="1037">
        <f t="shared" si="145"/>
        <v>3</v>
      </c>
      <c r="Q147" s="1024">
        <f t="shared" si="142"/>
        <v>0.16666666666666666</v>
      </c>
      <c r="R147" s="1038"/>
      <c r="S147" s="1072"/>
      <c r="T147" s="696">
        <f>採点LR3!D212</f>
        <v>3</v>
      </c>
      <c r="U147" s="696"/>
      <c r="V147" s="696">
        <f t="shared" si="143"/>
        <v>3</v>
      </c>
      <c r="W147" s="712"/>
      <c r="X147" s="1818"/>
      <c r="Y147" s="1818"/>
      <c r="Z147" s="696">
        <v>1</v>
      </c>
      <c r="AA147" s="696"/>
      <c r="AB147" s="696"/>
      <c r="AC147"/>
      <c r="AD147" s="699"/>
      <c r="AE147" s="699"/>
      <c r="AF147" s="696">
        <f t="shared" si="138"/>
        <v>1</v>
      </c>
      <c r="AG147" s="696">
        <f t="shared" si="138"/>
        <v>0</v>
      </c>
      <c r="AH147" s="696">
        <f>IF($T147=0,0,1)*AB147</f>
        <v>0</v>
      </c>
      <c r="AI147"/>
      <c r="AJ147" s="699"/>
      <c r="AK147" s="699"/>
      <c r="AL147" s="698">
        <f>AF147/AF136</f>
        <v>0.16666666666666666</v>
      </c>
      <c r="AM147" s="696"/>
      <c r="AN147" s="696"/>
      <c r="AP147" s="699"/>
      <c r="AQ147" s="699"/>
      <c r="AR147" s="698">
        <f t="shared" si="157"/>
        <v>0.5</v>
      </c>
      <c r="AS147" s="696"/>
      <c r="AT147" s="696"/>
      <c r="AV147" s="699"/>
      <c r="AW147" s="699"/>
      <c r="AX147" s="698">
        <f t="shared" si="158"/>
        <v>0.16666666666666666</v>
      </c>
      <c r="AY147" s="696"/>
      <c r="AZ147" s="696"/>
      <c r="BN147" s="58" t="str">
        <f t="shared" si="151"/>
        <v>3.3.5 対象区域外に対する日照阻害の抑制</v>
      </c>
    </row>
    <row r="148" spans="1:66" ht="13.2" customHeight="1">
      <c r="B148" s="1100"/>
      <c r="C148" s="1110" t="str">
        <f>採点LR3!C220</f>
        <v>3.3.6 対象区域外に対する光害の抑制</v>
      </c>
      <c r="D148" s="1102"/>
      <c r="E148" s="1103"/>
      <c r="F148" s="1103"/>
      <c r="G148" s="1103"/>
      <c r="H148" s="1119"/>
      <c r="I148" s="1104"/>
      <c r="J148" s="1105"/>
      <c r="K148" s="1105"/>
      <c r="L148" s="1105"/>
      <c r="M148" s="1105"/>
      <c r="N148" s="1105"/>
      <c r="O148" s="1106"/>
      <c r="P148" s="1037">
        <f t="shared" si="145"/>
        <v>3</v>
      </c>
      <c r="Q148" s="1024">
        <f t="shared" si="142"/>
        <v>0.16666666666666666</v>
      </c>
      <c r="R148" s="1038"/>
      <c r="S148" s="1072"/>
      <c r="T148" s="696"/>
      <c r="U148" s="696">
        <f>AS148</f>
        <v>3</v>
      </c>
      <c r="V148" s="696">
        <f t="shared" si="143"/>
        <v>3</v>
      </c>
      <c r="W148" s="712"/>
      <c r="X148" s="1818"/>
      <c r="Y148" s="1818"/>
      <c r="Z148" s="1817">
        <v>1</v>
      </c>
      <c r="AA148" s="696"/>
      <c r="AB148" s="696"/>
      <c r="AC148"/>
      <c r="AD148" s="699"/>
      <c r="AE148" s="699"/>
      <c r="AF148" s="698">
        <f>IF(AG148=0,0,Z148)</f>
        <v>1</v>
      </c>
      <c r="AG148" s="697">
        <f>SUM(AG149:AG150)</f>
        <v>2</v>
      </c>
      <c r="AH148" s="696">
        <f t="shared" si="139"/>
        <v>0</v>
      </c>
      <c r="AI148"/>
      <c r="AJ148" s="699"/>
      <c r="AK148" s="699"/>
      <c r="AL148" s="698">
        <f>AF148/AF136</f>
        <v>0.16666666666666666</v>
      </c>
      <c r="AM148" s="697"/>
      <c r="AN148" s="696"/>
      <c r="AP148" s="699"/>
      <c r="AQ148" s="699"/>
      <c r="AR148" s="698">
        <f t="shared" si="157"/>
        <v>0.5</v>
      </c>
      <c r="AS148" s="697">
        <f>SUM(AS149:AS150)</f>
        <v>3</v>
      </c>
      <c r="AT148" s="696"/>
      <c r="AV148" s="699"/>
      <c r="AW148" s="699"/>
      <c r="AX148" s="698">
        <f>AL148</f>
        <v>0.16666666666666666</v>
      </c>
      <c r="AY148" s="697">
        <f>SUM(AY149:AY150)</f>
        <v>1</v>
      </c>
      <c r="AZ148" s="696"/>
      <c r="BN148" s="58" t="str">
        <f t="shared" si="151"/>
        <v>3.3.6 対象区域外に対する光害の抑制</v>
      </c>
    </row>
    <row r="149" spans="1:66" ht="13.2" customHeight="1">
      <c r="B149" s="1100"/>
      <c r="C149" s="1120"/>
      <c r="D149" s="1110" t="str">
        <f>採点LR3!D221</f>
        <v>3.3.6.1 照明・広告物等の光害の抑制</v>
      </c>
      <c r="E149" s="1111"/>
      <c r="F149" s="1111"/>
      <c r="G149" s="1111"/>
      <c r="H149" s="1119"/>
      <c r="I149" s="1113" t="str">
        <f>採点LR3!D229</f>
        <v>評価する取組</v>
      </c>
      <c r="J149" s="1105"/>
      <c r="K149" s="1122">
        <f>採点LR3!E228</f>
        <v>0</v>
      </c>
      <c r="L149" s="1105"/>
      <c r="M149" s="1105"/>
      <c r="N149" s="1105"/>
      <c r="O149" s="1106"/>
      <c r="P149" s="1037">
        <f t="shared" si="145"/>
        <v>3</v>
      </c>
      <c r="Q149" s="1024">
        <f t="shared" si="142"/>
        <v>0.5</v>
      </c>
      <c r="R149" s="1038"/>
      <c r="S149" s="1072"/>
      <c r="T149" s="696">
        <f>採点LR3!D222</f>
        <v>3</v>
      </c>
      <c r="U149" s="696"/>
      <c r="V149" s="696">
        <f t="shared" si="143"/>
        <v>3</v>
      </c>
      <c r="W149" s="712"/>
      <c r="X149" s="1818"/>
      <c r="Y149" s="1818"/>
      <c r="Z149" s="1818"/>
      <c r="AA149" s="696">
        <v>1</v>
      </c>
      <c r="AB149" s="696"/>
      <c r="AC149"/>
      <c r="AD149" s="699"/>
      <c r="AE149" s="699"/>
      <c r="AF149" s="699"/>
      <c r="AG149" s="696">
        <f t="shared" si="138"/>
        <v>1</v>
      </c>
      <c r="AH149" s="696">
        <f t="shared" si="139"/>
        <v>0</v>
      </c>
      <c r="AI149"/>
      <c r="AJ149" s="699"/>
      <c r="AK149" s="699"/>
      <c r="AL149" s="699"/>
      <c r="AM149" s="696">
        <f>AG149/AG148</f>
        <v>0.5</v>
      </c>
      <c r="AN149" s="696"/>
      <c r="AP149" s="699"/>
      <c r="AQ149" s="699"/>
      <c r="AR149" s="699"/>
      <c r="AS149" s="696">
        <f t="shared" ref="AS149:AS150" si="159">($T149+AT149)*AM149</f>
        <v>1.5</v>
      </c>
      <c r="AT149" s="696"/>
      <c r="AV149" s="699"/>
      <c r="AW149" s="699"/>
      <c r="AX149" s="699"/>
      <c r="AY149" s="696">
        <f t="shared" ref="AY149:AY150" si="160">AM149</f>
        <v>0.5</v>
      </c>
      <c r="AZ149" s="696"/>
      <c r="BN149" s="58" t="str">
        <f t="shared" si="151"/>
        <v>3.3.6.1 照明・広告物等の光害の抑制</v>
      </c>
    </row>
    <row r="150" spans="1:66" ht="13.2" customHeight="1" thickBot="1">
      <c r="B150" s="1139"/>
      <c r="C150" s="1140"/>
      <c r="D150" s="1141" t="str">
        <f>採点LR3!D244</f>
        <v>3.3.6.2 建物外壁や屋外構造物による昼光反射の抑制</v>
      </c>
      <c r="E150" s="1142"/>
      <c r="F150" s="1142"/>
      <c r="G150" s="1142"/>
      <c r="H150" s="1143"/>
      <c r="I150" s="1144">
        <f>採点LR3!E251</f>
        <v>0</v>
      </c>
      <c r="J150" s="1145"/>
      <c r="K150" s="1145"/>
      <c r="L150" s="1145"/>
      <c r="M150" s="1145"/>
      <c r="N150" s="1145"/>
      <c r="O150" s="1146"/>
      <c r="P150" s="1045">
        <f t="shared" si="145"/>
        <v>3</v>
      </c>
      <c r="Q150" s="1046">
        <f t="shared" si="142"/>
        <v>0.5</v>
      </c>
      <c r="R150" s="1047"/>
      <c r="S150" s="1072"/>
      <c r="T150" s="696">
        <f>採点LR3!D245</f>
        <v>3</v>
      </c>
      <c r="U150" s="696"/>
      <c r="V150" s="696">
        <f t="shared" si="143"/>
        <v>3</v>
      </c>
      <c r="W150" s="712"/>
      <c r="X150" s="1819"/>
      <c r="Y150" s="1819"/>
      <c r="Z150" s="1819"/>
      <c r="AA150" s="696">
        <v>1</v>
      </c>
      <c r="AB150" s="696"/>
      <c r="AC150"/>
      <c r="AD150" s="700"/>
      <c r="AE150" s="700"/>
      <c r="AF150" s="700"/>
      <c r="AG150" s="696">
        <f t="shared" si="138"/>
        <v>1</v>
      </c>
      <c r="AH150" s="696">
        <f t="shared" si="139"/>
        <v>0</v>
      </c>
      <c r="AI150"/>
      <c r="AJ150" s="700"/>
      <c r="AK150" s="700"/>
      <c r="AL150" s="700"/>
      <c r="AM150" s="696">
        <f>AG150/AG148</f>
        <v>0.5</v>
      </c>
      <c r="AN150" s="696"/>
      <c r="AP150" s="700"/>
      <c r="AQ150" s="700"/>
      <c r="AR150" s="700"/>
      <c r="AS150" s="696">
        <f t="shared" si="159"/>
        <v>1.5</v>
      </c>
      <c r="AT150" s="696"/>
      <c r="AV150" s="700"/>
      <c r="AW150" s="700"/>
      <c r="AX150" s="700"/>
      <c r="AY150" s="696">
        <f t="shared" si="160"/>
        <v>0.5</v>
      </c>
      <c r="AZ150" s="696"/>
      <c r="BN150" s="58" t="str">
        <f t="shared" si="151"/>
        <v>3.3.6.2 建物外壁や屋外構造物による昼光反射の抑制</v>
      </c>
    </row>
    <row r="151" spans="1:66" ht="8.1" customHeight="1" thickBot="1">
      <c r="A151" s="389"/>
      <c r="B151" s="1147"/>
      <c r="C151" s="1148"/>
      <c r="D151" s="1149"/>
      <c r="E151" s="1150"/>
      <c r="F151" s="1150"/>
      <c r="G151" s="1150"/>
      <c r="H151" s="1150"/>
      <c r="I151" s="1151"/>
      <c r="J151"/>
      <c r="K151"/>
      <c r="L151"/>
      <c r="M151"/>
      <c r="N151"/>
      <c r="O151"/>
      <c r="P151"/>
      <c r="Q151"/>
      <c r="R151"/>
      <c r="S151"/>
      <c r="T151" s="713"/>
      <c r="U151" s="713"/>
      <c r="V151" s="713"/>
      <c r="W151" s="712"/>
      <c r="X151"/>
      <c r="Y151"/>
      <c r="Z151"/>
      <c r="AA151"/>
      <c r="AB151"/>
      <c r="AC151"/>
      <c r="AD151"/>
      <c r="AE151"/>
      <c r="AF151"/>
      <c r="AG151"/>
      <c r="AH151"/>
      <c r="AI151"/>
      <c r="AP151"/>
      <c r="BN151" s="58" t="str">
        <f t="shared" si="151"/>
        <v/>
      </c>
    </row>
    <row r="152" spans="1:66" ht="13.2" customHeight="1" thickBot="1">
      <c r="A152" s="389"/>
      <c r="B152" s="1087" t="s">
        <v>1084</v>
      </c>
      <c r="C152" s="1088"/>
      <c r="D152" s="1088"/>
      <c r="E152" s="1088"/>
      <c r="F152" s="1088"/>
      <c r="G152" s="1088"/>
      <c r="H152" s="1088"/>
      <c r="I152" s="1088"/>
      <c r="J152" s="1152">
        <f>J153+J158+R153+R158</f>
        <v>12</v>
      </c>
      <c r="K152" s="1088"/>
      <c r="L152" s="1088"/>
      <c r="M152" s="1088"/>
      <c r="N152" s="1088"/>
      <c r="O152" s="1088"/>
      <c r="P152" s="1088"/>
      <c r="Q152" s="1088"/>
      <c r="R152" s="1153"/>
      <c r="S152"/>
      <c r="T152" s="713"/>
      <c r="U152" s="713"/>
      <c r="V152" s="713"/>
      <c r="W152" s="712"/>
      <c r="BN152" s="58" t="str">
        <f t="shared" si="151"/>
        <v>M マネジメント性能</v>
      </c>
    </row>
    <row r="153" spans="1:66" ht="13.2" customHeight="1">
      <c r="A153" s="389"/>
      <c r="B153" s="1154" t="s">
        <v>272</v>
      </c>
      <c r="C153" s="1155" t="s">
        <v>273</v>
      </c>
      <c r="D153" s="1156"/>
      <c r="E153" s="1156"/>
      <c r="F153" s="1156"/>
      <c r="G153" s="1156"/>
      <c r="H153" s="1156"/>
      <c r="I153" s="1156"/>
      <c r="J153" s="1157">
        <f>ROUNDDOWN(AVERAGE(J154),1)</f>
        <v>3</v>
      </c>
      <c r="K153" s="1158" t="s">
        <v>274</v>
      </c>
      <c r="L153" s="1133" t="s">
        <v>275</v>
      </c>
      <c r="M153" s="1134"/>
      <c r="N153" s="1134"/>
      <c r="O153" s="1134"/>
      <c r="P153" s="1134"/>
      <c r="Q153" s="1134"/>
      <c r="R153" s="1159">
        <f>ROUNDDOWN(AVERAGE(R154),1)</f>
        <v>3</v>
      </c>
      <c r="S153"/>
      <c r="T153" s="713"/>
      <c r="U153" s="713"/>
      <c r="V153" s="713"/>
      <c r="W153" s="712"/>
      <c r="BN153" s="58" t="str">
        <f t="shared" si="151"/>
        <v>1エリアマネジメント</v>
      </c>
    </row>
    <row r="154" spans="1:66" ht="13.2" customHeight="1">
      <c r="A154" s="389"/>
      <c r="B154" s="1166"/>
      <c r="C154" s="1161" t="s">
        <v>276</v>
      </c>
      <c r="D154" s="1111"/>
      <c r="E154" s="1119"/>
      <c r="F154" s="1119"/>
      <c r="G154" s="1119"/>
      <c r="H154" s="1119"/>
      <c r="I154" s="1119"/>
      <c r="J154" s="1162">
        <f>V44</f>
        <v>3</v>
      </c>
      <c r="K154" s="1170"/>
      <c r="L154" s="1163" t="s">
        <v>1224</v>
      </c>
      <c r="M154" s="1111"/>
      <c r="N154" s="1119"/>
      <c r="O154" s="1119"/>
      <c r="P154" s="1119"/>
      <c r="Q154" s="1164"/>
      <c r="R154" s="1165">
        <f>V105</f>
        <v>3</v>
      </c>
      <c r="S154"/>
      <c r="T154" s="713"/>
      <c r="U154" s="713"/>
      <c r="V154" s="713"/>
      <c r="W154" s="712"/>
      <c r="BN154" s="58" t="str">
        <f t="shared" si="151"/>
        <v>Q2.1.2　エリアマネジメント</v>
      </c>
    </row>
    <row r="155" spans="1:66" ht="13.2" customHeight="1">
      <c r="A155" s="389"/>
      <c r="B155" s="1166"/>
      <c r="C155" s="1161"/>
      <c r="D155" s="1216" t="str">
        <f>D45</f>
        <v>2.1.2.1 運営・組織体制</v>
      </c>
      <c r="E155" s="1215"/>
      <c r="F155" s="1215"/>
      <c r="G155" s="1215"/>
      <c r="H155" s="1215"/>
      <c r="I155" s="1215"/>
      <c r="J155" s="1162">
        <f t="shared" ref="J155:J157" si="161">V45</f>
        <v>3</v>
      </c>
      <c r="K155" s="1170"/>
      <c r="L155" s="1115" t="str">
        <f>"　　"&amp;C105</f>
        <v>　　1.4.1 需給システムのスマート化</v>
      </c>
      <c r="M155" s="1216"/>
      <c r="N155" s="1215"/>
      <c r="O155" s="1215"/>
      <c r="P155" s="1215"/>
      <c r="Q155" s="1215"/>
      <c r="R155" s="1165">
        <f>V105</f>
        <v>3</v>
      </c>
      <c r="S155"/>
      <c r="T155" s="713"/>
      <c r="U155" s="713"/>
      <c r="V155" s="713"/>
      <c r="W155" s="712"/>
      <c r="BN155" s="58" t="str">
        <f t="shared" si="151"/>
        <v>2.1.2.1 運営・組織体制</v>
      </c>
    </row>
    <row r="156" spans="1:66" ht="13.2" customHeight="1">
      <c r="A156" s="389"/>
      <c r="B156" s="1166"/>
      <c r="C156" s="1161"/>
      <c r="D156" s="1216" t="str">
        <f t="shared" ref="D156:D157" si="162">D46</f>
        <v>2.1.2.2 資金力</v>
      </c>
      <c r="E156" s="1215"/>
      <c r="F156" s="1215"/>
      <c r="G156" s="1215"/>
      <c r="H156" s="1215"/>
      <c r="I156" s="1215"/>
      <c r="J156" s="1162">
        <f t="shared" si="161"/>
        <v>3</v>
      </c>
      <c r="K156" s="1170"/>
      <c r="L156" s="1115" t="str">
        <f>"　　"&amp;C106</f>
        <v>　　1.4.2 更新性・拡張性</v>
      </c>
      <c r="M156" s="1216"/>
      <c r="N156" s="1215"/>
      <c r="O156" s="1215"/>
      <c r="P156" s="1215"/>
      <c r="Q156" s="1215"/>
      <c r="R156" s="1165">
        <f>V106</f>
        <v>3</v>
      </c>
      <c r="S156"/>
      <c r="T156" s="713"/>
      <c r="U156" s="713"/>
      <c r="V156" s="713"/>
      <c r="W156" s="712"/>
      <c r="BN156" s="58" t="str">
        <f t="shared" si="151"/>
        <v>2.1.2.2 資金力</v>
      </c>
    </row>
    <row r="157" spans="1:66" ht="13.2" customHeight="1">
      <c r="A157" s="389"/>
      <c r="B157" s="1217"/>
      <c r="C157" s="1161"/>
      <c r="D157" s="1216" t="str">
        <f t="shared" si="162"/>
        <v>2.1.2.3 維持管理</v>
      </c>
      <c r="E157" s="1215"/>
      <c r="F157" s="1215"/>
      <c r="G157" s="1215"/>
      <c r="H157" s="1215"/>
      <c r="I157" s="1215"/>
      <c r="J157" s="1162">
        <f t="shared" si="161"/>
        <v>3</v>
      </c>
      <c r="K157" s="1218"/>
      <c r="L157" s="1115" t="str">
        <f t="shared" ref="L157" si="163">"　"&amp;C107</f>
        <v>　</v>
      </c>
      <c r="M157" s="1214"/>
      <c r="N157" s="1215"/>
      <c r="O157" s="1215"/>
      <c r="P157" s="1215"/>
      <c r="Q157" s="1215"/>
      <c r="R157" s="1165"/>
      <c r="S157"/>
      <c r="T157" s="713"/>
      <c r="U157" s="713"/>
      <c r="V157" s="713"/>
      <c r="W157" s="712"/>
      <c r="BN157" s="58" t="str">
        <f t="shared" si="151"/>
        <v>2.1.2.3 維持管理</v>
      </c>
    </row>
    <row r="158" spans="1:66" ht="13.2" customHeight="1">
      <c r="A158" s="389"/>
      <c r="B158" s="1166">
        <v>3</v>
      </c>
      <c r="C158" s="1167" t="s">
        <v>277</v>
      </c>
      <c r="D158" s="1168"/>
      <c r="E158" s="1168"/>
      <c r="F158" s="1168"/>
      <c r="G158" s="1168"/>
      <c r="H158" s="1168"/>
      <c r="I158" s="1168"/>
      <c r="J158" s="1169">
        <f>ROUNDDOWN(AVERAGE(J159:J164),1)</f>
        <v>3</v>
      </c>
      <c r="K158" s="1170">
        <v>4</v>
      </c>
      <c r="L158" s="1095" t="s">
        <v>278</v>
      </c>
      <c r="M158" s="1096"/>
      <c r="N158" s="1096"/>
      <c r="O158" s="1096"/>
      <c r="P158" s="1096"/>
      <c r="Q158" s="1096"/>
      <c r="R158" s="1171">
        <f>ROUNDDOWN(AVERAGE(R159:R166),1)</f>
        <v>3</v>
      </c>
      <c r="S158"/>
      <c r="T158" s="713"/>
      <c r="U158" s="713"/>
      <c r="V158" s="713"/>
      <c r="W158" s="712"/>
      <c r="BN158" s="58" t="str">
        <f t="shared" si="151"/>
        <v>3交通マネジメント</v>
      </c>
    </row>
    <row r="159" spans="1:66" ht="13.2" customHeight="1">
      <c r="A159" s="389"/>
      <c r="B159" s="1166"/>
      <c r="C159" s="1172" t="s">
        <v>279</v>
      </c>
      <c r="D159" s="1111"/>
      <c r="E159" s="1119"/>
      <c r="F159" s="1119"/>
      <c r="G159" s="1119"/>
      <c r="H159" s="1119"/>
      <c r="I159" s="1119"/>
      <c r="J159" s="1162">
        <f>V132</f>
        <v>3</v>
      </c>
      <c r="K159" s="1170"/>
      <c r="L159" s="1173" t="s">
        <v>972</v>
      </c>
      <c r="M159" s="1111"/>
      <c r="N159" s="1119"/>
      <c r="O159" s="1119"/>
      <c r="P159" s="1119"/>
      <c r="Q159" s="1164"/>
      <c r="R159" s="1165">
        <f>V35</f>
        <v>3</v>
      </c>
      <c r="S159"/>
      <c r="T159" s="713"/>
      <c r="U159" s="713"/>
      <c r="V159" s="713"/>
      <c r="W159" s="712"/>
      <c r="BN159" s="58" t="str">
        <f t="shared" si="151"/>
        <v>LR3.2.1.2　交通需要マネジメント等の取組み</v>
      </c>
    </row>
    <row r="160" spans="1:66" ht="13.2" customHeight="1">
      <c r="A160" s="389"/>
      <c r="B160" s="1166"/>
      <c r="C160" s="1172" t="s">
        <v>281</v>
      </c>
      <c r="D160" s="1111"/>
      <c r="E160" s="1119"/>
      <c r="F160" s="1119"/>
      <c r="G160" s="1119"/>
      <c r="H160" s="1119"/>
      <c r="I160" s="1119"/>
      <c r="J160" s="1162">
        <f>V82</f>
        <v>3</v>
      </c>
      <c r="K160" s="1170"/>
      <c r="L160" s="1173" t="s">
        <v>280</v>
      </c>
      <c r="M160" s="1111"/>
      <c r="N160" s="1119"/>
      <c r="O160" s="1119"/>
      <c r="P160" s="1119"/>
      <c r="Q160" s="1164"/>
      <c r="R160" s="1165">
        <f>V43</f>
        <v>3</v>
      </c>
      <c r="S160"/>
      <c r="T160" s="713"/>
      <c r="U160" s="713"/>
      <c r="V160" s="713"/>
      <c r="W160" s="712"/>
      <c r="BN160" s="58" t="str">
        <f t="shared" si="151"/>
        <v>Q3.1.2.2　公共交通指向型開発</v>
      </c>
    </row>
    <row r="161" spans="1:66" ht="13.2" customHeight="1">
      <c r="A161" s="389"/>
      <c r="B161" s="1166"/>
      <c r="C161" s="1172" t="s">
        <v>283</v>
      </c>
      <c r="D161" s="1111"/>
      <c r="E161" s="1119"/>
      <c r="F161" s="1119"/>
      <c r="G161" s="1119"/>
      <c r="H161" s="1119"/>
      <c r="I161" s="1119"/>
      <c r="J161" s="1162">
        <f>V83</f>
        <v>3</v>
      </c>
      <c r="K161" s="1170"/>
      <c r="L161" s="1173" t="s">
        <v>282</v>
      </c>
      <c r="M161" s="1111"/>
      <c r="N161" s="1119"/>
      <c r="O161" s="1119"/>
      <c r="P161" s="1119"/>
      <c r="Q161" s="1164"/>
      <c r="R161" s="1165">
        <f>V65</f>
        <v>3</v>
      </c>
      <c r="S161"/>
      <c r="T161" s="713"/>
      <c r="U161" s="713"/>
      <c r="V161" s="713"/>
      <c r="W161" s="712"/>
      <c r="BN161" s="58" t="str">
        <f t="shared" si="151"/>
        <v>Q3.1.2.3　モビリティサービス</v>
      </c>
    </row>
    <row r="162" spans="1:66" ht="13.2" customHeight="1">
      <c r="A162" s="389"/>
      <c r="B162" s="1166"/>
      <c r="C162" s="1172" t="s">
        <v>285</v>
      </c>
      <c r="D162" s="1111"/>
      <c r="E162" s="1119"/>
      <c r="F162" s="1119"/>
      <c r="G162" s="1119"/>
      <c r="H162" s="1119"/>
      <c r="I162" s="1119"/>
      <c r="J162" s="1162">
        <f>V84</f>
        <v>3</v>
      </c>
      <c r="K162" s="1170"/>
      <c r="L162" s="1173" t="s">
        <v>284</v>
      </c>
      <c r="M162" s="1111"/>
      <c r="N162" s="1119"/>
      <c r="O162" s="1119"/>
      <c r="P162" s="1119"/>
      <c r="Q162" s="1164"/>
      <c r="R162" s="1165">
        <f>V67</f>
        <v>3</v>
      </c>
      <c r="S162"/>
      <c r="T162" s="713"/>
      <c r="U162" s="713"/>
      <c r="V162" s="713"/>
      <c r="W162" s="712"/>
      <c r="BN162" s="58" t="str">
        <f t="shared" si="151"/>
        <v>Q3.1.2.4　物流システム</v>
      </c>
    </row>
    <row r="163" spans="1:66" ht="13.2" customHeight="1">
      <c r="A163" s="389"/>
      <c r="B163" s="1166"/>
      <c r="C163" s="1172" t="s">
        <v>287</v>
      </c>
      <c r="D163" s="1111"/>
      <c r="E163" s="1119"/>
      <c r="F163" s="1119"/>
      <c r="G163" s="1119"/>
      <c r="H163" s="1119"/>
      <c r="I163" s="1119"/>
      <c r="J163" s="1162">
        <f>V134</f>
        <v>3</v>
      </c>
      <c r="K163" s="1170"/>
      <c r="L163" s="1173" t="s">
        <v>286</v>
      </c>
      <c r="M163" s="1111"/>
      <c r="N163" s="1119"/>
      <c r="O163" s="1119"/>
      <c r="P163" s="1119"/>
      <c r="Q163" s="1164"/>
      <c r="R163" s="1165">
        <f>V69</f>
        <v>3</v>
      </c>
      <c r="S163"/>
      <c r="T163" s="713"/>
      <c r="U163" s="713"/>
      <c r="V163" s="713"/>
      <c r="W163" s="712"/>
      <c r="BN163" s="58" t="str">
        <f t="shared" si="151"/>
        <v>LR3.2.2.1　他の交通手段への転換による自動車交通量の総量削減</v>
      </c>
    </row>
    <row r="164" spans="1:66" ht="13.2" customHeight="1">
      <c r="A164" s="389"/>
      <c r="B164" s="1166"/>
      <c r="C164" s="1172" t="s">
        <v>289</v>
      </c>
      <c r="D164" s="1111"/>
      <c r="E164" s="1119"/>
      <c r="F164" s="1119"/>
      <c r="G164" s="1119"/>
      <c r="H164" s="1119"/>
      <c r="I164" s="1119"/>
      <c r="J164" s="1162">
        <f>V135</f>
        <v>3</v>
      </c>
      <c r="K164" s="1170"/>
      <c r="L164" s="1173" t="s">
        <v>288</v>
      </c>
      <c r="M164" s="1111"/>
      <c r="N164" s="1119"/>
      <c r="O164" s="1119"/>
      <c r="P164" s="1119"/>
      <c r="Q164" s="1164"/>
      <c r="R164" s="1165">
        <f>V95</f>
        <v>3</v>
      </c>
      <c r="S164"/>
      <c r="T164" s="713"/>
      <c r="U164" s="713"/>
      <c r="V164" s="713"/>
      <c r="W164" s="712"/>
      <c r="BN164" s="58" t="str">
        <f t="shared" si="151"/>
        <v>LR3.2.2.2　周辺交通への負荷を抑制する動線計画</v>
      </c>
    </row>
    <row r="165" spans="1:66" ht="13.2" customHeight="1">
      <c r="A165" s="389"/>
      <c r="B165" s="1166"/>
      <c r="C165" s="1172"/>
      <c r="D165" s="1111"/>
      <c r="E165" s="1119"/>
      <c r="F165" s="1119"/>
      <c r="G165" s="1119"/>
      <c r="H165" s="1119"/>
      <c r="I165" s="1119"/>
      <c r="J165" s="1162"/>
      <c r="K165" s="1170"/>
      <c r="L165" s="1173" t="s">
        <v>290</v>
      </c>
      <c r="M165" s="1111"/>
      <c r="N165" s="1119"/>
      <c r="O165" s="1119"/>
      <c r="P165" s="1119"/>
      <c r="Q165" s="1164"/>
      <c r="R165" s="1165">
        <f>V96</f>
        <v>3</v>
      </c>
      <c r="S165"/>
      <c r="T165" s="713"/>
      <c r="U165" s="713"/>
      <c r="V165" s="713"/>
      <c r="W165" s="712"/>
      <c r="BN165" s="58" t="str">
        <f t="shared" si="151"/>
        <v/>
      </c>
    </row>
    <row r="166" spans="1:66" ht="13.2" customHeight="1" thickBot="1">
      <c r="A166" s="389"/>
      <c r="B166" s="1174"/>
      <c r="C166" s="1175"/>
      <c r="D166" s="1142"/>
      <c r="E166" s="1143"/>
      <c r="F166" s="1143"/>
      <c r="G166" s="1143"/>
      <c r="H166" s="1143"/>
      <c r="I166" s="1143"/>
      <c r="J166" s="1176"/>
      <c r="K166" s="1177"/>
      <c r="L166" s="1178" t="s">
        <v>291</v>
      </c>
      <c r="M166" s="1142"/>
      <c r="N166" s="1143"/>
      <c r="O166" s="1143"/>
      <c r="P166" s="1143"/>
      <c r="Q166" s="1179"/>
      <c r="R166" s="1180">
        <f>V97</f>
        <v>3</v>
      </c>
      <c r="S166"/>
      <c r="T166" s="713"/>
      <c r="U166" s="713"/>
      <c r="V166" s="713"/>
      <c r="W166" s="712"/>
      <c r="BN166" s="58" t="str">
        <f t="shared" si="151"/>
        <v/>
      </c>
    </row>
    <row r="167" spans="1:66" ht="13.2" customHeight="1" thickBot="1">
      <c r="A167" s="389"/>
      <c r="B167" s="1087" t="s">
        <v>1085</v>
      </c>
      <c r="C167" s="1088"/>
      <c r="D167" s="1088"/>
      <c r="E167" s="1088"/>
      <c r="F167" s="1088"/>
      <c r="G167" s="1088"/>
      <c r="H167" s="1088"/>
      <c r="I167" s="1088"/>
      <c r="J167" s="1152">
        <f>J168+J170+R168</f>
        <v>9</v>
      </c>
      <c r="K167" s="1088"/>
      <c r="L167" s="1088"/>
      <c r="M167" s="1088"/>
      <c r="N167" s="1088"/>
      <c r="O167" s="1088"/>
      <c r="P167" s="1088"/>
      <c r="Q167" s="1088"/>
      <c r="R167" s="1153"/>
      <c r="S167"/>
      <c r="T167" s="713"/>
      <c r="U167" s="713"/>
      <c r="V167" s="713"/>
      <c r="W167" s="712"/>
      <c r="BN167" s="58" t="str">
        <f t="shared" si="151"/>
        <v>S スマート性能</v>
      </c>
    </row>
    <row r="168" spans="1:66" ht="13.2" customHeight="1">
      <c r="A168" s="389"/>
      <c r="B168" s="1154" t="s">
        <v>272</v>
      </c>
      <c r="C168" s="1155" t="s">
        <v>292</v>
      </c>
      <c r="D168" s="1156"/>
      <c r="E168" s="1156"/>
      <c r="F168" s="1156"/>
      <c r="G168" s="1156"/>
      <c r="H168" s="1156"/>
      <c r="I168" s="1156"/>
      <c r="J168" s="1157">
        <f>ROUNDDOWN(AVERAGE(J169),1)</f>
        <v>3</v>
      </c>
      <c r="K168" s="1158">
        <v>3</v>
      </c>
      <c r="L168" s="1133" t="s">
        <v>293</v>
      </c>
      <c r="M168" s="1134"/>
      <c r="N168" s="1134"/>
      <c r="O168" s="1134"/>
      <c r="P168" s="1134"/>
      <c r="Q168" s="1134"/>
      <c r="R168" s="1159">
        <f>ROUNDDOWN(AVERAGE(R169:R170),1)</f>
        <v>3</v>
      </c>
      <c r="S168"/>
      <c r="T168" s="713"/>
      <c r="U168" s="713"/>
      <c r="V168" s="713"/>
      <c r="W168" s="712"/>
      <c r="BN168" s="58" t="str">
        <f t="shared" si="151"/>
        <v>1環境のスマート化</v>
      </c>
    </row>
    <row r="169" spans="1:66" ht="13.2" customHeight="1">
      <c r="A169" s="389"/>
      <c r="B169" s="1160"/>
      <c r="C169" s="1161" t="s">
        <v>294</v>
      </c>
      <c r="D169" s="1111"/>
      <c r="E169" s="1119"/>
      <c r="F169" s="1119"/>
      <c r="G169" s="1119"/>
      <c r="H169" s="1119"/>
      <c r="I169" s="1164"/>
      <c r="J169" s="1162">
        <f>V40</f>
        <v>3</v>
      </c>
      <c r="K169" s="1170"/>
      <c r="L169" s="1173" t="s">
        <v>295</v>
      </c>
      <c r="M169" s="1111"/>
      <c r="N169" s="1119"/>
      <c r="O169" s="1119"/>
      <c r="P169" s="1119"/>
      <c r="Q169" s="1164"/>
      <c r="R169" s="1165">
        <f>V98</f>
        <v>3</v>
      </c>
      <c r="S169"/>
      <c r="T169" s="713"/>
      <c r="U169" s="713"/>
      <c r="V169" s="713"/>
      <c r="W169" s="712"/>
      <c r="BN169" s="58" t="str">
        <f t="shared" si="151"/>
        <v>Q1.4　環境性能に関するスマート化</v>
      </c>
    </row>
    <row r="170" spans="1:66" ht="13.2" customHeight="1">
      <c r="A170" s="389"/>
      <c r="B170" s="1166" t="s">
        <v>274</v>
      </c>
      <c r="C170" s="1167" t="s">
        <v>296</v>
      </c>
      <c r="D170" s="1168"/>
      <c r="E170" s="1168"/>
      <c r="F170" s="1168"/>
      <c r="G170" s="1168"/>
      <c r="H170" s="1168"/>
      <c r="I170" s="1168"/>
      <c r="J170" s="1169">
        <f>ROUNDDOWN(AVERAGE(J171),1)</f>
        <v>3</v>
      </c>
      <c r="K170" s="1170"/>
      <c r="L170" s="1173"/>
      <c r="M170" s="1111"/>
      <c r="N170" s="1119"/>
      <c r="O170" s="1119"/>
      <c r="P170" s="1119"/>
      <c r="Q170" s="1164"/>
      <c r="R170" s="1165"/>
      <c r="S170"/>
      <c r="T170" s="713"/>
      <c r="U170" s="713"/>
      <c r="V170" s="713"/>
      <c r="W170" s="712"/>
      <c r="BN170" s="58" t="str">
        <f t="shared" si="151"/>
        <v>2社会のスマート化</v>
      </c>
    </row>
    <row r="171" spans="1:66" ht="13.2" customHeight="1" thickBot="1">
      <c r="A171" s="389"/>
      <c r="B171" s="1174"/>
      <c r="C171" s="1175" t="s">
        <v>297</v>
      </c>
      <c r="D171" s="1142"/>
      <c r="E171" s="1143"/>
      <c r="F171" s="1143"/>
      <c r="G171" s="1143"/>
      <c r="H171" s="1143"/>
      <c r="I171" s="1179"/>
      <c r="J171" s="1181">
        <f>V72</f>
        <v>3</v>
      </c>
      <c r="K171" s="1177"/>
      <c r="L171" s="1178"/>
      <c r="M171" s="1142"/>
      <c r="N171" s="1143"/>
      <c r="O171" s="1143"/>
      <c r="P171" s="1143"/>
      <c r="Q171" s="1179"/>
      <c r="R171" s="1180"/>
      <c r="S171"/>
      <c r="T171" s="713"/>
      <c r="U171" s="713"/>
      <c r="V171" s="713"/>
      <c r="W171" s="712"/>
    </row>
    <row r="172" spans="1:66" customFormat="1" ht="6" customHeight="1"/>
    <row r="173" spans="1:66" customFormat="1" ht="13.2" customHeight="1" thickBot="1">
      <c r="B173" s="1182" t="str">
        <f>メイン!C6</f>
        <v>CASBEE-街区 2024年SDGs対応試行版</v>
      </c>
    </row>
    <row r="174" spans="1:66" ht="13.2" customHeight="1">
      <c r="B174" s="1183" t="s">
        <v>298</v>
      </c>
      <c r="C174" s="1184"/>
      <c r="D174" s="1184"/>
      <c r="E174" s="1184"/>
      <c r="F174" s="1185" t="s">
        <v>160</v>
      </c>
      <c r="G174" s="1186" t="s">
        <v>299</v>
      </c>
      <c r="H174" s="1186" t="s">
        <v>300</v>
      </c>
      <c r="I174" s="1186" t="s">
        <v>301</v>
      </c>
      <c r="J174" s="1186" t="s">
        <v>302</v>
      </c>
      <c r="K174" s="1186" t="s">
        <v>303</v>
      </c>
      <c r="L174" s="1186" t="s">
        <v>304</v>
      </c>
      <c r="M174" s="1186" t="s">
        <v>305</v>
      </c>
      <c r="N174" s="1186" t="s">
        <v>306</v>
      </c>
      <c r="O174" s="1186" t="s">
        <v>307</v>
      </c>
      <c r="P174" s="1186" t="s">
        <v>308</v>
      </c>
      <c r="Q174" s="1186" t="s">
        <v>309</v>
      </c>
      <c r="R174" s="1187" t="s">
        <v>310</v>
      </c>
      <c r="S174"/>
      <c r="T174"/>
      <c r="U174"/>
      <c r="V174"/>
      <c r="W174"/>
      <c r="X174"/>
      <c r="Y174"/>
      <c r="Z174"/>
      <c r="AA174"/>
      <c r="AB174"/>
      <c r="AC174"/>
    </row>
    <row r="175" spans="1:66" ht="13.2" customHeight="1">
      <c r="B175" s="1188" t="str">
        <f>B8</f>
        <v>Q-1 環境</v>
      </c>
      <c r="C175" s="1189"/>
      <c r="D175" s="1189"/>
      <c r="E175" s="1189"/>
      <c r="F175" s="1189"/>
      <c r="G175" s="1190"/>
      <c r="H175" s="1191"/>
      <c r="I175" s="1190"/>
      <c r="J175" s="1191"/>
      <c r="K175" s="1190"/>
      <c r="L175" s="1191"/>
      <c r="M175" s="1190"/>
      <c r="N175" s="1191"/>
      <c r="O175" s="1190"/>
      <c r="P175" s="1191"/>
      <c r="Q175" s="1190"/>
      <c r="R175" s="1192"/>
      <c r="S175"/>
      <c r="T175"/>
      <c r="U175"/>
      <c r="V175"/>
      <c r="W175"/>
      <c r="X175"/>
      <c r="Y175"/>
      <c r="Z175"/>
      <c r="AA175"/>
      <c r="AB175"/>
      <c r="AC175"/>
    </row>
    <row r="176" spans="1:66" ht="13.2" customHeight="1">
      <c r="B176" s="1193" t="str">
        <f>D32</f>
        <v>1.2.2.1 日射の遮蔽</v>
      </c>
      <c r="C176" s="1194"/>
      <c r="D176" s="1194"/>
      <c r="E176" s="1194"/>
      <c r="F176" s="1195">
        <f>採点Q1!E143</f>
        <v>1</v>
      </c>
      <c r="G176" s="1196">
        <f>採点Q1!E144</f>
        <v>0</v>
      </c>
      <c r="H176" s="1196" t="str">
        <f>採点Q1!E145</f>
        <v>〇</v>
      </c>
      <c r="I176" s="1197"/>
      <c r="J176" s="1197"/>
      <c r="K176" s="1197"/>
      <c r="L176" s="1197"/>
      <c r="M176" s="1197"/>
      <c r="N176" s="1197"/>
      <c r="O176" s="1197"/>
      <c r="P176" s="1197"/>
      <c r="Q176" s="1197"/>
      <c r="R176" s="1198"/>
      <c r="S176"/>
      <c r="T176"/>
      <c r="U176"/>
      <c r="V176"/>
      <c r="W176"/>
      <c r="X176"/>
      <c r="Y176"/>
      <c r="Z176"/>
      <c r="AA176"/>
      <c r="AB176"/>
      <c r="AC176"/>
    </row>
    <row r="177" spans="2:29" ht="13.2" customHeight="1">
      <c r="B177" s="1193" t="str">
        <f>D33</f>
        <v>1.2.2.2 輻射熱・反射の抑制</v>
      </c>
      <c r="C177" s="1194"/>
      <c r="D177" s="1194"/>
      <c r="E177" s="1194"/>
      <c r="F177" s="1195">
        <f>採点Q1!E156</f>
        <v>1</v>
      </c>
      <c r="G177" s="1196" t="str">
        <f>採点Q1!E157</f>
        <v>〇</v>
      </c>
      <c r="H177" s="1196">
        <f>採点Q1!E158</f>
        <v>0</v>
      </c>
      <c r="I177" s="1197"/>
      <c r="J177" s="1197"/>
      <c r="K177" s="1197"/>
      <c r="L177" s="1197"/>
      <c r="M177" s="1197"/>
      <c r="N177" s="1197"/>
      <c r="O177" s="1197"/>
      <c r="P177" s="1197"/>
      <c r="Q177" s="1197"/>
      <c r="R177" s="1198"/>
      <c r="S177"/>
      <c r="T177"/>
      <c r="U177"/>
      <c r="V177"/>
      <c r="W177"/>
      <c r="X177"/>
      <c r="Y177"/>
      <c r="Z177"/>
      <c r="AA177"/>
      <c r="AB177"/>
      <c r="AC177"/>
    </row>
    <row r="178" spans="2:29" ht="13.2" customHeight="1">
      <c r="B178" s="1193" t="str">
        <f>D34</f>
        <v>1.2.2.3 風通しの確保</v>
      </c>
      <c r="C178" s="1199"/>
      <c r="D178" s="1199"/>
      <c r="E178" s="1194"/>
      <c r="F178" s="1195">
        <f>採点Q1!E169</f>
        <v>2</v>
      </c>
      <c r="G178" s="1196" t="str">
        <f>採点Q1!E170</f>
        <v>〇</v>
      </c>
      <c r="H178" s="1196">
        <f>採点Q1!E171</f>
        <v>0</v>
      </c>
      <c r="I178" s="1196" t="str">
        <f>採点Q1!E172</f>
        <v>〇</v>
      </c>
      <c r="J178" s="1197"/>
      <c r="K178" s="1197"/>
      <c r="L178" s="1197"/>
      <c r="M178" s="1197"/>
      <c r="N178" s="1197"/>
      <c r="O178" s="1197"/>
      <c r="P178" s="1197"/>
      <c r="Q178" s="1197"/>
      <c r="R178" s="1198"/>
      <c r="S178"/>
      <c r="T178"/>
      <c r="U178"/>
      <c r="V178"/>
      <c r="W178"/>
      <c r="X178"/>
      <c r="Y178"/>
      <c r="Z178"/>
      <c r="AA178"/>
      <c r="AB178"/>
      <c r="AC178"/>
    </row>
    <row r="179" spans="2:29" ht="13.2" customHeight="1">
      <c r="B179" s="1193" t="str">
        <f>D37</f>
        <v>1.2.3.1 街並み・景観形成への配慮</v>
      </c>
      <c r="C179" s="1199"/>
      <c r="D179" s="1199"/>
      <c r="E179" s="1194"/>
      <c r="F179" s="1195">
        <f>採点Q1!E184</f>
        <v>3</v>
      </c>
      <c r="G179" s="1196">
        <f>採点Q1!E185</f>
        <v>0</v>
      </c>
      <c r="H179" s="1196" t="str">
        <f>採点Q1!E186</f>
        <v>〇</v>
      </c>
      <c r="I179" s="1196" t="str">
        <f>採点Q1!E187</f>
        <v>未評価</v>
      </c>
      <c r="J179" s="1196" t="str">
        <f>採点Q1!E188</f>
        <v>未評価</v>
      </c>
      <c r="K179" s="1196" t="str">
        <f>採点Q1!E189</f>
        <v>〇</v>
      </c>
      <c r="L179" s="1196">
        <f>採点Q1!E190</f>
        <v>0</v>
      </c>
      <c r="M179" s="1196">
        <f>採点Q1!E191</f>
        <v>0</v>
      </c>
      <c r="N179" s="1196" t="str">
        <f>採点Q1!E192</f>
        <v>〇</v>
      </c>
      <c r="O179" s="1197"/>
      <c r="P179" s="1197"/>
      <c r="Q179" s="1197"/>
      <c r="R179" s="1198"/>
      <c r="S179"/>
      <c r="T179"/>
      <c r="U179"/>
      <c r="V179"/>
      <c r="W179"/>
      <c r="X179"/>
      <c r="Y179"/>
      <c r="Z179"/>
      <c r="AA179"/>
      <c r="AB179"/>
      <c r="AC179"/>
    </row>
    <row r="180" spans="2:29" ht="13.2" customHeight="1">
      <c r="B180" s="1193" t="str">
        <f>D38</f>
        <v>1.2.3.2 周辺との調和性</v>
      </c>
      <c r="C180" s="1199"/>
      <c r="D180" s="1199"/>
      <c r="E180" s="1194"/>
      <c r="F180" s="1195">
        <f>採点Q1!E203</f>
        <v>1</v>
      </c>
      <c r="G180" s="1196">
        <f>採点Q1!E204</f>
        <v>0</v>
      </c>
      <c r="H180" s="1196" t="str">
        <f>採点Q1!E205</f>
        <v>〇</v>
      </c>
      <c r="I180" s="1196">
        <f>採点Q1!E206</f>
        <v>0</v>
      </c>
      <c r="J180" s="1197"/>
      <c r="K180" s="1197"/>
      <c r="L180" s="1197"/>
      <c r="M180" s="1197"/>
      <c r="N180" s="1197"/>
      <c r="O180" s="1197"/>
      <c r="P180" s="1197"/>
      <c r="Q180" s="1197"/>
      <c r="R180" s="1198"/>
      <c r="S180"/>
      <c r="T180"/>
      <c r="U180"/>
      <c r="V180"/>
      <c r="W180"/>
      <c r="X180"/>
      <c r="Y180"/>
      <c r="Z180"/>
      <c r="AA180"/>
      <c r="AB180"/>
      <c r="AC180"/>
    </row>
    <row r="181" spans="2:29" ht="13.2" customHeight="1">
      <c r="B181" s="1200" t="str">
        <f>B40</f>
        <v>1.4 環境性能に関するスマート化</v>
      </c>
      <c r="C181" s="1194"/>
      <c r="D181" s="1194"/>
      <c r="E181" s="1194"/>
      <c r="F181" s="1195">
        <f>採点Q1!E226</f>
        <v>1</v>
      </c>
      <c r="G181" s="1196" t="str">
        <f>採点Q1!E227</f>
        <v>〇</v>
      </c>
      <c r="H181" s="1196">
        <f>採点Q1!E228</f>
        <v>0</v>
      </c>
      <c r="I181" s="1196">
        <f>採点Q1!E229</f>
        <v>0</v>
      </c>
      <c r="J181" s="1196">
        <f>採点Q1!E230</f>
        <v>0</v>
      </c>
      <c r="K181" s="1197"/>
      <c r="L181" s="1197"/>
      <c r="M181" s="1197"/>
      <c r="N181" s="1197"/>
      <c r="O181" s="1197"/>
      <c r="P181" s="1197"/>
      <c r="Q181" s="1197"/>
      <c r="R181" s="1198"/>
      <c r="S181"/>
      <c r="T181"/>
      <c r="U181"/>
      <c r="V181"/>
      <c r="W181"/>
      <c r="X181"/>
      <c r="Y181"/>
      <c r="Z181"/>
      <c r="AA181"/>
      <c r="AB181"/>
      <c r="AC181"/>
    </row>
    <row r="182" spans="2:29" ht="13.2" customHeight="1">
      <c r="B182" s="1188" t="str">
        <f>B41</f>
        <v>Q-2 社会</v>
      </c>
      <c r="C182" s="1189"/>
      <c r="D182" s="1189"/>
      <c r="E182" s="1189"/>
      <c r="F182" s="1189"/>
      <c r="G182" s="1201"/>
      <c r="H182" s="1202"/>
      <c r="I182" s="1201"/>
      <c r="J182" s="1202"/>
      <c r="K182" s="1201"/>
      <c r="L182" s="1202"/>
      <c r="M182" s="1201"/>
      <c r="N182" s="1202"/>
      <c r="O182" s="1201"/>
      <c r="P182" s="1202"/>
      <c r="Q182" s="1201"/>
      <c r="R182" s="1203"/>
      <c r="S182"/>
      <c r="T182"/>
      <c r="U182"/>
      <c r="V182"/>
      <c r="W182"/>
      <c r="X182"/>
      <c r="Y182"/>
      <c r="Z182"/>
      <c r="AA182"/>
      <c r="AB182"/>
      <c r="AC182"/>
    </row>
    <row r="183" spans="2:29" ht="13.2" customHeight="1">
      <c r="B183" s="1193" t="str">
        <f>D46</f>
        <v>2.1.2.2 資金力</v>
      </c>
      <c r="C183" s="1199"/>
      <c r="D183" s="1199"/>
      <c r="E183" s="1199"/>
      <c r="F183" s="1195">
        <f>採点Q2!E41</f>
        <v>1</v>
      </c>
      <c r="G183" s="1196">
        <f>採点Q2!E42</f>
        <v>0</v>
      </c>
      <c r="H183" s="1196" t="str">
        <f>採点Q2!E43</f>
        <v>〇</v>
      </c>
      <c r="I183" s="1196">
        <f>採点Q2!E44</f>
        <v>0</v>
      </c>
      <c r="J183" s="1196">
        <f>採点Q2!E45</f>
        <v>0</v>
      </c>
      <c r="K183" s="1196">
        <f>採点Q2!E46</f>
        <v>0</v>
      </c>
      <c r="L183" s="1197"/>
      <c r="M183" s="1197"/>
      <c r="N183" s="1197"/>
      <c r="O183" s="1197"/>
      <c r="P183" s="1197"/>
      <c r="Q183" s="1197"/>
      <c r="R183" s="1198"/>
      <c r="S183"/>
      <c r="T183"/>
      <c r="U183"/>
      <c r="V183"/>
      <c r="W183"/>
      <c r="X183"/>
      <c r="Y183"/>
      <c r="Z183"/>
      <c r="AA183"/>
      <c r="AB183"/>
      <c r="AC183"/>
    </row>
    <row r="184" spans="2:29" ht="13.2" customHeight="1">
      <c r="B184" s="1193" t="str">
        <f>D63</f>
        <v>2.4.1.2 各種インフラの防災性能</v>
      </c>
      <c r="C184" s="1199"/>
      <c r="D184" s="1199"/>
      <c r="E184" s="1199"/>
      <c r="F184" s="1195">
        <f>採点Q2!E160</f>
        <v>3</v>
      </c>
      <c r="G184" s="1196" t="str">
        <f>採点Q2!E161</f>
        <v>〇</v>
      </c>
      <c r="H184" s="1196">
        <f>採点Q2!E162</f>
        <v>0</v>
      </c>
      <c r="I184" s="1196">
        <f>採点Q2!E163</f>
        <v>0</v>
      </c>
      <c r="J184" s="1196" t="str">
        <f>採点Q2!E164</f>
        <v>〇</v>
      </c>
      <c r="K184" s="1196" t="str">
        <f>採点Q2!E165</f>
        <v>〇</v>
      </c>
      <c r="L184" s="1196">
        <f>採点Q2!E166</f>
        <v>0</v>
      </c>
      <c r="M184" s="1196">
        <f>採点Q2!E167</f>
        <v>0</v>
      </c>
      <c r="N184" s="1196">
        <f>採点Q2!E168</f>
        <v>0</v>
      </c>
      <c r="O184" s="1197"/>
      <c r="P184" s="1197"/>
      <c r="Q184" s="1197"/>
      <c r="R184" s="1198"/>
      <c r="S184"/>
      <c r="T184"/>
      <c r="U184"/>
      <c r="V184"/>
      <c r="W184"/>
      <c r="X184"/>
      <c r="Y184"/>
      <c r="Z184"/>
      <c r="AA184"/>
      <c r="AB184"/>
      <c r="AC184"/>
    </row>
    <row r="185" spans="2:29" ht="13.2" customHeight="1">
      <c r="B185" s="1193" t="str">
        <f>D64</f>
        <v>2.4.1.3 防災空地・避難路</v>
      </c>
      <c r="C185" s="1199"/>
      <c r="D185" s="1199"/>
      <c r="E185" s="1199"/>
      <c r="F185" s="1195">
        <f>採点Q2!E179</f>
        <v>3</v>
      </c>
      <c r="G185" s="1196" t="str">
        <f>採点Q2!E180</f>
        <v>〇</v>
      </c>
      <c r="H185" s="1196" t="str">
        <f>採点Q2!E181</f>
        <v>〇</v>
      </c>
      <c r="I185" s="1196">
        <f>採点Q2!E182</f>
        <v>0</v>
      </c>
      <c r="J185" s="1196" t="str">
        <f>採点Q2!E183</f>
        <v>〇</v>
      </c>
      <c r="K185" s="1196">
        <f>採点Q2!E184</f>
        <v>0</v>
      </c>
      <c r="L185" s="1197"/>
      <c r="M185" s="1197"/>
      <c r="N185" s="1197"/>
      <c r="O185" s="1197"/>
      <c r="P185" s="1197"/>
      <c r="Q185" s="1197"/>
      <c r="R185" s="1198"/>
      <c r="S185"/>
      <c r="T185"/>
      <c r="U185"/>
      <c r="V185"/>
      <c r="W185"/>
      <c r="X185"/>
      <c r="Y185"/>
      <c r="Z185"/>
      <c r="AA185"/>
      <c r="AB185"/>
      <c r="AC185"/>
    </row>
    <row r="186" spans="2:29" ht="13.2" customHeight="1">
      <c r="B186" s="1193" t="str">
        <f>C67</f>
        <v>2.4.4 防犯</v>
      </c>
      <c r="C186" s="1199"/>
      <c r="D186" s="1199"/>
      <c r="E186" s="1199"/>
      <c r="F186" s="1195">
        <f>採点Q2!E213</f>
        <v>3</v>
      </c>
      <c r="G186" s="1196" t="str">
        <f>採点Q2!E214</f>
        <v>〇</v>
      </c>
      <c r="H186" s="1196" t="str">
        <f>採点Q2!E215</f>
        <v>〇</v>
      </c>
      <c r="I186" s="1196" t="str">
        <f>採点Q2!E216</f>
        <v>〇</v>
      </c>
      <c r="J186" s="1196">
        <f>採点Q2!E217</f>
        <v>0</v>
      </c>
      <c r="K186" s="1196">
        <f>採点Q2!E218</f>
        <v>0</v>
      </c>
      <c r="L186" s="1197"/>
      <c r="M186" s="1197"/>
      <c r="N186" s="1197"/>
      <c r="O186" s="1197"/>
      <c r="P186" s="1197"/>
      <c r="Q186" s="1197"/>
      <c r="R186" s="1198"/>
      <c r="S186"/>
      <c r="T186"/>
      <c r="U186"/>
      <c r="V186"/>
      <c r="W186"/>
      <c r="X186"/>
      <c r="Y186"/>
      <c r="Z186"/>
      <c r="AA186"/>
      <c r="AB186"/>
      <c r="AC186"/>
    </row>
    <row r="187" spans="2:29" ht="13.2" customHeight="1">
      <c r="B187" s="1193" t="str">
        <f>C69</f>
        <v>2.5.1 地域の歴史・文化との融和</v>
      </c>
      <c r="C187" s="1199"/>
      <c r="D187" s="1199"/>
      <c r="E187" s="1199"/>
      <c r="F187" s="1195">
        <f>採点Q2!E230</f>
        <v>1</v>
      </c>
      <c r="G187" s="1196" t="str">
        <f>採点Q2!E231</f>
        <v>〇</v>
      </c>
      <c r="H187" s="1196">
        <f>採点Q2!E232</f>
        <v>0</v>
      </c>
      <c r="I187" s="1196">
        <f>採点Q2!E233</f>
        <v>0</v>
      </c>
      <c r="J187" s="1197"/>
      <c r="K187" s="1197"/>
      <c r="L187" s="1197"/>
      <c r="M187" s="1197"/>
      <c r="N187" s="1197"/>
      <c r="O187" s="1197"/>
      <c r="P187" s="1197"/>
      <c r="Q187" s="1197"/>
      <c r="R187" s="1198"/>
      <c r="S187"/>
      <c r="T187"/>
      <c r="U187"/>
      <c r="V187"/>
      <c r="W187"/>
      <c r="X187"/>
      <c r="Y187"/>
      <c r="Z187"/>
      <c r="AA187"/>
      <c r="AB187"/>
      <c r="AC187"/>
    </row>
    <row r="188" spans="2:29" ht="13.2" customHeight="1">
      <c r="B188" s="1193" t="str">
        <f>B72</f>
        <v>2.6 社会性能に関するスマート化</v>
      </c>
      <c r="C188" s="1199"/>
      <c r="D188" s="1199"/>
      <c r="E188" s="1199"/>
      <c r="F188" s="1195">
        <f>採点Q2!E263</f>
        <v>2</v>
      </c>
      <c r="G188" s="1196">
        <f>採点Q2!E264</f>
        <v>0</v>
      </c>
      <c r="H188" s="1196" t="str">
        <f>採点Q2!E265</f>
        <v>〇</v>
      </c>
      <c r="I188" s="1196">
        <f>採点Q2!E266</f>
        <v>0</v>
      </c>
      <c r="J188" s="1196">
        <f>採点Q2!E267</f>
        <v>0</v>
      </c>
      <c r="K188" s="1196">
        <f>採点Q2!E268</f>
        <v>0</v>
      </c>
      <c r="L188" s="1196" t="str">
        <f>採点Q2!E269</f>
        <v>〇</v>
      </c>
      <c r="M188" s="1197"/>
      <c r="N188" s="1197"/>
      <c r="O188" s="1197"/>
      <c r="P188" s="1197"/>
      <c r="Q188" s="1197"/>
      <c r="R188" s="1198"/>
      <c r="S188"/>
      <c r="T188"/>
      <c r="U188"/>
      <c r="V188"/>
      <c r="W188"/>
      <c r="X188"/>
      <c r="Y188"/>
      <c r="Z188"/>
      <c r="AA188"/>
      <c r="AB188"/>
      <c r="AC188"/>
    </row>
    <row r="189" spans="2:29" ht="13.2" customHeight="1">
      <c r="B189" s="1188" t="str">
        <f>B74</f>
        <v>Q-3 経済</v>
      </c>
      <c r="C189" s="1189"/>
      <c r="D189" s="1189"/>
      <c r="E189" s="1189"/>
      <c r="F189" s="1189"/>
      <c r="G189" s="1201"/>
      <c r="H189" s="1202"/>
      <c r="I189" s="1201"/>
      <c r="J189" s="1202"/>
      <c r="K189" s="1201"/>
      <c r="L189" s="1202"/>
      <c r="M189" s="1201"/>
      <c r="N189" s="1202"/>
      <c r="O189" s="1201"/>
      <c r="P189" s="1202"/>
      <c r="Q189" s="1201"/>
      <c r="R189" s="1203"/>
      <c r="S189"/>
      <c r="T189"/>
      <c r="U189"/>
      <c r="V189"/>
      <c r="W189"/>
      <c r="X189"/>
      <c r="Y189"/>
      <c r="Z189"/>
      <c r="AA189"/>
      <c r="AB189"/>
      <c r="AC189"/>
    </row>
    <row r="190" spans="2:29" ht="13.2" customHeight="1">
      <c r="B190" s="1193" t="str">
        <f>D82</f>
        <v>3.1.2.2 公共交通指向型開発</v>
      </c>
      <c r="C190" s="1199"/>
      <c r="D190" s="1199"/>
      <c r="E190" s="1199"/>
      <c r="F190" s="1195">
        <f>採点Q3!E60</f>
        <v>1</v>
      </c>
      <c r="G190" s="1196" t="str">
        <f>採点Q3!E61</f>
        <v>〇</v>
      </c>
      <c r="H190" s="1196">
        <f>採点Q3!E62</f>
        <v>0</v>
      </c>
      <c r="I190" s="1196">
        <f>採点Q3!E63</f>
        <v>0</v>
      </c>
      <c r="J190" s="1196">
        <f>採点Q3!E64</f>
        <v>0</v>
      </c>
      <c r="K190" s="1196">
        <f>採点Q3!E65</f>
        <v>0</v>
      </c>
      <c r="L190" s="1197"/>
      <c r="M190" s="1197"/>
      <c r="N190" s="1197"/>
      <c r="O190" s="1197"/>
      <c r="P190" s="1197"/>
      <c r="Q190" s="1197"/>
      <c r="R190" s="1198"/>
      <c r="S190"/>
      <c r="T190"/>
      <c r="U190"/>
      <c r="V190"/>
      <c r="W190"/>
      <c r="X190"/>
      <c r="Y190"/>
      <c r="Z190"/>
      <c r="AA190"/>
      <c r="AB190"/>
      <c r="AC190"/>
    </row>
    <row r="191" spans="2:29" ht="13.2" customHeight="1">
      <c r="B191" s="1193" t="str">
        <f>C89</f>
        <v>3.2.2 学習機会</v>
      </c>
      <c r="C191" s="1199"/>
      <c r="D191" s="1199"/>
      <c r="E191" s="1199"/>
      <c r="F191" s="1195">
        <f>採点Q3!E114</f>
        <v>2</v>
      </c>
      <c r="G191" s="1196">
        <f>採点Q3!E115</f>
        <v>0</v>
      </c>
      <c r="H191" s="1196" t="str">
        <f>採点Q3!E116</f>
        <v>〇</v>
      </c>
      <c r="I191" s="1196" t="str">
        <f>採点Q3!E117</f>
        <v>〇</v>
      </c>
      <c r="J191" s="1196">
        <f>採点Q3!E118</f>
        <v>0</v>
      </c>
      <c r="K191" s="1197"/>
      <c r="L191" s="1197"/>
      <c r="M191" s="1197"/>
      <c r="N191" s="1197"/>
      <c r="O191" s="1197"/>
      <c r="P191" s="1197"/>
      <c r="Q191" s="1197"/>
      <c r="R191" s="1198"/>
      <c r="S191"/>
      <c r="T191"/>
      <c r="U191"/>
      <c r="V191"/>
      <c r="W191"/>
      <c r="X191"/>
      <c r="Y191"/>
      <c r="Z191"/>
      <c r="AA191"/>
      <c r="AB191"/>
      <c r="AC191"/>
    </row>
    <row r="192" spans="2:29" ht="13.2" customHeight="1">
      <c r="B192" s="1193" t="str">
        <f>D92</f>
        <v>3.3.1.1 雇用創出</v>
      </c>
      <c r="C192" s="1199"/>
      <c r="D192" s="1199"/>
      <c r="E192" s="1199"/>
      <c r="F192" s="1195">
        <f>採点Q3!E131</f>
        <v>2</v>
      </c>
      <c r="G192" s="1196">
        <f>採点Q3!E132</f>
        <v>0</v>
      </c>
      <c r="H192" s="1196">
        <f>採点Q3!E133</f>
        <v>0</v>
      </c>
      <c r="I192" s="1196" t="str">
        <f>採点Q3!E134</f>
        <v>〇</v>
      </c>
      <c r="J192" s="1196">
        <f>採点Q3!E135</f>
        <v>0</v>
      </c>
      <c r="K192" s="1196" t="str">
        <f>採点Q3!E136</f>
        <v>〇</v>
      </c>
      <c r="L192" s="1196">
        <f>採点Q3!E137</f>
        <v>0</v>
      </c>
      <c r="M192" s="1197"/>
      <c r="N192" s="1197"/>
      <c r="O192" s="1197"/>
      <c r="P192" s="1197"/>
      <c r="Q192" s="1197"/>
      <c r="R192" s="1198"/>
      <c r="S192"/>
      <c r="T192"/>
      <c r="U192"/>
      <c r="V192"/>
      <c r="W192"/>
      <c r="X192"/>
      <c r="Y192"/>
      <c r="Z192"/>
      <c r="AA192"/>
      <c r="AB192"/>
      <c r="AC192"/>
    </row>
    <row r="193" spans="2:29" ht="13.2" customHeight="1">
      <c r="B193" s="1193" t="str">
        <f>D95</f>
        <v>3.3.2.1 地域産業の振興</v>
      </c>
      <c r="C193" s="1199"/>
      <c r="D193" s="1199"/>
      <c r="E193" s="1199"/>
      <c r="F193" s="1195">
        <f>採点Q3!E159</f>
        <v>2</v>
      </c>
      <c r="G193" s="1196" t="str">
        <f>採点Q3!E160</f>
        <v>〇</v>
      </c>
      <c r="H193" s="1196">
        <f>採点Q3!E161</f>
        <v>0</v>
      </c>
      <c r="I193" s="1196">
        <f>採点Q3!E162</f>
        <v>0</v>
      </c>
      <c r="J193" s="1196" t="str">
        <f>採点Q3!E163</f>
        <v>〇</v>
      </c>
      <c r="K193" s="1196">
        <f>採点Q3!E164</f>
        <v>0</v>
      </c>
      <c r="L193" s="1196">
        <f>採点Q3!E165</f>
        <v>0</v>
      </c>
      <c r="M193" s="1197"/>
      <c r="N193" s="1197"/>
      <c r="O193" s="1197"/>
      <c r="P193" s="1197"/>
      <c r="Q193" s="1197"/>
      <c r="R193" s="1198"/>
      <c r="S193"/>
      <c r="T193"/>
      <c r="U193"/>
      <c r="V193"/>
      <c r="W193"/>
      <c r="X193"/>
      <c r="Y193"/>
      <c r="Z193"/>
      <c r="AA193"/>
      <c r="AB193"/>
      <c r="AC193"/>
    </row>
    <row r="194" spans="2:29" ht="13.2" customHeight="1">
      <c r="B194" s="1193" t="str">
        <f>D96</f>
        <v>3.3.2.2 魅力的なまちなかの形成</v>
      </c>
      <c r="C194" s="1199"/>
      <c r="D194" s="1199"/>
      <c r="E194" s="1199"/>
      <c r="F194" s="1195">
        <f>採点Q3!E176</f>
        <v>2</v>
      </c>
      <c r="G194" s="1196" t="str">
        <f>採点Q3!E177</f>
        <v>〇</v>
      </c>
      <c r="H194" s="1196">
        <f>採点Q3!E178</f>
        <v>0</v>
      </c>
      <c r="I194" s="1196" t="str">
        <f>採点Q3!E179</f>
        <v>〇</v>
      </c>
      <c r="J194" s="1196">
        <f>採点Q3!E180</f>
        <v>0</v>
      </c>
      <c r="K194" s="1196">
        <f>採点Q3!E181</f>
        <v>0</v>
      </c>
      <c r="L194" s="1196">
        <f>採点Q3!E182</f>
        <v>0</v>
      </c>
      <c r="M194" s="1196">
        <f>採点Q3!E183</f>
        <v>0</v>
      </c>
      <c r="N194" s="1196">
        <f>採点Q3!E184</f>
        <v>0</v>
      </c>
      <c r="O194" s="1197">
        <f>採点Q3!E185</f>
        <v>0</v>
      </c>
      <c r="P194" s="1197">
        <f>採点Q3!E186</f>
        <v>0</v>
      </c>
      <c r="Q194" s="1197"/>
      <c r="R194" s="1198"/>
      <c r="S194"/>
      <c r="T194"/>
      <c r="U194"/>
      <c r="V194"/>
      <c r="W194"/>
      <c r="X194"/>
      <c r="Y194"/>
      <c r="Z194"/>
      <c r="AA194"/>
      <c r="AB194"/>
      <c r="AC194"/>
    </row>
    <row r="195" spans="2:29" ht="13.2" customHeight="1">
      <c r="B195" s="1193" t="str">
        <f>B98</f>
        <v>3.4 経済性能に関するスマート化</v>
      </c>
      <c r="C195" s="1199"/>
      <c r="D195" s="1199"/>
      <c r="E195" s="1199"/>
      <c r="F195" s="1195">
        <f>採点Q3!E207</f>
        <v>1</v>
      </c>
      <c r="G195" s="1196" t="str">
        <f>採点Q3!E208</f>
        <v>〇</v>
      </c>
      <c r="H195" s="1196">
        <f>採点Q3!E209</f>
        <v>0</v>
      </c>
      <c r="I195" s="1196">
        <f>採点Q3!E210</f>
        <v>0</v>
      </c>
      <c r="J195" s="1196">
        <f>採点Q3!E211</f>
        <v>0</v>
      </c>
      <c r="K195" s="1197"/>
      <c r="L195" s="1197"/>
      <c r="M195" s="1197"/>
      <c r="N195" s="1197"/>
      <c r="O195" s="1197"/>
      <c r="P195" s="1197"/>
      <c r="Q195" s="1197"/>
      <c r="R195" s="1198"/>
      <c r="S195"/>
      <c r="T195"/>
      <c r="U195"/>
      <c r="V195"/>
      <c r="W195"/>
      <c r="X195"/>
      <c r="Y195"/>
      <c r="Z195"/>
      <c r="AA195"/>
      <c r="AB195"/>
      <c r="AC195"/>
    </row>
    <row r="196" spans="2:29" ht="13.2" customHeight="1">
      <c r="B196" s="1188" t="str">
        <f>B100</f>
        <v>LR-1 エネルギー</v>
      </c>
      <c r="C196" s="1189"/>
      <c r="D196" s="1189"/>
      <c r="E196" s="1189"/>
      <c r="F196" s="1189"/>
      <c r="G196" s="1201"/>
      <c r="H196" s="1202"/>
      <c r="I196" s="1201"/>
      <c r="J196" s="1202"/>
      <c r="K196" s="1201"/>
      <c r="L196" s="1202"/>
      <c r="M196" s="1201"/>
      <c r="N196" s="1202"/>
      <c r="O196" s="1201"/>
      <c r="P196" s="1202"/>
      <c r="Q196" s="1201"/>
      <c r="R196" s="1203"/>
      <c r="S196"/>
      <c r="T196"/>
      <c r="U196"/>
      <c r="V196"/>
      <c r="W196"/>
      <c r="X196"/>
      <c r="Y196"/>
      <c r="Z196"/>
      <c r="AA196"/>
      <c r="AB196"/>
      <c r="AC196"/>
    </row>
    <row r="197" spans="2:29" ht="13.2" customHeight="1">
      <c r="B197" s="1193" t="str">
        <f>C105</f>
        <v>1.4.1 需給システムのスマート化</v>
      </c>
      <c r="C197" s="1199"/>
      <c r="D197" s="1199"/>
      <c r="E197" s="1199"/>
      <c r="F197" s="1195">
        <f>採点LR1!E54</f>
        <v>1</v>
      </c>
      <c r="G197" s="1196">
        <f>採点LR1!E55</f>
        <v>0</v>
      </c>
      <c r="H197" s="1196">
        <f>採点LR1!E56</f>
        <v>0</v>
      </c>
      <c r="I197" s="1196" t="str">
        <f>採点LR1!E57</f>
        <v>〇</v>
      </c>
      <c r="J197" s="1196">
        <f>採点LR1!E58</f>
        <v>0</v>
      </c>
      <c r="K197" s="1196">
        <f>採点LR1!E59</f>
        <v>0</v>
      </c>
      <c r="L197" s="1196">
        <f>採点LR1!E60</f>
        <v>0</v>
      </c>
      <c r="M197" s="1197"/>
      <c r="N197" s="1197"/>
      <c r="O197" s="1197"/>
      <c r="P197" s="1197"/>
      <c r="Q197" s="1197"/>
      <c r="R197" s="1198"/>
      <c r="S197"/>
      <c r="T197"/>
      <c r="U197"/>
      <c r="V197"/>
      <c r="W197"/>
      <c r="X197"/>
      <c r="Y197"/>
      <c r="Z197"/>
      <c r="AA197"/>
      <c r="AB197"/>
      <c r="AC197"/>
    </row>
    <row r="198" spans="2:29" ht="13.2" customHeight="1">
      <c r="B198" s="1193" t="str">
        <f>C106</f>
        <v>1.4.2 更新性・拡張性</v>
      </c>
      <c r="C198" s="1199"/>
      <c r="D198" s="1199"/>
      <c r="E198" s="1199"/>
      <c r="F198" s="1195">
        <f>採点LR1!E71</f>
        <v>1</v>
      </c>
      <c r="G198" s="1196">
        <f>採点LR1!E72</f>
        <v>0</v>
      </c>
      <c r="H198" s="1196">
        <f>採点LR1!E73</f>
        <v>0</v>
      </c>
      <c r="I198" s="1196">
        <f>採点LR1!E74</f>
        <v>0</v>
      </c>
      <c r="J198" s="1196" t="str">
        <f>採点LR1!E75</f>
        <v>〇</v>
      </c>
      <c r="K198" s="1196">
        <f>採点LR1!E76</f>
        <v>0</v>
      </c>
      <c r="L198" s="1196">
        <f>採点LR1!E77</f>
        <v>0</v>
      </c>
      <c r="M198" s="1197"/>
      <c r="N198" s="1197"/>
      <c r="O198" s="1197"/>
      <c r="P198" s="1197"/>
      <c r="Q198" s="1197"/>
      <c r="R198" s="1198"/>
      <c r="S198"/>
      <c r="T198"/>
      <c r="U198"/>
      <c r="V198"/>
      <c r="W198"/>
      <c r="X198"/>
      <c r="Y198"/>
      <c r="Z198"/>
      <c r="AA198"/>
      <c r="AB198"/>
      <c r="AC198"/>
    </row>
    <row r="199" spans="2:29" ht="13.2" customHeight="1">
      <c r="B199" s="1188" t="str">
        <f>B107</f>
        <v>LR-2 資源</v>
      </c>
      <c r="C199" s="1189"/>
      <c r="D199" s="1189"/>
      <c r="E199" s="1189"/>
      <c r="F199" s="1189"/>
      <c r="G199" s="1201"/>
      <c r="H199" s="1202"/>
      <c r="I199" s="1201"/>
      <c r="J199" s="1202"/>
      <c r="K199" s="1201"/>
      <c r="L199" s="1202"/>
      <c r="M199" s="1201"/>
      <c r="N199" s="1202"/>
      <c r="O199" s="1201"/>
      <c r="P199" s="1202"/>
      <c r="Q199" s="1201"/>
      <c r="R199" s="1203"/>
      <c r="S199"/>
      <c r="T199"/>
      <c r="U199"/>
      <c r="V199"/>
      <c r="W199"/>
      <c r="X199"/>
      <c r="Y199"/>
      <c r="Z199"/>
      <c r="AA199"/>
      <c r="AB199"/>
      <c r="AC199"/>
    </row>
    <row r="200" spans="2:29" ht="13.2" customHeight="1">
      <c r="B200" s="1193" t="str">
        <f>D113</f>
        <v>2.2.1.1 節水</v>
      </c>
      <c r="C200" s="1199"/>
      <c r="D200" s="1199"/>
      <c r="E200" s="1199"/>
      <c r="F200" s="1195">
        <f>採点LR2!E44</f>
        <v>0</v>
      </c>
      <c r="G200" s="1196">
        <f>採点LR2!E45</f>
        <v>0</v>
      </c>
      <c r="H200" s="1196">
        <f>採点LR2!E46</f>
        <v>0</v>
      </c>
      <c r="I200" s="1196">
        <f>採点LR2!E47</f>
        <v>0</v>
      </c>
      <c r="J200" s="1196">
        <f>採点LR2!E48</f>
        <v>0</v>
      </c>
      <c r="K200" s="1196">
        <f>採点LR2!E49</f>
        <v>0</v>
      </c>
      <c r="L200" s="1196">
        <f>採点LR2!E50</f>
        <v>0</v>
      </c>
      <c r="M200" s="1197"/>
      <c r="N200" s="1197"/>
      <c r="O200" s="1197"/>
      <c r="P200" s="1197"/>
      <c r="Q200" s="1197"/>
      <c r="R200" s="1198"/>
      <c r="S200"/>
      <c r="T200"/>
      <c r="U200"/>
      <c r="V200"/>
      <c r="W200"/>
      <c r="X200"/>
      <c r="Y200"/>
      <c r="Z200"/>
      <c r="AA200"/>
      <c r="AB200"/>
      <c r="AC200"/>
    </row>
    <row r="201" spans="2:29" ht="13.2" customHeight="1">
      <c r="B201" s="1193" t="str">
        <f>D126</f>
        <v>2.3.2.3 食品系のリサイクル・廃棄物削減</v>
      </c>
      <c r="C201" s="1199"/>
      <c r="D201" s="1199"/>
      <c r="E201" s="1199"/>
      <c r="F201" s="1195">
        <f>採点LR2!E157</f>
        <v>1</v>
      </c>
      <c r="G201" s="1196">
        <f>採点LR2!E158</f>
        <v>0</v>
      </c>
      <c r="H201" s="1196">
        <f>採点LR2!E159</f>
        <v>0</v>
      </c>
      <c r="I201" s="1196" t="str">
        <f>採点LR2!E160</f>
        <v>〇</v>
      </c>
      <c r="J201" s="1196">
        <f>採点LR2!E161</f>
        <v>0</v>
      </c>
      <c r="K201" s="1197"/>
      <c r="L201" s="1197"/>
      <c r="M201" s="1197"/>
      <c r="N201" s="1197"/>
      <c r="O201" s="1197"/>
      <c r="P201" s="1197"/>
      <c r="Q201" s="1197"/>
      <c r="R201" s="1198"/>
      <c r="S201"/>
      <c r="T201"/>
      <c r="U201"/>
      <c r="V201"/>
      <c r="W201"/>
      <c r="X201"/>
      <c r="Y201"/>
      <c r="Z201"/>
      <c r="AA201"/>
      <c r="AB201"/>
      <c r="AC201"/>
    </row>
    <row r="202" spans="2:29" ht="13.2" customHeight="1">
      <c r="B202" s="1188" t="str">
        <f>B127</f>
        <v>LR-3 周辺環境</v>
      </c>
      <c r="C202" s="1189"/>
      <c r="D202" s="1189"/>
      <c r="E202" s="1189"/>
      <c r="F202" s="1189"/>
      <c r="G202" s="1201"/>
      <c r="H202" s="1202"/>
      <c r="I202" s="1201"/>
      <c r="J202" s="1202"/>
      <c r="K202" s="1201"/>
      <c r="L202" s="1202"/>
      <c r="M202" s="1201"/>
      <c r="N202" s="1202"/>
      <c r="O202" s="1201"/>
      <c r="P202" s="1202"/>
      <c r="Q202" s="1201"/>
      <c r="R202" s="1203"/>
      <c r="S202"/>
      <c r="T202"/>
      <c r="U202"/>
      <c r="V202"/>
      <c r="W202"/>
      <c r="X202"/>
      <c r="Y202"/>
      <c r="Z202"/>
      <c r="AA202"/>
      <c r="AB202"/>
      <c r="AC202"/>
    </row>
    <row r="203" spans="2:29" ht="13.2" customHeight="1">
      <c r="B203" s="1193" t="str">
        <f>D141</f>
        <v>3.3.2.3 大気浄化に対する取組み</v>
      </c>
      <c r="C203" s="1199"/>
      <c r="D203" s="1199"/>
      <c r="E203" s="1199"/>
      <c r="F203" s="1195">
        <f>採点LR3!E166</f>
        <v>1</v>
      </c>
      <c r="G203" s="1196" t="str">
        <f>採点LR3!E167</f>
        <v>〇</v>
      </c>
      <c r="H203" s="1196">
        <f>採点LR3!E168</f>
        <v>0</v>
      </c>
      <c r="I203" s="1197"/>
      <c r="J203" s="1197"/>
      <c r="K203" s="1197"/>
      <c r="L203" s="1197"/>
      <c r="M203" s="1197"/>
      <c r="N203" s="1197"/>
      <c r="O203" s="1197"/>
      <c r="P203" s="1197"/>
      <c r="Q203" s="1197"/>
      <c r="R203" s="1198"/>
      <c r="S203"/>
      <c r="T203"/>
      <c r="U203"/>
      <c r="V203"/>
      <c r="W203"/>
      <c r="X203"/>
      <c r="Y203"/>
      <c r="Z203"/>
      <c r="AA203"/>
      <c r="AB203"/>
      <c r="AC203"/>
    </row>
    <row r="204" spans="2:29" ht="13.2" customHeight="1">
      <c r="B204" s="1193" t="str">
        <f>D145</f>
        <v>3.3.3.3 悪臭が対象区域外に及ぼす影響の軽減</v>
      </c>
      <c r="C204" s="1199"/>
      <c r="D204" s="1199"/>
      <c r="E204" s="1199"/>
      <c r="F204" s="1195">
        <f>採点LR3!E198</f>
        <v>1</v>
      </c>
      <c r="G204" s="1196" t="str">
        <f>採点LR3!E199</f>
        <v>〇</v>
      </c>
      <c r="H204" s="1196">
        <f>採点LR3!E200</f>
        <v>0</v>
      </c>
      <c r="I204" s="1197"/>
      <c r="J204" s="1197"/>
      <c r="K204" s="1197"/>
      <c r="L204" s="1197"/>
      <c r="M204" s="1197"/>
      <c r="N204" s="1197"/>
      <c r="O204" s="1197"/>
      <c r="P204" s="1197"/>
      <c r="Q204" s="1197"/>
      <c r="R204" s="1198"/>
      <c r="S204"/>
      <c r="T204"/>
      <c r="U204"/>
      <c r="V204"/>
      <c r="W204"/>
      <c r="X204"/>
      <c r="Y204"/>
      <c r="Z204"/>
      <c r="AA204"/>
      <c r="AB204"/>
      <c r="AC204"/>
    </row>
    <row r="205" spans="2:29" ht="13.2" customHeight="1" thickBot="1">
      <c r="B205" s="1204" t="str">
        <f>D149</f>
        <v>3.3.6.1 照明・広告物等の光害の抑制</v>
      </c>
      <c r="C205" s="1205"/>
      <c r="D205" s="1205"/>
      <c r="E205" s="1205"/>
      <c r="F205" s="1206">
        <f>採点LR3!E230</f>
        <v>6</v>
      </c>
      <c r="G205" s="1207" t="str">
        <f>採点LR3!E231</f>
        <v>〇</v>
      </c>
      <c r="H205" s="1207">
        <f>採点LR3!E232</f>
        <v>0</v>
      </c>
      <c r="I205" s="1207" t="str">
        <f>採点LR3!E233</f>
        <v>〇</v>
      </c>
      <c r="J205" s="1207">
        <f>採点LR3!E234</f>
        <v>0</v>
      </c>
      <c r="K205" s="1207">
        <f>採点LR3!E235</f>
        <v>0</v>
      </c>
      <c r="L205" s="1207" t="str">
        <f>採点LR3!E236</f>
        <v>〇</v>
      </c>
      <c r="M205" s="1207" t="str">
        <f>採点LR3!E237</f>
        <v>〇</v>
      </c>
      <c r="N205" s="1207">
        <f>採点LR3!E238</f>
        <v>0</v>
      </c>
      <c r="O205" s="1207" t="str">
        <f>採点LR3!E239</f>
        <v>〇</v>
      </c>
      <c r="P205" s="1207">
        <f>採点LR3!E240</f>
        <v>0</v>
      </c>
      <c r="Q205" s="1207">
        <f>採点LR3!E241</f>
        <v>0</v>
      </c>
      <c r="R205" s="1208" t="str">
        <f>採点LR3!E242</f>
        <v>〇</v>
      </c>
      <c r="S205"/>
      <c r="T205"/>
      <c r="U205"/>
      <c r="V205"/>
      <c r="W205"/>
      <c r="X205"/>
      <c r="Y205"/>
      <c r="Z205"/>
      <c r="AA205"/>
      <c r="AB205"/>
      <c r="AC205"/>
    </row>
    <row r="206" spans="2:29" ht="6.6" customHeight="1">
      <c r="B206" s="341"/>
      <c r="C206"/>
      <c r="D206"/>
      <c r="E206"/>
      <c r="F206"/>
      <c r="G206"/>
      <c r="H206"/>
      <c r="I206"/>
      <c r="J206"/>
      <c r="K206"/>
      <c r="L206"/>
      <c r="M206"/>
      <c r="N206"/>
      <c r="O206"/>
      <c r="P206"/>
      <c r="Q206"/>
      <c r="R206"/>
      <c r="S206"/>
      <c r="T206"/>
      <c r="U206"/>
      <c r="V206"/>
      <c r="W206"/>
      <c r="X206"/>
      <c r="Y206"/>
      <c r="Z206"/>
      <c r="AA206"/>
      <c r="AB206"/>
      <c r="AC206"/>
    </row>
    <row r="207" spans="2:29">
      <c r="S207"/>
      <c r="T207"/>
      <c r="U207"/>
      <c r="V207"/>
      <c r="W207"/>
      <c r="X207"/>
      <c r="Y207"/>
      <c r="Z207"/>
      <c r="AA207"/>
      <c r="AB207"/>
      <c r="AC207"/>
    </row>
  </sheetData>
  <sheetProtection algorithmName="SHA-512" hashValue="aQbeO2OI1Vc/4r0SeYXken/7EzASqSuwgmAJXWQh2tPy5xluOdSzyC0MXFZPlnPfReeJ7Vp8IZUfrwpdXEVdbQ==" saltValue="Pg/tsqHX5OLMf4C9pbTS8g==" spinCount="100000" sheet="1" formatCells="0"/>
  <mergeCells count="48">
    <mergeCell ref="Y136:Y150"/>
    <mergeCell ref="Y129:Y135"/>
    <mergeCell ref="X127:X150"/>
    <mergeCell ref="Z130:Z132"/>
    <mergeCell ref="Z133:Z135"/>
    <mergeCell ref="Z138:Z141"/>
    <mergeCell ref="Z142:Z145"/>
    <mergeCell ref="Z148:Z150"/>
    <mergeCell ref="Z123:Z126"/>
    <mergeCell ref="Y119:Y126"/>
    <mergeCell ref="X107:X126"/>
    <mergeCell ref="Y104:Y106"/>
    <mergeCell ref="X100:X106"/>
    <mergeCell ref="Z116:Z118"/>
    <mergeCell ref="Y111:Y118"/>
    <mergeCell ref="Y108:Y110"/>
    <mergeCell ref="Z120:Z122"/>
    <mergeCell ref="X74:X98"/>
    <mergeCell ref="Z112:Z115"/>
    <mergeCell ref="Z76:Z79"/>
    <mergeCell ref="Z80:Z84"/>
    <mergeCell ref="Z86:Z88"/>
    <mergeCell ref="Z91:Z93"/>
    <mergeCell ref="Z94:Z96"/>
    <mergeCell ref="AA17:AA20"/>
    <mergeCell ref="Z15:Z24"/>
    <mergeCell ref="AA21:AA23"/>
    <mergeCell ref="Y90:Y97"/>
    <mergeCell ref="Y85:Y89"/>
    <mergeCell ref="Y75:Y84"/>
    <mergeCell ref="AA47:AA49"/>
    <mergeCell ref="Z44:Z49"/>
    <mergeCell ref="Y42:Y49"/>
    <mergeCell ref="Y50:Y54"/>
    <mergeCell ref="AA28:AA30"/>
    <mergeCell ref="Z26:Z30"/>
    <mergeCell ref="Z31:Z34"/>
    <mergeCell ref="Z35:Z38"/>
    <mergeCell ref="Z61:Z64"/>
    <mergeCell ref="Y60:Y67"/>
    <mergeCell ref="Y68:Y71"/>
    <mergeCell ref="Z10:Z14"/>
    <mergeCell ref="I6:O6"/>
    <mergeCell ref="Y9:Y24"/>
    <mergeCell ref="X8:X40"/>
    <mergeCell ref="Y25:Y38"/>
    <mergeCell ref="X41:X73"/>
    <mergeCell ref="Y55:Y59"/>
  </mergeCells>
  <phoneticPr fontId="3"/>
  <dataValidations xWindow="895" yWindow="482" count="1">
    <dataValidation allowBlank="1" showErrorMessage="1" sqref="P108:Q126 P42:Q73 P101:Q106 P75:P99 Q75:Q98 P128:Q150 P9:Q40 T9:U98 V151:V171 U99:U171 T100:T171" xr:uid="{00000000-0002-0000-0300-000000000000}"/>
  </dataValidations>
  <printOptions horizontalCentered="1"/>
  <pageMargins left="0.78740157480314965" right="0.59055118110236227" top="0.78740157480314965" bottom="0.59055118110236227" header="0.31496062992125984" footer="0.31496062992125984"/>
  <pageSetup paperSize="9" scale="68" fitToHeight="0" orientation="portrait" horizontalDpi="4294967293" verticalDpi="4294967293" r:id="rId1"/>
  <headerFooter alignWithMargins="0"/>
  <rowBreaks count="2" manualBreakCount="2">
    <brk id="84" max="18" man="1"/>
    <brk id="172" max="1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4"/>
  <sheetViews>
    <sheetView showGridLines="0" zoomScaleNormal="100" workbookViewId="0">
      <selection activeCell="C13" sqref="C13:D13"/>
    </sheetView>
  </sheetViews>
  <sheetFormatPr defaultColWidth="0" defaultRowHeight="13.2" zeroHeight="1"/>
  <cols>
    <col min="1" max="1" width="0.88671875" style="97" customWidth="1"/>
    <col min="2" max="2" width="17.33203125" style="97" customWidth="1"/>
    <col min="3" max="3" width="31.77734375" style="160" customWidth="1"/>
    <col min="4" max="4" width="14.21875" style="97" customWidth="1"/>
    <col min="5" max="7" width="13.109375" style="97" customWidth="1"/>
    <col min="8" max="8" width="1.44140625" style="97" customWidth="1"/>
    <col min="9" max="16384" width="9" style="97" hidden="1"/>
  </cols>
  <sheetData>
    <row r="1" spans="2:8" ht="21">
      <c r="B1" s="139" t="s">
        <v>312</v>
      </c>
      <c r="C1" s="140"/>
      <c r="D1" s="141"/>
      <c r="G1" s="142"/>
    </row>
    <row r="2" spans="2:8" s="138" customFormat="1" ht="21" customHeight="1">
      <c r="B2" s="143" t="s">
        <v>5</v>
      </c>
      <c r="C2" s="144" t="str">
        <f>メイン!C10</f>
        <v>Aプロジェクト</v>
      </c>
      <c r="D2" s="145" t="s">
        <v>313</v>
      </c>
      <c r="E2" s="144" t="str">
        <f>IF(メイン!C42=0,"",メイン!C42)</f>
        <v>■■　■■</v>
      </c>
      <c r="F2" s="144" t="str">
        <f>IF(メイン!D42=0,"",メイン!D42)</f>
        <v>■■　■■</v>
      </c>
      <c r="G2" s="144" t="str">
        <f>IF(メイン!E42=0,"",メイン!E42)</f>
        <v>■■　■■</v>
      </c>
      <c r="H2" s="97"/>
    </row>
    <row r="3" spans="2:8" s="138" customFormat="1" ht="18" customHeight="1">
      <c r="B3" s="146" t="s">
        <v>314</v>
      </c>
      <c r="C3" s="147" t="str">
        <f>メイン!C40</f>
        <v>2023/X/X</v>
      </c>
      <c r="D3" s="148"/>
      <c r="E3" s="144" t="str">
        <f>IF(メイン!C44=0,"",メイン!C44)</f>
        <v>■■　■■</v>
      </c>
      <c r="F3" s="144" t="str">
        <f>IF(メイン!D44=0,"",メイン!D44)</f>
        <v>■■　■■</v>
      </c>
      <c r="G3" s="144" t="str">
        <f>IF(メイン!E44=0,"",メイン!E44)</f>
        <v>■■　■■</v>
      </c>
      <c r="H3" s="97"/>
    </row>
    <row r="4" spans="2:8" s="138" customFormat="1" ht="8.25" customHeight="1" thickBot="1">
      <c r="B4" s="149"/>
      <c r="C4" s="150"/>
      <c r="D4" s="150"/>
      <c r="E4" s="151"/>
      <c r="F4" s="151"/>
      <c r="G4" s="152"/>
      <c r="H4" s="97"/>
    </row>
    <row r="5" spans="2:8" ht="21" customHeight="1" thickBot="1">
      <c r="B5" s="153"/>
      <c r="C5" s="154" t="s">
        <v>315</v>
      </c>
      <c r="D5" s="155"/>
      <c r="E5" s="1823" t="s">
        <v>316</v>
      </c>
      <c r="F5" s="1824"/>
      <c r="G5" s="1825"/>
    </row>
    <row r="6" spans="2:8" ht="71.25" customHeight="1" thickTop="1">
      <c r="B6" s="156" t="s">
        <v>317</v>
      </c>
      <c r="C6" s="1835"/>
      <c r="D6" s="1835"/>
      <c r="E6" s="1826"/>
      <c r="F6" s="1827"/>
      <c r="G6" s="1828"/>
    </row>
    <row r="7" spans="2:8" ht="71.25" customHeight="1">
      <c r="B7" s="157" t="str">
        <f>スコア!B8</f>
        <v>Q-1 環境</v>
      </c>
      <c r="C7" s="1836"/>
      <c r="D7" s="1836"/>
      <c r="E7" s="1829"/>
      <c r="F7" s="1830"/>
      <c r="G7" s="1831"/>
    </row>
    <row r="8" spans="2:8" ht="71.25" customHeight="1">
      <c r="B8" s="157" t="str">
        <f>スコア!B41</f>
        <v>Q-2 社会</v>
      </c>
      <c r="C8" s="1836"/>
      <c r="D8" s="1836"/>
      <c r="E8" s="1829"/>
      <c r="F8" s="1830"/>
      <c r="G8" s="1831"/>
    </row>
    <row r="9" spans="2:8" ht="71.25" customHeight="1">
      <c r="B9" s="157" t="str">
        <f>スコア!B74</f>
        <v>Q-3 経済</v>
      </c>
      <c r="C9" s="1836"/>
      <c r="D9" s="1836"/>
      <c r="E9" s="1826"/>
      <c r="F9" s="1827"/>
      <c r="G9" s="1843"/>
    </row>
    <row r="10" spans="2:8" ht="71.25" customHeight="1">
      <c r="B10" s="157" t="str">
        <f>スコア!B100</f>
        <v>LR-1 エネルギー</v>
      </c>
      <c r="C10" s="1837"/>
      <c r="D10" s="1837"/>
      <c r="E10" s="1829"/>
      <c r="F10" s="1830"/>
      <c r="G10" s="1831"/>
    </row>
    <row r="11" spans="2:8" ht="71.25" customHeight="1">
      <c r="B11" s="157" t="str">
        <f>スコア!B107</f>
        <v>LR-2 資源</v>
      </c>
      <c r="C11" s="1836"/>
      <c r="D11" s="1836"/>
      <c r="E11" s="1826"/>
      <c r="F11" s="1827"/>
      <c r="G11" s="1843"/>
    </row>
    <row r="12" spans="2:8" ht="71.25" customHeight="1" thickBot="1">
      <c r="B12" s="158" t="str">
        <f>スコア!B127</f>
        <v>LR-3 周辺環境</v>
      </c>
      <c r="C12" s="1839"/>
      <c r="D12" s="1839"/>
      <c r="E12" s="1832"/>
      <c r="F12" s="1833"/>
      <c r="G12" s="1834"/>
    </row>
    <row r="13" spans="2:8" ht="122.25" customHeight="1" thickTop="1" thickBot="1">
      <c r="B13" s="159" t="s">
        <v>38</v>
      </c>
      <c r="C13" s="1838"/>
      <c r="D13" s="1838"/>
      <c r="E13" s="1840"/>
      <c r="F13" s="1841"/>
      <c r="G13" s="1842"/>
    </row>
    <row r="14" spans="2:8"/>
  </sheetData>
  <sheetProtection algorithmName="SHA-512" hashValue="WacsLMNUUshsn+UwWJkPTWlkMOIwPHRm65dkMIF4qpWgyKj0T8WUrecQcP0MmYPKO6ug7GXbyCTpv0U0RCK5Mw==" saltValue="kEpfrDt4lIz8kg2BCuh0qw==" spinCount="100000" sheet="1" objects="1" formatCells="0"/>
  <mergeCells count="17">
    <mergeCell ref="C13:D13"/>
    <mergeCell ref="C12:D12"/>
    <mergeCell ref="E13:G13"/>
    <mergeCell ref="E8:G8"/>
    <mergeCell ref="E9:G9"/>
    <mergeCell ref="E10:G10"/>
    <mergeCell ref="E11:G11"/>
    <mergeCell ref="E5:G5"/>
    <mergeCell ref="E6:G6"/>
    <mergeCell ref="E7:G7"/>
    <mergeCell ref="E12:G12"/>
    <mergeCell ref="C6:D6"/>
    <mergeCell ref="C7:D7"/>
    <mergeCell ref="C8:D8"/>
    <mergeCell ref="C9:D9"/>
    <mergeCell ref="C10:D10"/>
    <mergeCell ref="C11:D11"/>
  </mergeCells>
  <phoneticPr fontId="3"/>
  <pageMargins left="0.75" right="0.75" top="1" bottom="1" header="0.51200000000000001" footer="0.51200000000000001"/>
  <pageSetup paperSize="9" scale="85" orientation="portrait"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autoPageBreaks="0" fitToPage="1"/>
  </sheetPr>
  <dimension ref="A1:AA232"/>
  <sheetViews>
    <sheetView showGridLines="0" zoomScaleNormal="100" zoomScaleSheetLayoutView="85" workbookViewId="0">
      <selection activeCell="D15" sqref="D15"/>
    </sheetView>
  </sheetViews>
  <sheetFormatPr defaultColWidth="8.88671875" defaultRowHeight="14.4"/>
  <cols>
    <col min="1" max="1" width="0.77734375" style="97" customWidth="1"/>
    <col min="2" max="2" width="2" style="97" customWidth="1"/>
    <col min="3" max="3" width="2.88671875" style="51" customWidth="1"/>
    <col min="4" max="4" width="14.21875" style="97" customWidth="1"/>
    <col min="5" max="5" width="11.77734375" style="97" customWidth="1"/>
    <col min="6" max="7" width="9.88671875" style="97" customWidth="1"/>
    <col min="8" max="12" width="10.88671875" style="97" customWidth="1"/>
    <col min="13" max="13" width="2.44140625" style="97" customWidth="1"/>
    <col min="14" max="19" width="6.21875" style="165" hidden="1" customWidth="1"/>
    <col min="20" max="20" width="6.21875" style="165" customWidth="1"/>
    <col min="21" max="21" width="7.44140625" style="165" customWidth="1"/>
    <col min="22" max="25" width="8.88671875" style="165" customWidth="1"/>
    <col min="26" max="16384" width="8.88671875" style="97"/>
  </cols>
  <sheetData>
    <row r="1" spans="1:27" customFormat="1" ht="13.2">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141"/>
    </row>
    <row r="6" spans="1:27" customFormat="1" ht="13.8" hidden="1">
      <c r="N6" s="451">
        <v>5</v>
      </c>
      <c r="O6" s="451" t="s">
        <v>329</v>
      </c>
      <c r="P6" s="451" t="s">
        <v>330</v>
      </c>
    </row>
    <row r="7" spans="1:27" customFormat="1" ht="13.2" hidden="1">
      <c r="G7" s="97"/>
    </row>
    <row r="8" spans="1:27" customFormat="1" ht="13.2" hidden="1"/>
    <row r="9" spans="1:27" s="8" customFormat="1" ht="18" thickBot="1">
      <c r="A9" s="672"/>
      <c r="B9" s="667" t="s">
        <v>1080</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1" customFormat="1" ht="15.6">
      <c r="A12" s="121"/>
      <c r="B12" s="668" t="s">
        <v>333</v>
      </c>
      <c r="C12" s="668"/>
      <c r="D12" s="674"/>
      <c r="E12" s="121"/>
      <c r="F12" s="81"/>
      <c r="G12"/>
      <c r="H12"/>
      <c r="I12"/>
      <c r="J12"/>
      <c r="K12"/>
      <c r="L12"/>
      <c r="M12"/>
      <c r="N12"/>
      <c r="O12"/>
      <c r="P12"/>
      <c r="Q12"/>
      <c r="R12"/>
      <c r="S12"/>
      <c r="T12" s="97"/>
    </row>
    <row r="13" spans="1:27" s="51" customFormat="1" ht="15.6">
      <c r="A13" s="121"/>
      <c r="B13" s="121"/>
      <c r="C13" s="668" t="s">
        <v>334</v>
      </c>
      <c r="D13" s="674"/>
      <c r="E13" s="121"/>
      <c r="F13" s="81"/>
      <c r="G13"/>
      <c r="H13"/>
      <c r="I13"/>
      <c r="J13"/>
      <c r="K13"/>
      <c r="L13"/>
      <c r="M13"/>
      <c r="N13"/>
      <c r="O13"/>
      <c r="P13"/>
      <c r="Q13"/>
      <c r="R13"/>
      <c r="S13"/>
      <c r="T13" s="97"/>
    </row>
    <row r="14" spans="1:27" s="50" customFormat="1" ht="16.2" thickBot="1">
      <c r="A14" s="666"/>
      <c r="B14" s="668"/>
      <c r="C14" s="668"/>
      <c r="D14" s="164" t="s">
        <v>825</v>
      </c>
      <c r="E14" s="666"/>
      <c r="F14" s="677"/>
      <c r="G14" s="677"/>
      <c r="H14" s="677"/>
      <c r="I14" s="462"/>
      <c r="J14" s="666"/>
      <c r="K14" s="666"/>
      <c r="L14" s="741" t="s">
        <v>1229</v>
      </c>
      <c r="M14" s="666"/>
      <c r="N14" s="63"/>
      <c r="O14" s="63"/>
      <c r="P14" s="63"/>
      <c r="Q14"/>
    </row>
    <row r="15" spans="1:27" s="50" customFormat="1" ht="16.2" thickBot="1">
      <c r="A15" s="320"/>
      <c r="B15" s="666"/>
      <c r="C15" s="666"/>
      <c r="D15" s="740">
        <v>0</v>
      </c>
      <c r="E15" s="456" t="s">
        <v>1227</v>
      </c>
      <c r="F15" s="456"/>
      <c r="G15" s="456"/>
      <c r="H15" s="456"/>
      <c r="I15" s="456"/>
      <c r="J15" s="456"/>
      <c r="K15" s="456"/>
      <c r="L15" s="457"/>
      <c r="M15" s="63"/>
      <c r="N15" s="451" t="s">
        <v>335</v>
      </c>
      <c r="O15" s="451" t="s">
        <v>336</v>
      </c>
    </row>
    <row r="16" spans="1:27" s="50" customFormat="1" ht="15.6">
      <c r="A16" s="320"/>
      <c r="B16" s="666"/>
      <c r="C16" s="666"/>
      <c r="D16" s="438" t="str">
        <f>IF(ROUNDDOWN(D15,0)=$N$2,$P$2,$O$2)</f>
        <v>　レベル　1</v>
      </c>
      <c r="E16" s="463" t="s">
        <v>824</v>
      </c>
      <c r="F16" s="503"/>
      <c r="G16" s="503"/>
      <c r="H16" s="503"/>
      <c r="I16" s="503"/>
      <c r="J16" s="503"/>
      <c r="K16" s="503"/>
      <c r="L16" s="510"/>
      <c r="M16" s="666"/>
      <c r="N16" s="452">
        <v>1</v>
      </c>
      <c r="O16" s="453"/>
      <c r="P16" s="63"/>
    </row>
    <row r="17" spans="1:16" s="50" customFormat="1" ht="15.6">
      <c r="A17" s="320"/>
      <c r="B17" s="666"/>
      <c r="C17" s="666"/>
      <c r="D17" s="439" t="str">
        <f>IF(ROUNDDOWN(D15,0)=$N$3,$P$3,$O$3)</f>
        <v>　レベル　2</v>
      </c>
      <c r="E17" s="466" t="s">
        <v>337</v>
      </c>
      <c r="F17" s="504"/>
      <c r="G17" s="504"/>
      <c r="H17" s="504"/>
      <c r="I17" s="504"/>
      <c r="J17" s="504"/>
      <c r="K17" s="504"/>
      <c r="L17" s="511"/>
      <c r="M17" s="63"/>
      <c r="N17" s="452" t="s">
        <v>311</v>
      </c>
      <c r="O17" s="453"/>
      <c r="P17" s="63"/>
    </row>
    <row r="18" spans="1:16" s="50" customFormat="1" ht="15.6">
      <c r="A18" s="320"/>
      <c r="B18" s="666"/>
      <c r="C18" s="666"/>
      <c r="D18" s="439" t="str">
        <f>IF(ROUNDDOWN(D15,0)=$N$4,$P$4,$O$4)</f>
        <v>　レベル　3</v>
      </c>
      <c r="E18" s="466" t="s">
        <v>1307</v>
      </c>
      <c r="F18" s="504"/>
      <c r="G18" s="504"/>
      <c r="H18" s="504"/>
      <c r="I18" s="504"/>
      <c r="J18" s="504"/>
      <c r="K18" s="504"/>
      <c r="L18" s="511"/>
      <c r="M18" s="666"/>
      <c r="N18" s="452">
        <v>3</v>
      </c>
      <c r="O18" s="453"/>
      <c r="P18" s="63"/>
    </row>
    <row r="19" spans="1:16" s="50" customFormat="1" ht="15.6">
      <c r="A19" s="320"/>
      <c r="B19" s="666"/>
      <c r="C19" s="666"/>
      <c r="D19" s="439" t="str">
        <f>IF(ROUNDDOWN(D15,0)=$N$5,$P$5,$O$5)</f>
        <v>　レベル　4</v>
      </c>
      <c r="E19" s="469" t="s">
        <v>338</v>
      </c>
      <c r="F19" s="505"/>
      <c r="G19" s="505"/>
      <c r="H19" s="505"/>
      <c r="I19" s="505"/>
      <c r="J19" s="505"/>
      <c r="K19" s="505"/>
      <c r="L19" s="512"/>
      <c r="M19" s="63"/>
      <c r="N19" s="452">
        <v>4</v>
      </c>
      <c r="O19" s="453"/>
      <c r="P19" s="63"/>
    </row>
    <row r="20" spans="1:16" s="50" customFormat="1" ht="15.6">
      <c r="A20" s="320"/>
      <c r="B20" s="666"/>
      <c r="C20" s="666"/>
      <c r="D20" s="440" t="str">
        <f>IF(ROUNDDOWN(D15,0)=$N$6,$P$6,$O$6)</f>
        <v>　レベル　5</v>
      </c>
      <c r="E20" s="472" t="s">
        <v>339</v>
      </c>
      <c r="F20" s="483"/>
      <c r="G20" s="483"/>
      <c r="H20" s="483"/>
      <c r="I20" s="483"/>
      <c r="J20" s="483"/>
      <c r="K20" s="483"/>
      <c r="L20" s="513"/>
      <c r="M20" s="666"/>
      <c r="N20" s="452">
        <v>5</v>
      </c>
      <c r="O20" s="453"/>
      <c r="P20" s="63"/>
    </row>
    <row r="21" spans="1:16" s="50" customFormat="1" ht="15.6">
      <c r="A21" s="320"/>
      <c r="B21" s="666"/>
      <c r="C21" s="666"/>
      <c r="D21" s="441" t="s">
        <v>340</v>
      </c>
      <c r="E21" s="1010"/>
      <c r="F21" s="497"/>
      <c r="G21" s="497"/>
      <c r="H21" s="681"/>
      <c r="I21" s="751" t="s">
        <v>713</v>
      </c>
      <c r="J21" s="666"/>
      <c r="K21" s="666"/>
      <c r="L21" s="666"/>
      <c r="M21" s="63"/>
      <c r="N21" s="454">
        <v>0</v>
      </c>
      <c r="O21" s="455"/>
      <c r="P21" s="63"/>
    </row>
    <row r="22" spans="1:16" s="50" customFormat="1" ht="13.8">
      <c r="A22" s="320"/>
      <c r="B22" s="320"/>
      <c r="C22" s="320"/>
      <c r="D22" s="320"/>
      <c r="E22" s="320"/>
      <c r="F22" s="320"/>
      <c r="G22" s="320"/>
      <c r="H22" s="320"/>
      <c r="I22" s="320"/>
      <c r="J22" s="320"/>
      <c r="K22" s="320"/>
      <c r="L22" s="320"/>
      <c r="M22" s="320"/>
      <c r="N22" s="814"/>
      <c r="O22" s="63"/>
      <c r="P22" s="63"/>
    </row>
    <row r="23" spans="1:16" s="50" customFormat="1" ht="16.2" thickBot="1">
      <c r="A23" s="666"/>
      <c r="B23" s="164"/>
      <c r="C23" s="670"/>
      <c r="D23" s="164" t="s">
        <v>826</v>
      </c>
      <c r="E23" s="666"/>
      <c r="F23" s="677"/>
      <c r="G23" s="677"/>
      <c r="H23" s="677"/>
      <c r="I23" s="462"/>
      <c r="J23" s="666"/>
      <c r="K23" s="666"/>
      <c r="L23" s="741" t="s">
        <v>1226</v>
      </c>
      <c r="M23" s="666"/>
      <c r="N23" s="63"/>
      <c r="O23" s="63"/>
      <c r="P23" s="63"/>
    </row>
    <row r="24" spans="1:16" s="50" customFormat="1" ht="16.2" thickBot="1">
      <c r="A24" s="320"/>
      <c r="B24" s="666"/>
      <c r="C24" s="666"/>
      <c r="D24" s="437">
        <v>3</v>
      </c>
      <c r="E24" s="456" t="s">
        <v>1227</v>
      </c>
      <c r="F24" s="456"/>
      <c r="G24" s="456"/>
      <c r="H24" s="456"/>
      <c r="I24" s="456"/>
      <c r="J24" s="456"/>
      <c r="K24" s="456"/>
      <c r="L24" s="457"/>
      <c r="M24" s="63"/>
      <c r="N24" s="451" t="s">
        <v>335</v>
      </c>
      <c r="O24" s="451" t="s">
        <v>336</v>
      </c>
      <c r="P24" s="63"/>
    </row>
    <row r="25" spans="1:16" s="50" customFormat="1" ht="15.6">
      <c r="A25" s="320"/>
      <c r="B25" s="666"/>
      <c r="C25" s="666"/>
      <c r="D25" s="438" t="str">
        <f>IF(ROUNDDOWN(D24,0)=$N$2,$P$2,$O$2)</f>
        <v>　レベル　1</v>
      </c>
      <c r="E25" s="463" t="s">
        <v>1310</v>
      </c>
      <c r="F25" s="503"/>
      <c r="G25" s="503"/>
      <c r="H25" s="503"/>
      <c r="I25" s="503"/>
      <c r="J25" s="503"/>
      <c r="K25" s="503"/>
      <c r="L25" s="510"/>
      <c r="M25" s="666"/>
      <c r="N25" s="452">
        <v>1</v>
      </c>
      <c r="O25" s="453"/>
      <c r="P25" s="63"/>
    </row>
    <row r="26" spans="1:16" s="50" customFormat="1" ht="15.6">
      <c r="A26" s="320"/>
      <c r="B26" s="666"/>
      <c r="C26" s="666"/>
      <c r="D26" s="439" t="str">
        <f>IF(ROUNDDOWN(D24,0)=$N$3,$P$3,$O$3)</f>
        <v>　レベル　2</v>
      </c>
      <c r="E26" s="466" t="s">
        <v>337</v>
      </c>
      <c r="F26" s="504"/>
      <c r="G26" s="504"/>
      <c r="H26" s="504"/>
      <c r="I26" s="504"/>
      <c r="J26" s="504"/>
      <c r="K26" s="504"/>
      <c r="L26" s="511"/>
      <c r="M26" s="63"/>
      <c r="N26" s="452" t="s">
        <v>311</v>
      </c>
      <c r="O26" s="453"/>
      <c r="P26" s="63"/>
    </row>
    <row r="27" spans="1:16" s="50" customFormat="1" ht="15.6">
      <c r="A27" s="320"/>
      <c r="B27" s="666"/>
      <c r="C27" s="666"/>
      <c r="D27" s="439" t="str">
        <f>IF(ROUNDDOWN(D24,0)=$N$4,$P$4,$O$4)</f>
        <v>■レベル　3</v>
      </c>
      <c r="E27" s="466" t="s">
        <v>1311</v>
      </c>
      <c r="F27" s="504"/>
      <c r="G27" s="504"/>
      <c r="H27" s="504"/>
      <c r="I27" s="504"/>
      <c r="J27" s="504"/>
      <c r="K27" s="504"/>
      <c r="L27" s="511"/>
      <c r="M27" s="666"/>
      <c r="N27" s="452">
        <v>3</v>
      </c>
      <c r="O27" s="453"/>
      <c r="P27" s="63"/>
    </row>
    <row r="28" spans="1:16" s="50" customFormat="1" ht="15.6">
      <c r="A28" s="320"/>
      <c r="B28" s="666"/>
      <c r="C28" s="666"/>
      <c r="D28" s="439" t="str">
        <f>IF(ROUNDDOWN(D24,0)=$N$5,$P$5,$O$5)</f>
        <v>　レベル　4</v>
      </c>
      <c r="E28" s="469" t="s">
        <v>1308</v>
      </c>
      <c r="F28" s="505"/>
      <c r="G28" s="505"/>
      <c r="H28" s="505"/>
      <c r="I28" s="505"/>
      <c r="J28" s="505"/>
      <c r="K28" s="505"/>
      <c r="L28" s="512"/>
      <c r="M28" s="63"/>
      <c r="N28" s="452">
        <v>4</v>
      </c>
      <c r="O28" s="453"/>
      <c r="P28" s="63"/>
    </row>
    <row r="29" spans="1:16" s="50" customFormat="1" ht="15.6">
      <c r="A29" s="320"/>
      <c r="B29" s="666"/>
      <c r="C29" s="666"/>
      <c r="D29" s="440" t="str">
        <f>IF(ROUNDDOWN(D24,0)=$N$6,$P$6,$O$6)</f>
        <v>　レベル　5</v>
      </c>
      <c r="E29" s="472" t="s">
        <v>1309</v>
      </c>
      <c r="F29" s="483"/>
      <c r="G29" s="483"/>
      <c r="H29" s="483"/>
      <c r="I29" s="483"/>
      <c r="J29" s="483"/>
      <c r="K29" s="483"/>
      <c r="L29" s="513"/>
      <c r="M29" s="666"/>
      <c r="N29" s="452">
        <v>5</v>
      </c>
      <c r="O29" s="453"/>
      <c r="P29" s="63"/>
    </row>
    <row r="30" spans="1:16" s="50" customFormat="1" ht="15.6">
      <c r="A30" s="666"/>
      <c r="B30" s="164"/>
      <c r="C30" s="670"/>
      <c r="D30" s="441" t="s">
        <v>340</v>
      </c>
      <c r="E30" s="1010"/>
      <c r="F30" s="497"/>
      <c r="G30" s="497"/>
      <c r="H30" s="681"/>
      <c r="I30" s="751" t="s">
        <v>713</v>
      </c>
      <c r="J30" s="666"/>
      <c r="K30" s="666"/>
      <c r="L30" s="666"/>
      <c r="M30" s="63"/>
      <c r="N30" s="454">
        <v>0</v>
      </c>
      <c r="O30" s="455"/>
      <c r="P30" s="63"/>
    </row>
    <row r="31" spans="1:16" s="50" customFormat="1" ht="15.6">
      <c r="A31" s="666"/>
      <c r="B31" s="164"/>
      <c r="C31" s="164"/>
      <c r="D31" s="164"/>
      <c r="E31" s="164"/>
      <c r="F31" s="164"/>
      <c r="G31" s="164"/>
      <c r="H31" s="164"/>
      <c r="I31" s="164"/>
      <c r="J31" s="164"/>
      <c r="K31" s="164"/>
      <c r="L31" s="164"/>
      <c r="M31" s="164"/>
      <c r="N31" s="164"/>
      <c r="O31" s="63"/>
      <c r="P31" s="63"/>
    </row>
    <row r="32" spans="1:16" s="50" customFormat="1" ht="16.2" thickBot="1">
      <c r="A32" s="666"/>
      <c r="B32" s="164"/>
      <c r="C32" s="670"/>
      <c r="D32" s="164" t="s">
        <v>827</v>
      </c>
      <c r="E32" s="666"/>
      <c r="F32" s="677"/>
      <c r="G32" s="677"/>
      <c r="H32" s="677"/>
      <c r="I32" s="462"/>
      <c r="J32" s="666"/>
      <c r="K32" s="666"/>
      <c r="L32" s="741" t="s">
        <v>758</v>
      </c>
      <c r="M32" s="666"/>
      <c r="N32" s="63"/>
      <c r="O32" s="63"/>
      <c r="P32" s="63"/>
    </row>
    <row r="33" spans="1:16" s="50" customFormat="1" ht="16.2" thickBot="1">
      <c r="A33" s="320"/>
      <c r="B33" s="666"/>
      <c r="C33" s="666"/>
      <c r="D33" s="437">
        <v>3</v>
      </c>
      <c r="E33" s="456" t="s">
        <v>1227</v>
      </c>
      <c r="F33" s="456"/>
      <c r="G33" s="456"/>
      <c r="H33" s="456"/>
      <c r="I33" s="456"/>
      <c r="J33" s="456"/>
      <c r="K33" s="456"/>
      <c r="L33" s="457"/>
      <c r="M33" s="63"/>
      <c r="N33" s="451" t="s">
        <v>335</v>
      </c>
      <c r="O33" s="451" t="s">
        <v>336</v>
      </c>
      <c r="P33" s="63"/>
    </row>
    <row r="34" spans="1:16" s="50" customFormat="1" ht="15.6">
      <c r="A34" s="320"/>
      <c r="B34" s="666"/>
      <c r="C34" s="666"/>
      <c r="D34" s="438" t="str">
        <f>IF(ROUNDDOWN(D33,0)=$N$2,$P$2,$O$2)</f>
        <v>　レベル　1</v>
      </c>
      <c r="E34" s="463" t="s">
        <v>1314</v>
      </c>
      <c r="F34" s="503"/>
      <c r="G34" s="503"/>
      <c r="H34" s="503"/>
      <c r="I34" s="503"/>
      <c r="J34" s="503"/>
      <c r="K34" s="503"/>
      <c r="L34" s="510"/>
      <c r="M34" s="666"/>
      <c r="N34" s="452">
        <v>1</v>
      </c>
      <c r="O34" s="453"/>
      <c r="P34" s="63"/>
    </row>
    <row r="35" spans="1:16" s="50" customFormat="1" ht="15.6">
      <c r="A35" s="320"/>
      <c r="B35" s="666"/>
      <c r="C35" s="666"/>
      <c r="D35" s="439" t="str">
        <f>IF(ROUNDDOWN(D33,0)=$N$3,$P$3,$O$3)</f>
        <v>　レベル　2</v>
      </c>
      <c r="E35" s="466" t="s">
        <v>337</v>
      </c>
      <c r="F35" s="504"/>
      <c r="G35" s="504"/>
      <c r="H35" s="504"/>
      <c r="I35" s="504"/>
      <c r="J35" s="504"/>
      <c r="K35" s="504"/>
      <c r="L35" s="511"/>
      <c r="M35" s="63"/>
      <c r="N35" s="452" t="s">
        <v>311</v>
      </c>
      <c r="O35" s="453"/>
      <c r="P35" s="63"/>
    </row>
    <row r="36" spans="1:16" s="50" customFormat="1" ht="15.6">
      <c r="A36" s="320"/>
      <c r="B36" s="666"/>
      <c r="C36" s="666"/>
      <c r="D36" s="439" t="str">
        <f>IF(ROUNDDOWN(D33,0)=$N$4,$P$4,$O$4)</f>
        <v>■レベル　3</v>
      </c>
      <c r="E36" s="466" t="s">
        <v>1315</v>
      </c>
      <c r="F36" s="504"/>
      <c r="G36" s="504"/>
      <c r="H36" s="504"/>
      <c r="I36" s="504"/>
      <c r="J36" s="504"/>
      <c r="K36" s="504"/>
      <c r="L36" s="511"/>
      <c r="M36" s="666"/>
      <c r="N36" s="452">
        <v>3</v>
      </c>
      <c r="O36" s="453"/>
      <c r="P36" s="63"/>
    </row>
    <row r="37" spans="1:16" s="50" customFormat="1" ht="15.6">
      <c r="A37" s="320"/>
      <c r="B37" s="666"/>
      <c r="C37" s="666"/>
      <c r="D37" s="439" t="str">
        <f>IF(ROUNDDOWN(D33,0)=$N$5,$P$5,$O$5)</f>
        <v>　レベル　4</v>
      </c>
      <c r="E37" s="469" t="s">
        <v>1312</v>
      </c>
      <c r="F37" s="505"/>
      <c r="G37" s="505"/>
      <c r="H37" s="505"/>
      <c r="I37" s="505"/>
      <c r="J37" s="505"/>
      <c r="K37" s="505"/>
      <c r="L37" s="512"/>
      <c r="M37" s="63"/>
      <c r="N37" s="452">
        <v>4</v>
      </c>
      <c r="O37" s="453"/>
      <c r="P37" s="63"/>
    </row>
    <row r="38" spans="1:16" s="50" customFormat="1" ht="15.6">
      <c r="A38" s="320"/>
      <c r="B38" s="666"/>
      <c r="C38" s="666"/>
      <c r="D38" s="440" t="str">
        <f>IF(ROUNDDOWN(D33,0)=$N$6,$P$6,$O$6)</f>
        <v>　レベル　5</v>
      </c>
      <c r="E38" s="472" t="s">
        <v>1313</v>
      </c>
      <c r="F38" s="483"/>
      <c r="G38" s="483"/>
      <c r="H38" s="483"/>
      <c r="I38" s="483"/>
      <c r="J38" s="483"/>
      <c r="K38" s="483"/>
      <c r="L38" s="513"/>
      <c r="M38" s="666"/>
      <c r="N38" s="452">
        <v>5</v>
      </c>
      <c r="O38" s="453"/>
      <c r="P38" s="63"/>
    </row>
    <row r="39" spans="1:16" s="50" customFormat="1" ht="15.6">
      <c r="A39" s="666"/>
      <c r="B39" s="164"/>
      <c r="C39" s="670"/>
      <c r="D39" s="441" t="s">
        <v>340</v>
      </c>
      <c r="E39" s="1010"/>
      <c r="F39" s="497"/>
      <c r="G39" s="497"/>
      <c r="H39" s="681"/>
      <c r="I39" s="751" t="s">
        <v>713</v>
      </c>
      <c r="J39" s="666"/>
      <c r="K39" s="666"/>
      <c r="L39" s="666"/>
      <c r="M39" s="63"/>
      <c r="N39" s="454">
        <v>0</v>
      </c>
      <c r="O39" s="455"/>
      <c r="P39" s="63"/>
    </row>
    <row r="40" spans="1:16" customFormat="1" ht="13.2">
      <c r="F40" s="307"/>
      <c r="G40" s="307"/>
      <c r="H40" s="307"/>
      <c r="I40" s="307"/>
    </row>
    <row r="41" spans="1:16" s="51" customFormat="1" ht="15.6">
      <c r="A41" s="121"/>
      <c r="B41" s="121"/>
      <c r="C41" s="668" t="s">
        <v>741</v>
      </c>
      <c r="D41" s="674"/>
      <c r="E41" s="121"/>
      <c r="F41" s="81"/>
      <c r="G41" s="81"/>
      <c r="H41" s="680"/>
      <c r="I41" s="81"/>
      <c r="J41" s="63"/>
      <c r="K41" s="63"/>
      <c r="L41" s="63"/>
      <c r="M41" s="63"/>
      <c r="N41" s="63"/>
      <c r="O41" s="63"/>
      <c r="P41" s="63"/>
    </row>
    <row r="42" spans="1:16" s="50" customFormat="1" ht="16.2" thickBot="1">
      <c r="A42" s="666"/>
      <c r="B42" s="164"/>
      <c r="C42" s="670"/>
      <c r="D42" s="164" t="s">
        <v>342</v>
      </c>
      <c r="E42" s="666"/>
      <c r="F42" s="677"/>
      <c r="G42" s="677"/>
      <c r="H42" s="677"/>
      <c r="I42" s="462"/>
      <c r="J42" s="666"/>
      <c r="K42" s="666"/>
      <c r="L42" s="678"/>
      <c r="M42" s="666"/>
      <c r="N42" s="63"/>
      <c r="O42" s="63"/>
      <c r="P42" s="63"/>
    </row>
    <row r="43" spans="1:16" s="50" customFormat="1" ht="16.2" thickBot="1">
      <c r="A43" s="320"/>
      <c r="B43" s="666"/>
      <c r="C43" s="666"/>
      <c r="D43" s="437">
        <v>3</v>
      </c>
      <c r="E43" s="456" t="s">
        <v>1227</v>
      </c>
      <c r="F43" s="456"/>
      <c r="G43" s="456"/>
      <c r="H43" s="456"/>
      <c r="I43" s="456"/>
      <c r="J43" s="456"/>
      <c r="K43" s="456"/>
      <c r="L43" s="457"/>
      <c r="M43" s="63"/>
      <c r="N43" s="451" t="s">
        <v>335</v>
      </c>
      <c r="O43" s="451" t="s">
        <v>336</v>
      </c>
      <c r="P43" s="63"/>
    </row>
    <row r="44" spans="1:16" s="50" customFormat="1" ht="15.6">
      <c r="A44" s="320"/>
      <c r="B44" s="666"/>
      <c r="C44" s="666"/>
      <c r="D44" s="438" t="str">
        <f>IF(ROUNDDOWN(D43,0)=$N$2,$P$2,$O$2)</f>
        <v>　レベル　1</v>
      </c>
      <c r="E44" s="463" t="s">
        <v>1230</v>
      </c>
      <c r="F44" s="503"/>
      <c r="G44" s="503"/>
      <c r="H44" s="503"/>
      <c r="I44" s="503"/>
      <c r="J44" s="503"/>
      <c r="K44" s="503"/>
      <c r="L44" s="510"/>
      <c r="M44" s="666"/>
      <c r="N44" s="452">
        <v>1</v>
      </c>
      <c r="O44" s="453"/>
      <c r="P44" s="63"/>
    </row>
    <row r="45" spans="1:16" s="50" customFormat="1" ht="15.6">
      <c r="A45" s="320"/>
      <c r="B45" s="666"/>
      <c r="C45" s="666"/>
      <c r="D45" s="439" t="str">
        <f>IF(ROUNDDOWN(D43,0)=$N$3,$P$3,$O$3)</f>
        <v>　レベル　2</v>
      </c>
      <c r="E45" s="466" t="s">
        <v>1231</v>
      </c>
      <c r="F45" s="504"/>
      <c r="G45" s="504"/>
      <c r="H45" s="504"/>
      <c r="I45" s="504"/>
      <c r="J45" s="504"/>
      <c r="K45" s="504"/>
      <c r="L45" s="511"/>
      <c r="M45" s="63"/>
      <c r="N45" s="452">
        <v>2</v>
      </c>
      <c r="O45" s="453"/>
      <c r="P45" s="63"/>
    </row>
    <row r="46" spans="1:16" s="50" customFormat="1" ht="15.6">
      <c r="A46" s="320"/>
      <c r="B46" s="666"/>
      <c r="C46" s="666"/>
      <c r="D46" s="439" t="str">
        <f>IF(ROUNDDOWN(D43,0)=$N$4,$P$4,$O$4)</f>
        <v>■レベル　3</v>
      </c>
      <c r="E46" s="466" t="s">
        <v>1232</v>
      </c>
      <c r="F46" s="504"/>
      <c r="G46" s="504"/>
      <c r="H46" s="504"/>
      <c r="I46" s="504"/>
      <c r="J46" s="504"/>
      <c r="K46" s="504"/>
      <c r="L46" s="511"/>
      <c r="M46" s="666"/>
      <c r="N46" s="452">
        <v>3</v>
      </c>
      <c r="O46" s="453"/>
      <c r="P46" s="63"/>
    </row>
    <row r="47" spans="1:16" s="50" customFormat="1" ht="15.6">
      <c r="A47" s="320"/>
      <c r="B47" s="666"/>
      <c r="C47" s="666"/>
      <c r="D47" s="439" t="str">
        <f>IF(ROUNDDOWN(D43,0)=$N$5,$P$5,$O$5)</f>
        <v>　レベル　4</v>
      </c>
      <c r="E47" s="469" t="s">
        <v>1233</v>
      </c>
      <c r="F47" s="505"/>
      <c r="G47" s="505"/>
      <c r="H47" s="505"/>
      <c r="I47" s="505"/>
      <c r="J47" s="505"/>
      <c r="K47" s="505"/>
      <c r="L47" s="512"/>
      <c r="M47" s="63"/>
      <c r="N47" s="452">
        <v>4</v>
      </c>
      <c r="O47" s="453"/>
      <c r="P47" s="63"/>
    </row>
    <row r="48" spans="1:16" s="50" customFormat="1" ht="15.6">
      <c r="A48" s="320"/>
      <c r="B48" s="666"/>
      <c r="C48" s="666"/>
      <c r="D48" s="440" t="str">
        <f>IF(ROUNDDOWN(D43,0)=$N$6,$P$6,$O$6)</f>
        <v>　レベル　5</v>
      </c>
      <c r="E48" s="472" t="s">
        <v>1316</v>
      </c>
      <c r="F48" s="483"/>
      <c r="G48" s="483"/>
      <c r="H48" s="483"/>
      <c r="I48" s="483"/>
      <c r="J48" s="483"/>
      <c r="K48" s="483"/>
      <c r="L48" s="513"/>
      <c r="M48" s="666"/>
      <c r="N48" s="452">
        <v>5</v>
      </c>
      <c r="O48" s="453"/>
      <c r="P48" s="63"/>
    </row>
    <row r="49" spans="1:16" s="50" customFormat="1" ht="15.6">
      <c r="A49" s="320"/>
      <c r="B49" s="666"/>
      <c r="C49" s="666"/>
      <c r="D49" s="441" t="s">
        <v>340</v>
      </c>
      <c r="E49" s="1010"/>
      <c r="F49" s="497"/>
      <c r="G49" s="497"/>
      <c r="H49" s="681"/>
      <c r="I49"/>
      <c r="J49" s="666"/>
      <c r="K49" s="666"/>
      <c r="L49" s="666"/>
      <c r="M49" s="63"/>
      <c r="N49" s="452" t="s">
        <v>311</v>
      </c>
      <c r="O49" s="455"/>
      <c r="P49" s="63"/>
    </row>
    <row r="50" spans="1:16" customFormat="1" ht="13.2">
      <c r="F50" s="307"/>
      <c r="G50" s="307"/>
      <c r="H50" s="307"/>
      <c r="I50" s="307"/>
    </row>
    <row r="51" spans="1:16" s="50" customFormat="1" ht="15.6">
      <c r="A51" s="666"/>
      <c r="B51" s="164"/>
      <c r="C51" s="670"/>
      <c r="D51" s="164" t="s">
        <v>343</v>
      </c>
      <c r="E51" s="666"/>
      <c r="F51" s="677"/>
      <c r="G51" s="677"/>
      <c r="H51" s="677"/>
      <c r="I51" s="677"/>
      <c r="J51" s="666"/>
      <c r="K51" s="666"/>
      <c r="L51" s="678"/>
      <c r="M51" s="666"/>
      <c r="N51" s="63"/>
      <c r="O51" s="63"/>
      <c r="P51" s="63"/>
    </row>
    <row r="52" spans="1:16" s="50" customFormat="1" ht="16.2" thickBot="1">
      <c r="A52" s="666"/>
      <c r="B52" s="164"/>
      <c r="C52" s="670"/>
      <c r="D52" s="164" t="s">
        <v>344</v>
      </c>
      <c r="E52" s="666"/>
      <c r="F52" s="677"/>
      <c r="G52" s="677"/>
      <c r="H52" s="677"/>
      <c r="I52" s="462"/>
      <c r="J52" s="666"/>
      <c r="K52" s="666"/>
      <c r="L52" s="678"/>
      <c r="M52" s="666"/>
      <c r="N52" s="63"/>
      <c r="O52" s="63"/>
      <c r="P52" s="63"/>
    </row>
    <row r="53" spans="1:16" s="50" customFormat="1" ht="16.2" thickBot="1">
      <c r="A53" s="320"/>
      <c r="B53" s="666"/>
      <c r="C53" s="666"/>
      <c r="D53" s="437">
        <v>3</v>
      </c>
      <c r="E53" s="456" t="s">
        <v>1227</v>
      </c>
      <c r="F53" s="456"/>
      <c r="G53" s="456"/>
      <c r="H53" s="456"/>
      <c r="I53" s="456"/>
      <c r="J53" s="456"/>
      <c r="K53" s="456"/>
      <c r="L53" s="457"/>
      <c r="M53" s="63"/>
      <c r="N53" s="451" t="s">
        <v>335</v>
      </c>
      <c r="O53" s="451" t="s">
        <v>336</v>
      </c>
      <c r="P53" s="63"/>
    </row>
    <row r="54" spans="1:16" s="50" customFormat="1" ht="15.6">
      <c r="A54" s="320"/>
      <c r="B54" s="666"/>
      <c r="C54" s="666"/>
      <c r="D54" s="438" t="str">
        <f>IF(ROUNDDOWN(D53,0)=$N$2,$P$2,$O$2)</f>
        <v>　レベル　1</v>
      </c>
      <c r="E54" s="463" t="s">
        <v>345</v>
      </c>
      <c r="F54" s="503"/>
      <c r="G54" s="503"/>
      <c r="H54" s="503"/>
      <c r="I54" s="503"/>
      <c r="J54" s="503"/>
      <c r="K54" s="503"/>
      <c r="L54" s="510"/>
      <c r="M54" s="666"/>
      <c r="N54" s="452">
        <v>1</v>
      </c>
      <c r="O54" s="453"/>
      <c r="P54" s="63"/>
    </row>
    <row r="55" spans="1:16" s="50" customFormat="1" ht="15.6">
      <c r="A55" s="320"/>
      <c r="B55" s="666"/>
      <c r="C55" s="666"/>
      <c r="D55" s="439" t="str">
        <f>IF(ROUNDDOWN(D53,0)=$N$3,$P$3,$O$3)</f>
        <v>　レベル　2</v>
      </c>
      <c r="E55" s="466" t="s">
        <v>341</v>
      </c>
      <c r="F55" s="504"/>
      <c r="G55" s="504"/>
      <c r="H55" s="504"/>
      <c r="I55" s="504"/>
      <c r="J55" s="504"/>
      <c r="K55" s="504"/>
      <c r="L55" s="511"/>
      <c r="M55" s="63"/>
      <c r="N55" s="452" t="s">
        <v>311</v>
      </c>
      <c r="O55" s="453"/>
      <c r="P55" s="63"/>
    </row>
    <row r="56" spans="1:16" s="50" customFormat="1" ht="15.6">
      <c r="A56" s="320"/>
      <c r="B56" s="666"/>
      <c r="C56" s="666"/>
      <c r="D56" s="439" t="str">
        <f>IF(ROUNDDOWN(D53,0)=$N$4,$P$4,$O$4)</f>
        <v>■レベル　3</v>
      </c>
      <c r="E56" s="466" t="s">
        <v>346</v>
      </c>
      <c r="F56" s="504"/>
      <c r="G56" s="504"/>
      <c r="H56" s="504"/>
      <c r="I56" s="504"/>
      <c r="J56" s="504"/>
      <c r="K56" s="504"/>
      <c r="L56" s="511"/>
      <c r="M56" s="666"/>
      <c r="N56" s="452">
        <v>3</v>
      </c>
      <c r="O56" s="453"/>
      <c r="P56" s="63"/>
    </row>
    <row r="57" spans="1:16" s="50" customFormat="1" ht="15.6">
      <c r="A57" s="320"/>
      <c r="B57" s="666"/>
      <c r="C57" s="666"/>
      <c r="D57" s="439" t="str">
        <f>IF(ROUNDDOWN(D53,0)=$N$5,$P$5,$O$5)</f>
        <v>　レベル　4</v>
      </c>
      <c r="E57" s="469" t="s">
        <v>347</v>
      </c>
      <c r="F57" s="505"/>
      <c r="G57" s="505"/>
      <c r="H57" s="505"/>
      <c r="I57" s="505"/>
      <c r="J57" s="505"/>
      <c r="K57" s="505"/>
      <c r="L57" s="512"/>
      <c r="M57" s="63"/>
      <c r="N57" s="452">
        <v>4</v>
      </c>
      <c r="O57" s="453"/>
      <c r="P57" s="63"/>
    </row>
    <row r="58" spans="1:16" s="50" customFormat="1" ht="15.6">
      <c r="A58" s="320"/>
      <c r="B58" s="666"/>
      <c r="C58" s="666"/>
      <c r="D58" s="440" t="str">
        <f>IF(ROUNDDOWN(D53,0)=$N$6,$P$6,$O$6)</f>
        <v>　レベル　5</v>
      </c>
      <c r="E58" s="472" t="s">
        <v>348</v>
      </c>
      <c r="F58" s="483"/>
      <c r="G58" s="483"/>
      <c r="H58" s="483"/>
      <c r="I58" s="483"/>
      <c r="J58" s="483"/>
      <c r="K58" s="483"/>
      <c r="L58" s="513"/>
      <c r="M58" s="666"/>
      <c r="N58" s="452">
        <v>5</v>
      </c>
      <c r="O58" s="453"/>
      <c r="P58" s="63"/>
    </row>
    <row r="59" spans="1:16" ht="15.6">
      <c r="A59" s="63"/>
      <c r="B59" s="63"/>
      <c r="C59" s="121"/>
      <c r="D59" s="441" t="s">
        <v>340</v>
      </c>
      <c r="E59" s="1010"/>
      <c r="F59" s="497"/>
      <c r="G59" s="497"/>
      <c r="H59" s="681"/>
      <c r="I59"/>
      <c r="J59" s="666"/>
      <c r="K59" s="666"/>
      <c r="L59" s="666"/>
      <c r="M59" s="63"/>
      <c r="N59" s="452" t="s">
        <v>311</v>
      </c>
      <c r="O59" s="455"/>
      <c r="P59" s="63"/>
    </row>
    <row r="60" spans="1:16" s="50" customFormat="1" ht="16.2" thickBot="1">
      <c r="A60" s="666"/>
      <c r="B60" s="164"/>
      <c r="C60" s="670"/>
      <c r="D60" s="164" t="s">
        <v>349</v>
      </c>
      <c r="E60" s="666"/>
      <c r="F60" s="677"/>
      <c r="G60" s="677"/>
      <c r="H60" s="677"/>
      <c r="I60" s="462"/>
      <c r="J60" s="666"/>
      <c r="K60" s="666"/>
      <c r="L60" s="678"/>
      <c r="M60" s="666"/>
      <c r="N60" s="63"/>
      <c r="O60" s="63"/>
      <c r="P60" s="63"/>
    </row>
    <row r="61" spans="1:16" s="50" customFormat="1" ht="16.2" thickBot="1">
      <c r="A61" s="320"/>
      <c r="B61" s="666"/>
      <c r="C61" s="666"/>
      <c r="D61" s="437">
        <v>3</v>
      </c>
      <c r="E61" s="456" t="s">
        <v>1227</v>
      </c>
      <c r="F61" s="456"/>
      <c r="G61" s="456"/>
      <c r="H61" s="456"/>
      <c r="I61" s="456"/>
      <c r="J61" s="456"/>
      <c r="K61" s="456"/>
      <c r="L61" s="457"/>
      <c r="M61" s="63"/>
      <c r="N61" s="451" t="s">
        <v>335</v>
      </c>
      <c r="O61" s="451" t="s">
        <v>336</v>
      </c>
      <c r="P61" s="63"/>
    </row>
    <row r="62" spans="1:16" s="50" customFormat="1" ht="15.6">
      <c r="A62" s="320"/>
      <c r="B62" s="666"/>
      <c r="C62" s="666"/>
      <c r="D62" s="438" t="str">
        <f>IF(ROUNDDOWN(D61,0)=$N$2,$P$2,$O$2)</f>
        <v>　レベル　1</v>
      </c>
      <c r="E62" s="463" t="s">
        <v>350</v>
      </c>
      <c r="F62" s="503"/>
      <c r="G62" s="503"/>
      <c r="H62" s="503"/>
      <c r="I62" s="503"/>
      <c r="J62" s="503"/>
      <c r="K62" s="503"/>
      <c r="L62" s="510"/>
      <c r="M62" s="666"/>
      <c r="N62" s="452">
        <v>1</v>
      </c>
      <c r="O62" s="453"/>
      <c r="P62" s="63"/>
    </row>
    <row r="63" spans="1:16" s="50" customFormat="1" ht="15.6">
      <c r="A63" s="320"/>
      <c r="B63" s="666"/>
      <c r="C63" s="666"/>
      <c r="D63" s="439" t="str">
        <f>IF(ROUNDDOWN(D61,0)=$N$3,$P$3,$O$3)</f>
        <v>　レベル　2</v>
      </c>
      <c r="E63" s="466" t="s">
        <v>341</v>
      </c>
      <c r="F63" s="504"/>
      <c r="G63" s="504"/>
      <c r="H63" s="504"/>
      <c r="I63" s="504"/>
      <c r="J63" s="504"/>
      <c r="K63" s="504"/>
      <c r="L63" s="511"/>
      <c r="M63" s="63"/>
      <c r="N63" s="452" t="s">
        <v>311</v>
      </c>
      <c r="O63" s="453"/>
      <c r="P63" s="63"/>
    </row>
    <row r="64" spans="1:16" s="50" customFormat="1" ht="15.6">
      <c r="A64" s="320"/>
      <c r="B64" s="666"/>
      <c r="C64" s="666"/>
      <c r="D64" s="439" t="str">
        <f>IF(ROUNDDOWN(D61,0)=$N$4,$P$4,$O$4)</f>
        <v>■レベル　3</v>
      </c>
      <c r="E64" s="466" t="s">
        <v>351</v>
      </c>
      <c r="F64" s="504"/>
      <c r="G64" s="504"/>
      <c r="H64" s="504"/>
      <c r="I64" s="504"/>
      <c r="J64" s="504"/>
      <c r="K64" s="504"/>
      <c r="L64" s="511"/>
      <c r="M64" s="666"/>
      <c r="N64" s="452">
        <v>3</v>
      </c>
      <c r="O64" s="453"/>
      <c r="P64" s="63"/>
    </row>
    <row r="65" spans="1:16" s="50" customFormat="1" ht="15.6">
      <c r="A65" s="320"/>
      <c r="B65" s="666"/>
      <c r="C65" s="666"/>
      <c r="D65" s="439" t="str">
        <f>IF(ROUNDDOWN(D61,0)=$N$5,$P$5,$O$5)</f>
        <v>　レベル　4</v>
      </c>
      <c r="E65" s="469" t="s">
        <v>352</v>
      </c>
      <c r="F65" s="505"/>
      <c r="G65" s="505"/>
      <c r="H65" s="505"/>
      <c r="I65" s="505"/>
      <c r="J65" s="505"/>
      <c r="K65" s="505"/>
      <c r="L65" s="512"/>
      <c r="M65" s="63"/>
      <c r="N65" s="452">
        <v>4</v>
      </c>
      <c r="O65" s="453"/>
      <c r="P65" s="63"/>
    </row>
    <row r="66" spans="1:16" s="50" customFormat="1" ht="15.6">
      <c r="A66" s="320"/>
      <c r="B66" s="666"/>
      <c r="C66" s="666"/>
      <c r="D66" s="440" t="str">
        <f>IF(ROUNDDOWN(D61,0)=$N$6,$P$6,$O$6)</f>
        <v>　レベル　5</v>
      </c>
      <c r="E66" s="472" t="s">
        <v>353</v>
      </c>
      <c r="F66" s="483"/>
      <c r="G66" s="483"/>
      <c r="H66" s="483"/>
      <c r="I66" s="483"/>
      <c r="J66" s="483"/>
      <c r="K66" s="483"/>
      <c r="L66" s="513"/>
      <c r="M66" s="666"/>
      <c r="N66" s="452">
        <v>5</v>
      </c>
      <c r="O66" s="453"/>
      <c r="P66" s="63"/>
    </row>
    <row r="67" spans="1:16" ht="15.6">
      <c r="A67" s="63"/>
      <c r="B67" s="63"/>
      <c r="C67" s="121"/>
      <c r="D67" s="441" t="s">
        <v>340</v>
      </c>
      <c r="E67" s="1010"/>
      <c r="F67" s="497"/>
      <c r="G67" s="497"/>
      <c r="H67" s="681"/>
      <c r="I67"/>
      <c r="J67" s="666"/>
      <c r="K67" s="666"/>
      <c r="L67" s="666"/>
      <c r="M67" s="63"/>
      <c r="N67" s="452" t="s">
        <v>311</v>
      </c>
      <c r="O67" s="455"/>
      <c r="P67" s="63"/>
    </row>
    <row r="68" spans="1:16" s="50" customFormat="1" ht="16.2" thickBot="1">
      <c r="A68" s="666"/>
      <c r="B68" s="164"/>
      <c r="C68" s="670"/>
      <c r="D68" s="164" t="s">
        <v>354</v>
      </c>
      <c r="E68" s="666"/>
      <c r="F68" s="677"/>
      <c r="G68" s="677"/>
      <c r="H68" s="677"/>
      <c r="I68" s="462"/>
      <c r="J68" s="666"/>
      <c r="K68" s="666"/>
      <c r="L68" s="678"/>
      <c r="M68" s="666"/>
      <c r="N68" s="63"/>
      <c r="O68" s="63"/>
      <c r="P68" s="63"/>
    </row>
    <row r="69" spans="1:16" s="50" customFormat="1" ht="16.2" thickBot="1">
      <c r="A69" s="320"/>
      <c r="B69" s="666"/>
      <c r="C69" s="666"/>
      <c r="D69" s="437">
        <v>3</v>
      </c>
      <c r="E69" s="456" t="s">
        <v>1227</v>
      </c>
      <c r="F69" s="456"/>
      <c r="G69" s="456"/>
      <c r="H69" s="456"/>
      <c r="I69" s="456"/>
      <c r="J69" s="456"/>
      <c r="K69" s="456"/>
      <c r="L69" s="457"/>
      <c r="M69" s="63"/>
      <c r="N69" s="451" t="s">
        <v>335</v>
      </c>
      <c r="O69" s="451" t="s">
        <v>336</v>
      </c>
      <c r="P69" s="63"/>
    </row>
    <row r="70" spans="1:16" s="50" customFormat="1" ht="15.6">
      <c r="A70" s="320"/>
      <c r="B70" s="666"/>
      <c r="C70" s="666"/>
      <c r="D70" s="438" t="str">
        <f>IF(ROUNDDOWN(D69,0)=$N$2,$P$2,$O$2)</f>
        <v>　レベル　1</v>
      </c>
      <c r="E70" s="463" t="s">
        <v>355</v>
      </c>
      <c r="F70" s="503"/>
      <c r="G70" s="503"/>
      <c r="H70" s="503"/>
      <c r="I70" s="503"/>
      <c r="J70" s="503"/>
      <c r="K70" s="503"/>
      <c r="L70" s="510"/>
      <c r="M70" s="666"/>
      <c r="N70" s="452">
        <v>1</v>
      </c>
      <c r="O70" s="453"/>
      <c r="P70" s="63"/>
    </row>
    <row r="71" spans="1:16" s="50" customFormat="1" ht="15.6">
      <c r="A71" s="320"/>
      <c r="B71" s="666"/>
      <c r="C71" s="666"/>
      <c r="D71" s="439" t="str">
        <f>IF(ROUNDDOWN(D69,0)=$N$3,$P$3,$O$3)</f>
        <v>　レベル　2</v>
      </c>
      <c r="E71" s="466" t="s">
        <v>356</v>
      </c>
      <c r="F71" s="504"/>
      <c r="G71" s="504"/>
      <c r="H71" s="504"/>
      <c r="I71" s="504"/>
      <c r="J71" s="504"/>
      <c r="K71" s="504"/>
      <c r="L71" s="511"/>
      <c r="M71" s="63"/>
      <c r="N71" s="452">
        <v>2</v>
      </c>
      <c r="O71" s="453"/>
      <c r="P71" s="63"/>
    </row>
    <row r="72" spans="1:16" s="50" customFormat="1" ht="15.6">
      <c r="A72" s="320"/>
      <c r="B72" s="666"/>
      <c r="C72" s="666"/>
      <c r="D72" s="439" t="str">
        <f>IF(ROUNDDOWN(D69,0)=$N$4,$P$4,$O$4)</f>
        <v>■レベル　3</v>
      </c>
      <c r="E72" s="466" t="s">
        <v>357</v>
      </c>
      <c r="F72" s="504"/>
      <c r="G72" s="504"/>
      <c r="H72" s="504"/>
      <c r="I72" s="504"/>
      <c r="J72" s="504"/>
      <c r="K72" s="504"/>
      <c r="L72" s="511"/>
      <c r="M72" s="666"/>
      <c r="N72" s="452">
        <v>3</v>
      </c>
      <c r="O72" s="453"/>
      <c r="P72" s="63"/>
    </row>
    <row r="73" spans="1:16" s="50" customFormat="1" ht="15.6">
      <c r="A73" s="320"/>
      <c r="B73" s="666"/>
      <c r="C73" s="666"/>
      <c r="D73" s="439" t="str">
        <f>IF(ROUNDDOWN(D69,0)=$N$5,$P$5,$O$5)</f>
        <v>　レベル　4</v>
      </c>
      <c r="E73" s="469" t="s">
        <v>358</v>
      </c>
      <c r="F73" s="505"/>
      <c r="G73" s="505"/>
      <c r="H73" s="505"/>
      <c r="I73" s="505"/>
      <c r="J73" s="505"/>
      <c r="K73" s="505"/>
      <c r="L73" s="512"/>
      <c r="M73" s="63"/>
      <c r="N73" s="452">
        <v>4</v>
      </c>
      <c r="O73" s="453"/>
      <c r="P73" s="63"/>
    </row>
    <row r="74" spans="1:16" s="50" customFormat="1" ht="15.6">
      <c r="A74" s="320"/>
      <c r="B74" s="666"/>
      <c r="C74" s="666"/>
      <c r="D74" s="440" t="str">
        <f>IF(ROUNDDOWN(D69,0)=$N$6,$P$6,$O$6)</f>
        <v>　レベル　5</v>
      </c>
      <c r="E74" s="472" t="s">
        <v>359</v>
      </c>
      <c r="F74" s="483"/>
      <c r="G74" s="483"/>
      <c r="H74" s="483"/>
      <c r="I74" s="483"/>
      <c r="J74" s="483"/>
      <c r="K74" s="483"/>
      <c r="L74" s="513"/>
      <c r="M74" s="666"/>
      <c r="N74" s="452">
        <v>5</v>
      </c>
      <c r="O74" s="453"/>
      <c r="P74" s="63"/>
    </row>
    <row r="75" spans="1:16" ht="15.6">
      <c r="A75" s="63"/>
      <c r="B75" s="63"/>
      <c r="C75" s="121"/>
      <c r="D75" s="441" t="s">
        <v>340</v>
      </c>
      <c r="E75" s="1010"/>
      <c r="F75" s="497"/>
      <c r="G75" s="497"/>
      <c r="H75" s="681"/>
      <c r="I75"/>
      <c r="J75" s="666"/>
      <c r="K75" s="666"/>
      <c r="L75" s="666"/>
      <c r="M75" s="63"/>
      <c r="N75" s="452" t="s">
        <v>311</v>
      </c>
      <c r="O75" s="455"/>
      <c r="P75" s="63"/>
    </row>
    <row r="76" spans="1:16" customFormat="1" ht="13.2">
      <c r="F76" s="307"/>
      <c r="G76" s="307"/>
      <c r="H76" s="307"/>
      <c r="I76" s="307"/>
    </row>
    <row r="77" spans="1:16" s="50" customFormat="1" ht="15.6">
      <c r="A77" s="666"/>
      <c r="B77" s="164"/>
      <c r="C77" s="670"/>
      <c r="D77" s="164" t="s">
        <v>360</v>
      </c>
      <c r="E77" s="666"/>
      <c r="F77" s="677"/>
      <c r="G77" s="677"/>
      <c r="H77" s="677"/>
      <c r="I77" s="677"/>
      <c r="J77" s="666"/>
      <c r="K77" s="666"/>
      <c r="L77" s="678"/>
      <c r="M77" s="666"/>
      <c r="N77" s="63"/>
      <c r="O77" s="63"/>
      <c r="P77" s="63"/>
    </row>
    <row r="78" spans="1:16" s="50" customFormat="1" ht="16.2" thickBot="1">
      <c r="A78" s="666"/>
      <c r="B78" s="164"/>
      <c r="C78" s="670"/>
      <c r="D78" s="164" t="s">
        <v>361</v>
      </c>
      <c r="E78" s="666"/>
      <c r="F78" s="677"/>
      <c r="G78" s="677"/>
      <c r="H78" s="677"/>
      <c r="I78" s="462"/>
      <c r="J78" s="666"/>
      <c r="K78" s="666"/>
      <c r="L78" s="678"/>
      <c r="M78" s="666"/>
      <c r="N78" s="63"/>
      <c r="O78" s="63"/>
      <c r="P78" s="63"/>
    </row>
    <row r="79" spans="1:16" s="50" customFormat="1" ht="16.2" thickBot="1">
      <c r="A79" s="320"/>
      <c r="B79" s="666"/>
      <c r="C79" s="666"/>
      <c r="D79" s="437">
        <v>3</v>
      </c>
      <c r="E79" s="456" t="s">
        <v>1227</v>
      </c>
      <c r="F79" s="456"/>
      <c r="G79" s="456"/>
      <c r="H79" s="456"/>
      <c r="I79" s="456"/>
      <c r="J79" s="456"/>
      <c r="K79" s="456"/>
      <c r="L79" s="457"/>
      <c r="M79" s="63"/>
      <c r="N79" s="451" t="s">
        <v>335</v>
      </c>
      <c r="O79" s="451" t="s">
        <v>336</v>
      </c>
      <c r="P79" s="63"/>
    </row>
    <row r="80" spans="1:16" s="50" customFormat="1" ht="15.6">
      <c r="A80" s="320"/>
      <c r="B80" s="666"/>
      <c r="C80" s="666"/>
      <c r="D80" s="438" t="str">
        <f>IF(ROUNDDOWN(D79,0)=$N$2,$P$2,$O$2)</f>
        <v>　レベル　1</v>
      </c>
      <c r="E80" s="463" t="s">
        <v>362</v>
      </c>
      <c r="F80" s="503"/>
      <c r="G80" s="503"/>
      <c r="H80" s="503"/>
      <c r="I80" s="503"/>
      <c r="J80" s="503"/>
      <c r="K80" s="503"/>
      <c r="L80" s="510"/>
      <c r="M80" s="666"/>
      <c r="N80" s="452">
        <v>1</v>
      </c>
      <c r="O80" s="453"/>
      <c r="P80" s="63"/>
    </row>
    <row r="81" spans="1:16" s="50" customFormat="1" ht="15.6">
      <c r="A81" s="320"/>
      <c r="B81" s="666"/>
      <c r="C81" s="666"/>
      <c r="D81" s="439" t="str">
        <f>IF(ROUNDDOWN(D79,0)=$N$3,$P$3,$O$3)</f>
        <v>　レベル　2</v>
      </c>
      <c r="E81" s="466" t="s">
        <v>341</v>
      </c>
      <c r="F81" s="504"/>
      <c r="G81" s="504"/>
      <c r="H81" s="504"/>
      <c r="I81" s="504"/>
      <c r="J81" s="504"/>
      <c r="K81" s="504"/>
      <c r="L81" s="511"/>
      <c r="M81" s="63"/>
      <c r="N81" s="452" t="s">
        <v>311</v>
      </c>
      <c r="O81" s="453"/>
      <c r="P81" s="63"/>
    </row>
    <row r="82" spans="1:16" s="50" customFormat="1" ht="15.6">
      <c r="A82" s="320"/>
      <c r="B82" s="666"/>
      <c r="C82" s="666"/>
      <c r="D82" s="439" t="str">
        <f>IF(ROUNDDOWN(D79,0)=$N$4,$P$4,$O$4)</f>
        <v>■レベル　3</v>
      </c>
      <c r="E82" s="466" t="s">
        <v>363</v>
      </c>
      <c r="F82" s="504"/>
      <c r="G82" s="504"/>
      <c r="H82" s="504"/>
      <c r="I82" s="504"/>
      <c r="J82" s="504"/>
      <c r="K82" s="504"/>
      <c r="L82" s="511"/>
      <c r="M82" s="666"/>
      <c r="N82" s="452">
        <v>3</v>
      </c>
      <c r="O82" s="453"/>
      <c r="P82" s="63"/>
    </row>
    <row r="83" spans="1:16" s="50" customFormat="1" ht="15.6">
      <c r="A83" s="320"/>
      <c r="B83" s="666"/>
      <c r="C83" s="666"/>
      <c r="D83" s="439" t="str">
        <f>IF(ROUNDDOWN(D79,0)=$N$5,$P$5,$O$5)</f>
        <v>　レベル　4</v>
      </c>
      <c r="E83" s="469" t="s">
        <v>364</v>
      </c>
      <c r="F83" s="505"/>
      <c r="G83" s="505"/>
      <c r="H83" s="505"/>
      <c r="I83" s="505"/>
      <c r="J83" s="505"/>
      <c r="K83" s="505"/>
      <c r="L83" s="512"/>
      <c r="M83" s="63"/>
      <c r="N83" s="452">
        <v>4</v>
      </c>
      <c r="O83" s="453"/>
      <c r="P83" s="63"/>
    </row>
    <row r="84" spans="1:16" s="50" customFormat="1" ht="15.6">
      <c r="A84" s="320"/>
      <c r="B84" s="666"/>
      <c r="C84" s="666"/>
      <c r="D84" s="440" t="str">
        <f>IF(ROUNDDOWN(D79,0)=$N$6,$P$6,$O$6)</f>
        <v>　レベル　5</v>
      </c>
      <c r="E84" s="472" t="s">
        <v>365</v>
      </c>
      <c r="F84" s="483"/>
      <c r="G84" s="483"/>
      <c r="H84" s="483"/>
      <c r="I84" s="483"/>
      <c r="J84" s="483"/>
      <c r="K84" s="483"/>
      <c r="L84" s="513"/>
      <c r="M84" s="666"/>
      <c r="N84" s="452">
        <v>5</v>
      </c>
      <c r="O84" s="453"/>
      <c r="P84" s="63"/>
    </row>
    <row r="85" spans="1:16" ht="15.6">
      <c r="A85" s="63"/>
      <c r="B85" s="63"/>
      <c r="C85" s="121"/>
      <c r="D85" s="441" t="s">
        <v>340</v>
      </c>
      <c r="E85" s="1010"/>
      <c r="F85" s="497"/>
      <c r="G85" s="497"/>
      <c r="H85" s="681"/>
      <c r="I85"/>
      <c r="J85" s="666"/>
      <c r="K85" s="666"/>
      <c r="L85" s="666"/>
      <c r="M85" s="63"/>
      <c r="N85" s="452" t="s">
        <v>311</v>
      </c>
      <c r="O85" s="455"/>
      <c r="P85" s="63"/>
    </row>
    <row r="86" spans="1:16" s="50" customFormat="1" ht="16.2" thickBot="1">
      <c r="A86" s="666"/>
      <c r="B86" s="164"/>
      <c r="C86" s="670"/>
      <c r="D86" s="164" t="s">
        <v>366</v>
      </c>
      <c r="E86" s="666"/>
      <c r="F86" s="677"/>
      <c r="G86" s="677"/>
      <c r="H86" s="677"/>
      <c r="I86" s="462"/>
      <c r="J86" s="666"/>
      <c r="K86" s="666"/>
      <c r="L86" s="678"/>
      <c r="M86" s="666"/>
      <c r="N86" s="63"/>
      <c r="O86" s="63"/>
      <c r="P86" s="63"/>
    </row>
    <row r="87" spans="1:16" s="50" customFormat="1" ht="16.2" thickBot="1">
      <c r="A87" s="320"/>
      <c r="B87" s="666"/>
      <c r="C87" s="666"/>
      <c r="D87" s="437">
        <v>3</v>
      </c>
      <c r="E87" s="456" t="s">
        <v>1227</v>
      </c>
      <c r="F87" s="456"/>
      <c r="G87" s="456"/>
      <c r="H87" s="456"/>
      <c r="I87" s="456"/>
      <c r="J87" s="456"/>
      <c r="K87" s="456"/>
      <c r="L87" s="457"/>
      <c r="M87" s="63"/>
      <c r="N87" s="451" t="s">
        <v>335</v>
      </c>
      <c r="O87" s="451" t="s">
        <v>336</v>
      </c>
      <c r="P87" s="63"/>
    </row>
    <row r="88" spans="1:16" s="50" customFormat="1" ht="15.6">
      <c r="A88" s="320"/>
      <c r="B88" s="666"/>
      <c r="C88" s="666"/>
      <c r="D88" s="438" t="str">
        <f>IF(ROUNDDOWN(D87,0)=$N$2,$P$2,$O$2)</f>
        <v>　レベル　1</v>
      </c>
      <c r="E88" s="463" t="s">
        <v>362</v>
      </c>
      <c r="F88" s="503"/>
      <c r="G88" s="503"/>
      <c r="H88" s="503"/>
      <c r="I88" s="503"/>
      <c r="J88" s="503"/>
      <c r="K88" s="503"/>
      <c r="L88" s="510"/>
      <c r="M88" s="666"/>
      <c r="N88" s="452">
        <v>1</v>
      </c>
      <c r="O88" s="453"/>
      <c r="P88" s="63"/>
    </row>
    <row r="89" spans="1:16" s="50" customFormat="1" ht="15.6">
      <c r="A89" s="320"/>
      <c r="B89" s="666"/>
      <c r="C89" s="666"/>
      <c r="D89" s="439" t="str">
        <f>IF(ROUNDDOWN(D87,0)=$N$3,$P$3,$O$3)</f>
        <v>　レベル　2</v>
      </c>
      <c r="E89" s="466" t="s">
        <v>341</v>
      </c>
      <c r="F89" s="504"/>
      <c r="G89" s="504"/>
      <c r="H89" s="504"/>
      <c r="I89" s="504"/>
      <c r="J89" s="504"/>
      <c r="K89" s="504"/>
      <c r="L89" s="511"/>
      <c r="M89" s="63"/>
      <c r="N89" s="452" t="s">
        <v>311</v>
      </c>
      <c r="O89" s="453"/>
      <c r="P89" s="63"/>
    </row>
    <row r="90" spans="1:16" s="50" customFormat="1" ht="15.6">
      <c r="A90" s="320"/>
      <c r="B90" s="666"/>
      <c r="C90" s="666"/>
      <c r="D90" s="439" t="str">
        <f>IF(ROUNDDOWN(D87,0)=$N$4,$P$4,$O$4)</f>
        <v>■レベル　3</v>
      </c>
      <c r="E90" s="466" t="s">
        <v>363</v>
      </c>
      <c r="F90" s="504"/>
      <c r="G90" s="504"/>
      <c r="H90" s="504"/>
      <c r="I90" s="504"/>
      <c r="J90" s="504"/>
      <c r="K90" s="504"/>
      <c r="L90" s="511"/>
      <c r="M90" s="666"/>
      <c r="N90" s="452">
        <v>3</v>
      </c>
      <c r="O90" s="453"/>
      <c r="P90" s="63"/>
    </row>
    <row r="91" spans="1:16" s="50" customFormat="1" ht="15.6">
      <c r="A91" s="320"/>
      <c r="B91" s="666"/>
      <c r="C91" s="666"/>
      <c r="D91" s="439" t="str">
        <f>IF(ROUNDDOWN(D87,0)=$N$5,$P$5,$O$5)</f>
        <v>　レベル　4</v>
      </c>
      <c r="E91" s="469" t="s">
        <v>367</v>
      </c>
      <c r="F91" s="505"/>
      <c r="G91" s="505"/>
      <c r="H91" s="505"/>
      <c r="I91" s="505"/>
      <c r="J91" s="505"/>
      <c r="K91" s="505"/>
      <c r="L91" s="512"/>
      <c r="M91" s="63"/>
      <c r="N91" s="452">
        <v>4</v>
      </c>
      <c r="O91" s="453"/>
      <c r="P91" s="63"/>
    </row>
    <row r="92" spans="1:16" s="50" customFormat="1" ht="15.6">
      <c r="A92" s="320"/>
      <c r="B92" s="666"/>
      <c r="C92" s="666"/>
      <c r="D92" s="440" t="str">
        <f>IF(ROUNDDOWN(D87,0)=$N$6,$P$6,$O$6)</f>
        <v>　レベル　5</v>
      </c>
      <c r="E92" s="472" t="s">
        <v>368</v>
      </c>
      <c r="F92" s="483"/>
      <c r="G92" s="483"/>
      <c r="H92" s="483"/>
      <c r="I92" s="483"/>
      <c r="J92" s="483"/>
      <c r="K92" s="483"/>
      <c r="L92" s="513"/>
      <c r="M92" s="666"/>
      <c r="N92" s="452">
        <v>5</v>
      </c>
      <c r="O92" s="453"/>
      <c r="P92" s="63"/>
    </row>
    <row r="93" spans="1:16" ht="15.6">
      <c r="A93" s="63"/>
      <c r="B93" s="63"/>
      <c r="C93" s="121"/>
      <c r="D93" s="441" t="s">
        <v>340</v>
      </c>
      <c r="E93" s="1010"/>
      <c r="F93" s="497"/>
      <c r="G93" s="497"/>
      <c r="H93" s="681"/>
      <c r="I93"/>
      <c r="J93" s="666"/>
      <c r="K93" s="666"/>
      <c r="L93" s="666"/>
      <c r="M93" s="63"/>
      <c r="N93" s="452" t="s">
        <v>311</v>
      </c>
      <c r="O93" s="455"/>
      <c r="P93" s="63"/>
    </row>
    <row r="94" spans="1:16" customFormat="1" ht="13.2">
      <c r="F94" s="307"/>
      <c r="G94" s="307"/>
      <c r="H94" s="307"/>
      <c r="I94" s="307"/>
    </row>
    <row r="95" spans="1:16" s="50" customFormat="1" ht="16.2" thickBot="1">
      <c r="A95" s="666"/>
      <c r="B95" s="164"/>
      <c r="C95" s="670"/>
      <c r="D95" s="164" t="s">
        <v>369</v>
      </c>
      <c r="E95" s="666"/>
      <c r="F95" s="677"/>
      <c r="G95" s="677"/>
      <c r="H95" s="677"/>
      <c r="I95" s="462"/>
      <c r="J95" s="666"/>
      <c r="K95" s="666"/>
      <c r="L95" s="678"/>
      <c r="M95" s="666"/>
      <c r="N95" s="63"/>
      <c r="O95" s="63"/>
      <c r="P95" s="63"/>
    </row>
    <row r="96" spans="1:16" s="50" customFormat="1" ht="16.2" thickBot="1">
      <c r="A96" s="320"/>
      <c r="B96" s="666"/>
      <c r="C96" s="666"/>
      <c r="D96" s="437">
        <v>3</v>
      </c>
      <c r="E96" s="456" t="s">
        <v>1227</v>
      </c>
      <c r="F96" s="456"/>
      <c r="G96" s="456"/>
      <c r="H96" s="456"/>
      <c r="I96" s="456"/>
      <c r="J96" s="456"/>
      <c r="K96" s="456"/>
      <c r="L96" s="457"/>
      <c r="M96" s="63"/>
      <c r="N96" s="451" t="s">
        <v>335</v>
      </c>
      <c r="O96" s="451" t="s">
        <v>336</v>
      </c>
      <c r="P96" s="63"/>
    </row>
    <row r="97" spans="1:16" s="50" customFormat="1" ht="15.6">
      <c r="A97" s="320"/>
      <c r="B97" s="666"/>
      <c r="C97" s="666"/>
      <c r="D97" s="438" t="str">
        <f>IF(ROUNDDOWN(D96,0)=$N$2,$P$2,$O$2)</f>
        <v>　レベル　1</v>
      </c>
      <c r="E97" s="463" t="s">
        <v>370</v>
      </c>
      <c r="F97" s="503"/>
      <c r="G97" s="503"/>
      <c r="H97" s="503"/>
      <c r="I97" s="503"/>
      <c r="J97" s="503"/>
      <c r="K97" s="503"/>
      <c r="L97" s="510"/>
      <c r="M97" s="666"/>
      <c r="N97" s="452">
        <v>1</v>
      </c>
      <c r="O97" s="453"/>
      <c r="P97" s="63"/>
    </row>
    <row r="98" spans="1:16" s="50" customFormat="1" ht="15.6">
      <c r="A98" s="320"/>
      <c r="B98" s="666"/>
      <c r="C98" s="666"/>
      <c r="D98" s="439" t="str">
        <f>IF(ROUNDDOWN(D96,0)=$N$3,$P$3,$O$3)</f>
        <v>　レベル　2</v>
      </c>
      <c r="E98" s="466" t="s">
        <v>341</v>
      </c>
      <c r="F98" s="504"/>
      <c r="G98" s="504"/>
      <c r="H98" s="504"/>
      <c r="I98" s="504"/>
      <c r="J98" s="504"/>
      <c r="K98" s="504"/>
      <c r="L98" s="511"/>
      <c r="M98" s="63"/>
      <c r="N98" s="452" t="s">
        <v>311</v>
      </c>
      <c r="O98" s="453"/>
      <c r="P98" s="63"/>
    </row>
    <row r="99" spans="1:16" s="50" customFormat="1" ht="15.6">
      <c r="A99" s="320"/>
      <c r="B99" s="666"/>
      <c r="C99" s="666"/>
      <c r="D99" s="439" t="str">
        <f>IF(ROUNDDOWN(D96,0)=$N$4,$P$4,$O$4)</f>
        <v>■レベル　3</v>
      </c>
      <c r="E99" s="466" t="s">
        <v>371</v>
      </c>
      <c r="F99" s="504"/>
      <c r="G99" s="504"/>
      <c r="H99" s="504"/>
      <c r="I99" s="504"/>
      <c r="J99" s="504"/>
      <c r="K99" s="504"/>
      <c r="L99" s="511"/>
      <c r="M99" s="666"/>
      <c r="N99" s="452">
        <v>3</v>
      </c>
      <c r="O99" s="453"/>
      <c r="P99" s="63"/>
    </row>
    <row r="100" spans="1:16" s="50" customFormat="1" ht="15.6">
      <c r="A100" s="320"/>
      <c r="B100" s="666"/>
      <c r="C100" s="666"/>
      <c r="D100" s="439" t="str">
        <f>IF(ROUNDDOWN(D96,0)=$N$5,$P$5,$O$5)</f>
        <v>　レベル　4</v>
      </c>
      <c r="E100" s="469" t="s">
        <v>341</v>
      </c>
      <c r="F100" s="505"/>
      <c r="G100" s="505"/>
      <c r="H100" s="505"/>
      <c r="I100" s="505"/>
      <c r="J100" s="505"/>
      <c r="K100" s="505"/>
      <c r="L100" s="512"/>
      <c r="M100" s="63"/>
      <c r="N100" s="452" t="s">
        <v>311</v>
      </c>
      <c r="O100" s="453"/>
      <c r="P100" s="63"/>
    </row>
    <row r="101" spans="1:16" s="50" customFormat="1" ht="15.6">
      <c r="A101" s="320"/>
      <c r="B101" s="666"/>
      <c r="C101" s="666"/>
      <c r="D101" s="440" t="str">
        <f>IF(ROUNDDOWN(D96,0)=$N$6,$P$6,$O$6)</f>
        <v>　レベル　5</v>
      </c>
      <c r="E101" s="472" t="s">
        <v>372</v>
      </c>
      <c r="F101" s="483"/>
      <c r="G101" s="483"/>
      <c r="H101" s="483"/>
      <c r="I101" s="483"/>
      <c r="J101" s="483"/>
      <c r="K101" s="483"/>
      <c r="L101" s="513"/>
      <c r="M101" s="666"/>
      <c r="N101" s="452">
        <v>5</v>
      </c>
      <c r="O101" s="453"/>
      <c r="P101" s="63"/>
    </row>
    <row r="102" spans="1:16" s="50" customFormat="1" ht="15.6">
      <c r="A102" s="320"/>
      <c r="B102" s="666"/>
      <c r="C102" s="666"/>
      <c r="D102" s="441" t="s">
        <v>340</v>
      </c>
      <c r="E102" s="1010"/>
      <c r="F102" s="497"/>
      <c r="G102" s="497"/>
      <c r="H102" s="681"/>
      <c r="I102"/>
      <c r="J102" s="666"/>
      <c r="K102" s="666"/>
      <c r="L102" s="666"/>
      <c r="M102" s="63"/>
      <c r="N102" s="452" t="s">
        <v>311</v>
      </c>
      <c r="O102" s="455"/>
      <c r="P102" s="63"/>
    </row>
    <row r="103" spans="1:16" customFormat="1" ht="13.2">
      <c r="F103" s="307"/>
      <c r="G103" s="307"/>
      <c r="H103" s="307"/>
      <c r="I103" s="307"/>
    </row>
    <row r="104" spans="1:16" s="51" customFormat="1" ht="15.6">
      <c r="A104" s="121"/>
      <c r="B104" s="668" t="s">
        <v>373</v>
      </c>
      <c r="C104" s="668"/>
      <c r="D104" s="674"/>
      <c r="E104" s="121"/>
      <c r="F104" s="81"/>
      <c r="G104" s="81"/>
      <c r="H104" s="680"/>
      <c r="I104" s="81"/>
      <c r="J104" s="63"/>
      <c r="K104" s="63"/>
      <c r="L104" s="63"/>
      <c r="M104" s="63"/>
      <c r="N104" s="63"/>
      <c r="O104" s="63"/>
      <c r="P104" s="63"/>
    </row>
    <row r="105" spans="1:16" s="51" customFormat="1" ht="15.6">
      <c r="A105" s="121"/>
      <c r="B105" s="121"/>
      <c r="C105" s="668" t="s">
        <v>738</v>
      </c>
      <c r="D105" s="674"/>
      <c r="E105" s="121"/>
      <c r="F105" s="81"/>
      <c r="G105" s="81"/>
      <c r="H105" s="680"/>
      <c r="I105" s="81"/>
      <c r="J105" s="63"/>
      <c r="K105" s="63"/>
      <c r="L105" s="63"/>
      <c r="M105" s="63"/>
      <c r="N105" s="63"/>
      <c r="O105" s="63"/>
      <c r="P105" s="63"/>
    </row>
    <row r="106" spans="1:16" s="50" customFormat="1" ht="16.2" thickBot="1">
      <c r="A106" s="666"/>
      <c r="B106" s="164"/>
      <c r="C106" s="670"/>
      <c r="D106" s="164" t="s">
        <v>739</v>
      </c>
      <c r="E106" s="666"/>
      <c r="F106" s="677"/>
      <c r="G106" s="677"/>
      <c r="H106" s="677"/>
      <c r="I106" s="462"/>
      <c r="J106" s="666"/>
      <c r="K106" s="666"/>
      <c r="L106" s="678"/>
      <c r="M106" s="666"/>
      <c r="N106" s="63"/>
      <c r="O106" s="63"/>
      <c r="P106" s="63"/>
    </row>
    <row r="107" spans="1:16" s="50" customFormat="1" ht="16.2" thickBot="1">
      <c r="A107" s="320"/>
      <c r="B107" s="666"/>
      <c r="C107" s="666"/>
      <c r="D107" s="437">
        <v>3</v>
      </c>
      <c r="E107" s="456" t="s">
        <v>1227</v>
      </c>
      <c r="F107" s="456"/>
      <c r="G107" s="456"/>
      <c r="H107" s="456"/>
      <c r="I107" s="456"/>
      <c r="J107" s="456"/>
      <c r="K107" s="456"/>
      <c r="L107" s="457"/>
      <c r="M107" s="63"/>
      <c r="N107" s="451" t="s">
        <v>335</v>
      </c>
      <c r="O107" s="451" t="s">
        <v>336</v>
      </c>
      <c r="P107" s="63"/>
    </row>
    <row r="108" spans="1:16" s="50" customFormat="1" ht="15.6">
      <c r="A108" s="320"/>
      <c r="B108" s="666"/>
      <c r="C108" s="666"/>
      <c r="D108" s="438" t="str">
        <f>IF(ROUNDDOWN(D107,0)=$N$2,$P$2,$O$2)</f>
        <v>　レベル　1</v>
      </c>
      <c r="E108" s="463" t="s">
        <v>1258</v>
      </c>
      <c r="F108" s="503"/>
      <c r="G108" s="503"/>
      <c r="H108" s="503"/>
      <c r="I108" s="503"/>
      <c r="J108" s="503"/>
      <c r="K108" s="503"/>
      <c r="L108" s="510"/>
      <c r="M108" s="666"/>
      <c r="N108" s="452">
        <v>1</v>
      </c>
      <c r="O108" s="453"/>
      <c r="P108" s="63"/>
    </row>
    <row r="109" spans="1:16" s="50" customFormat="1" ht="15.6">
      <c r="A109" s="320"/>
      <c r="B109" s="666"/>
      <c r="C109" s="666"/>
      <c r="D109" s="439" t="str">
        <f>IF(ROUNDDOWN(D107,0)=$N$3,$P$3,$O$3)</f>
        <v>　レベル　2</v>
      </c>
      <c r="E109" s="466" t="s">
        <v>1259</v>
      </c>
      <c r="F109" s="504"/>
      <c r="G109" s="504"/>
      <c r="H109" s="504"/>
      <c r="I109" s="504"/>
      <c r="J109" s="504"/>
      <c r="K109" s="504"/>
      <c r="L109" s="511"/>
      <c r="M109" s="63"/>
      <c r="N109" s="452">
        <v>2</v>
      </c>
      <c r="O109" s="453"/>
      <c r="P109" s="63"/>
    </row>
    <row r="110" spans="1:16" s="50" customFormat="1" ht="15.6">
      <c r="A110" s="320"/>
      <c r="B110" s="666"/>
      <c r="C110" s="666"/>
      <c r="D110" s="439" t="str">
        <f>IF(ROUNDDOWN(D107,0)=$N$4,$P$4,$O$4)</f>
        <v>■レベル　3</v>
      </c>
      <c r="E110" s="466" t="s">
        <v>1260</v>
      </c>
      <c r="F110" s="504"/>
      <c r="G110" s="504"/>
      <c r="H110" s="504"/>
      <c r="I110" s="504"/>
      <c r="J110" s="504"/>
      <c r="K110" s="504"/>
      <c r="L110" s="511"/>
      <c r="M110" s="666"/>
      <c r="N110" s="452">
        <v>3</v>
      </c>
      <c r="O110" s="453"/>
      <c r="P110" s="63"/>
    </row>
    <row r="111" spans="1:16" s="50" customFormat="1" ht="15.6">
      <c r="A111" s="320"/>
      <c r="B111" s="666"/>
      <c r="C111" s="666"/>
      <c r="D111" s="439" t="str">
        <f>IF(ROUNDDOWN(D107,0)=$N$5,$P$5,$O$5)</f>
        <v>　レベル　4</v>
      </c>
      <c r="E111" s="469" t="s">
        <v>1261</v>
      </c>
      <c r="F111" s="505"/>
      <c r="G111" s="505"/>
      <c r="H111" s="505"/>
      <c r="I111" s="505"/>
      <c r="J111" s="505"/>
      <c r="K111" s="505"/>
      <c r="L111" s="512"/>
      <c r="M111" s="63"/>
      <c r="N111" s="452">
        <v>4</v>
      </c>
      <c r="O111" s="453"/>
      <c r="P111" s="63"/>
    </row>
    <row r="112" spans="1:16" s="50" customFormat="1" ht="15.6">
      <c r="A112" s="320"/>
      <c r="B112" s="666"/>
      <c r="C112" s="666"/>
      <c r="D112" s="440" t="str">
        <f>IF(ROUNDDOWN(D107,0)=$N$6,$P$6,$O$6)</f>
        <v>　レベル　5</v>
      </c>
      <c r="E112" s="472" t="s">
        <v>1262</v>
      </c>
      <c r="F112" s="483"/>
      <c r="G112" s="483"/>
      <c r="H112" s="483"/>
      <c r="I112" s="483"/>
      <c r="J112" s="483"/>
      <c r="K112" s="483"/>
      <c r="L112" s="513"/>
      <c r="M112" s="666"/>
      <c r="N112" s="452">
        <v>5</v>
      </c>
      <c r="O112" s="453"/>
      <c r="P112" s="63"/>
    </row>
    <row r="113" spans="1:16" s="50" customFormat="1" ht="15.6">
      <c r="A113" s="320"/>
      <c r="B113" s="666"/>
      <c r="C113" s="666"/>
      <c r="D113" s="441" t="s">
        <v>340</v>
      </c>
      <c r="E113" s="1010"/>
      <c r="F113" s="497"/>
      <c r="G113" s="497"/>
      <c r="H113" s="681"/>
      <c r="I113"/>
      <c r="J113" s="666"/>
      <c r="K113" s="666"/>
      <c r="L113" s="666"/>
      <c r="M113" s="63"/>
      <c r="N113" s="452" t="s">
        <v>311</v>
      </c>
      <c r="O113" s="455"/>
      <c r="P113" s="63"/>
    </row>
    <row r="114" spans="1:16" customFormat="1" ht="13.2">
      <c r="F114" s="307"/>
      <c r="G114" s="307"/>
      <c r="H114" s="307"/>
      <c r="I114" s="307"/>
    </row>
    <row r="115" spans="1:16" s="50" customFormat="1" ht="15.6">
      <c r="A115" s="666"/>
      <c r="B115" s="164"/>
      <c r="C115" s="670"/>
      <c r="D115" s="164" t="s">
        <v>740</v>
      </c>
      <c r="E115" s="666"/>
      <c r="F115" s="677"/>
      <c r="G115" s="677"/>
      <c r="H115" s="677"/>
      <c r="I115" s="677"/>
      <c r="J115" s="666"/>
      <c r="K115" s="666"/>
      <c r="L115" s="678"/>
      <c r="M115" s="666"/>
      <c r="N115" s="63"/>
      <c r="O115" s="63"/>
      <c r="P115" s="63"/>
    </row>
    <row r="116" spans="1:16" s="50" customFormat="1" ht="16.2" thickBot="1">
      <c r="A116" s="666"/>
      <c r="B116" s="164"/>
      <c r="C116" s="670"/>
      <c r="D116" s="164" t="s">
        <v>375</v>
      </c>
      <c r="E116" s="666"/>
      <c r="F116" s="677"/>
      <c r="G116" s="677"/>
      <c r="H116" s="677"/>
      <c r="I116" s="462"/>
      <c r="J116" s="666"/>
      <c r="K116" s="666"/>
      <c r="L116" s="678"/>
      <c r="M116" s="666"/>
      <c r="N116" s="63"/>
      <c r="O116" s="63"/>
      <c r="P116" s="63"/>
    </row>
    <row r="117" spans="1:16" s="50" customFormat="1" ht="16.2" thickBot="1">
      <c r="A117" s="320"/>
      <c r="B117" s="666"/>
      <c r="C117" s="666"/>
      <c r="D117" s="437">
        <v>3</v>
      </c>
      <c r="E117" s="456" t="s">
        <v>1227</v>
      </c>
      <c r="F117" s="456"/>
      <c r="G117" s="456"/>
      <c r="H117" s="456"/>
      <c r="I117" s="456"/>
      <c r="J117" s="456"/>
      <c r="K117" s="456"/>
      <c r="L117" s="457"/>
      <c r="M117" s="63"/>
      <c r="N117" s="451" t="s">
        <v>335</v>
      </c>
      <c r="O117" s="451" t="s">
        <v>336</v>
      </c>
      <c r="P117" s="63"/>
    </row>
    <row r="118" spans="1:16" s="50" customFormat="1" ht="15.6">
      <c r="A118" s="320"/>
      <c r="B118" s="666"/>
      <c r="C118" s="666"/>
      <c r="D118" s="438" t="str">
        <f>IF(ROUNDDOWN(D117,0)=$N$2,$P$2,$O$2)</f>
        <v>　レベル　1</v>
      </c>
      <c r="E118" s="463" t="s">
        <v>1257</v>
      </c>
      <c r="F118" s="503"/>
      <c r="G118" s="503"/>
      <c r="H118" s="503"/>
      <c r="I118" s="503"/>
      <c r="J118" s="503"/>
      <c r="K118" s="503"/>
      <c r="L118" s="510"/>
      <c r="M118" s="666"/>
      <c r="N118" s="452">
        <v>1</v>
      </c>
      <c r="O118" s="453"/>
      <c r="P118" s="63"/>
    </row>
    <row r="119" spans="1:16" s="50" customFormat="1" ht="15.6">
      <c r="A119" s="320"/>
      <c r="B119" s="666"/>
      <c r="C119" s="666"/>
      <c r="D119" s="439" t="str">
        <f>IF(ROUNDDOWN(D117,0)=$N$3,$P$3,$O$3)</f>
        <v>　レベル　2</v>
      </c>
      <c r="E119" s="466" t="s">
        <v>1263</v>
      </c>
      <c r="F119" s="504"/>
      <c r="G119" s="504"/>
      <c r="H119" s="504"/>
      <c r="I119" s="504"/>
      <c r="J119" s="504"/>
      <c r="K119" s="504"/>
      <c r="L119" s="511"/>
      <c r="M119" s="63"/>
      <c r="N119" s="452">
        <v>2</v>
      </c>
      <c r="O119" s="453"/>
      <c r="P119" s="63"/>
    </row>
    <row r="120" spans="1:16" s="50" customFormat="1" ht="15.6">
      <c r="A120" s="320"/>
      <c r="B120" s="666"/>
      <c r="C120" s="666"/>
      <c r="D120" s="439" t="str">
        <f>IF(ROUNDDOWN(D117,0)=$N$4,$P$4,$O$4)</f>
        <v>■レベル　3</v>
      </c>
      <c r="E120" s="466" t="s">
        <v>1260</v>
      </c>
      <c r="F120" s="504"/>
      <c r="G120" s="504"/>
      <c r="H120" s="504"/>
      <c r="I120" s="504"/>
      <c r="J120" s="504"/>
      <c r="K120" s="504"/>
      <c r="L120" s="511"/>
      <c r="M120" s="666"/>
      <c r="N120" s="452">
        <v>3</v>
      </c>
      <c r="O120" s="453"/>
      <c r="P120" s="63"/>
    </row>
    <row r="121" spans="1:16" s="50" customFormat="1" ht="15.6">
      <c r="A121" s="320"/>
      <c r="B121" s="666"/>
      <c r="C121" s="666"/>
      <c r="D121" s="439" t="str">
        <f>IF(ROUNDDOWN(D117,0)=$N$5,$P$5,$O$5)</f>
        <v>　レベル　4</v>
      </c>
      <c r="E121" s="469" t="s">
        <v>1261</v>
      </c>
      <c r="F121" s="505"/>
      <c r="G121" s="505"/>
      <c r="H121" s="505"/>
      <c r="I121" s="505"/>
      <c r="J121" s="505"/>
      <c r="K121" s="505"/>
      <c r="L121" s="512"/>
      <c r="M121" s="63"/>
      <c r="N121" s="452">
        <v>4</v>
      </c>
      <c r="O121" s="453"/>
      <c r="P121" s="63"/>
    </row>
    <row r="122" spans="1:16" s="50" customFormat="1" ht="15.6">
      <c r="A122" s="320"/>
      <c r="B122" s="666"/>
      <c r="C122" s="666"/>
      <c r="D122" s="440" t="str">
        <f>IF(ROUNDDOWN(D117,0)=$N$6,$P$6,$O$6)</f>
        <v>　レベル　5</v>
      </c>
      <c r="E122" s="472" t="s">
        <v>374</v>
      </c>
      <c r="F122" s="483"/>
      <c r="G122" s="483"/>
      <c r="H122" s="483"/>
      <c r="I122" s="483"/>
      <c r="J122" s="483"/>
      <c r="K122" s="483"/>
      <c r="L122" s="513"/>
      <c r="M122" s="666"/>
      <c r="N122" s="452">
        <v>5</v>
      </c>
      <c r="O122" s="453"/>
      <c r="P122" s="63"/>
    </row>
    <row r="123" spans="1:16" s="50" customFormat="1" ht="15.6">
      <c r="A123" s="320"/>
      <c r="B123" s="666"/>
      <c r="C123" s="666"/>
      <c r="D123" s="441" t="s">
        <v>340</v>
      </c>
      <c r="E123" s="1010"/>
      <c r="F123" s="497"/>
      <c r="G123" s="497"/>
      <c r="H123" s="681"/>
      <c r="I123"/>
      <c r="J123" s="666"/>
      <c r="K123" s="666"/>
      <c r="L123" s="666"/>
      <c r="M123" s="63"/>
      <c r="N123" s="452" t="s">
        <v>311</v>
      </c>
      <c r="O123" s="455"/>
      <c r="P123" s="63"/>
    </row>
    <row r="124" spans="1:16" s="50" customFormat="1" ht="16.2" thickBot="1">
      <c r="A124" s="666"/>
      <c r="B124" s="164"/>
      <c r="C124" s="670"/>
      <c r="D124" s="164" t="s">
        <v>376</v>
      </c>
      <c r="E124" s="666"/>
      <c r="F124" s="677"/>
      <c r="G124" s="677"/>
      <c r="H124" s="677"/>
      <c r="I124" s="462"/>
      <c r="J124" s="666"/>
      <c r="K124" s="666"/>
      <c r="L124" s="678"/>
      <c r="M124" s="666"/>
      <c r="N124" s="63"/>
      <c r="O124" s="63"/>
      <c r="P124" s="63"/>
    </row>
    <row r="125" spans="1:16" s="50" customFormat="1" ht="16.2" thickBot="1">
      <c r="A125" s="320"/>
      <c r="B125" s="666"/>
      <c r="C125" s="666"/>
      <c r="D125" s="437">
        <v>3</v>
      </c>
      <c r="E125" s="456" t="s">
        <v>1227</v>
      </c>
      <c r="F125" s="456"/>
      <c r="G125" s="456"/>
      <c r="H125" s="456"/>
      <c r="I125" s="456"/>
      <c r="J125" s="456"/>
      <c r="K125" s="456"/>
      <c r="L125" s="457"/>
      <c r="M125" s="63"/>
      <c r="N125" s="451" t="s">
        <v>335</v>
      </c>
      <c r="O125" s="451" t="s">
        <v>336</v>
      </c>
      <c r="P125" s="63"/>
    </row>
    <row r="126" spans="1:16" s="50" customFormat="1" ht="15.6">
      <c r="A126" s="320"/>
      <c r="B126" s="666"/>
      <c r="C126" s="666"/>
      <c r="D126" s="438" t="str">
        <f>IF(ROUNDDOWN(D125,0)=$N$2,$P$2,$O$2)</f>
        <v>　レベル　1</v>
      </c>
      <c r="E126" s="463" t="s">
        <v>377</v>
      </c>
      <c r="F126" s="503"/>
      <c r="G126" s="503"/>
      <c r="H126" s="503"/>
      <c r="I126" s="503"/>
      <c r="J126" s="503"/>
      <c r="K126" s="503"/>
      <c r="L126" s="510"/>
      <c r="M126" s="666"/>
      <c r="N126" s="452" t="s">
        <v>311</v>
      </c>
      <c r="O126" s="453"/>
      <c r="P126" s="63"/>
    </row>
    <row r="127" spans="1:16" s="50" customFormat="1" ht="15.6">
      <c r="A127" s="320"/>
      <c r="B127" s="666"/>
      <c r="C127" s="666"/>
      <c r="D127" s="439" t="str">
        <f>IF(ROUNDDOWN(D125,0)=$N$3,$P$3,$O$3)</f>
        <v>　レベル　2</v>
      </c>
      <c r="E127" s="466" t="s">
        <v>341</v>
      </c>
      <c r="F127" s="504"/>
      <c r="G127" s="504"/>
      <c r="H127" s="504"/>
      <c r="I127" s="504"/>
      <c r="J127" s="504"/>
      <c r="K127" s="504"/>
      <c r="L127" s="511"/>
      <c r="M127" s="63"/>
      <c r="N127" s="452" t="s">
        <v>311</v>
      </c>
      <c r="O127" s="453"/>
      <c r="P127" s="63"/>
    </row>
    <row r="128" spans="1:16" s="50" customFormat="1" ht="15.6">
      <c r="A128" s="320"/>
      <c r="B128" s="666"/>
      <c r="C128" s="666"/>
      <c r="D128" s="439" t="str">
        <f>IF(ROUNDDOWN(D125,0)=$N$4,$P$4,$O$4)</f>
        <v>■レベル　3</v>
      </c>
      <c r="E128" s="466" t="s">
        <v>378</v>
      </c>
      <c r="F128" s="504"/>
      <c r="G128" s="504"/>
      <c r="H128" s="504"/>
      <c r="I128" s="504"/>
      <c r="J128" s="504"/>
      <c r="K128" s="504"/>
      <c r="L128" s="511"/>
      <c r="M128" s="666"/>
      <c r="N128" s="452">
        <v>3</v>
      </c>
      <c r="O128" s="453"/>
      <c r="P128" s="63"/>
    </row>
    <row r="129" spans="1:26" s="50" customFormat="1" ht="15.6">
      <c r="A129" s="320"/>
      <c r="B129" s="666"/>
      <c r="C129" s="666"/>
      <c r="D129" s="439" t="str">
        <f>IF(ROUNDDOWN(D125,0)=$N$5,$P$5,$O$5)</f>
        <v>　レベル　4</v>
      </c>
      <c r="E129" s="469" t="s">
        <v>379</v>
      </c>
      <c r="F129" s="505"/>
      <c r="G129" s="505"/>
      <c r="H129" s="505"/>
      <c r="I129" s="505"/>
      <c r="J129" s="505"/>
      <c r="K129" s="505"/>
      <c r="L129" s="512"/>
      <c r="M129" s="63"/>
      <c r="N129" s="452">
        <v>4</v>
      </c>
      <c r="O129" s="453"/>
      <c r="P129" s="63"/>
    </row>
    <row r="130" spans="1:26" s="50" customFormat="1" ht="15.6">
      <c r="A130" s="320"/>
      <c r="B130" s="666"/>
      <c r="C130" s="666"/>
      <c r="D130" s="440" t="str">
        <f>IF(ROUNDDOWN(D125,0)=$N$6,$P$6,$O$6)</f>
        <v>　レベル　5</v>
      </c>
      <c r="E130" s="472" t="s">
        <v>380</v>
      </c>
      <c r="F130" s="483"/>
      <c r="G130" s="483"/>
      <c r="H130" s="483"/>
      <c r="I130" s="483"/>
      <c r="J130" s="483"/>
      <c r="K130" s="483"/>
      <c r="L130" s="513"/>
      <c r="M130" s="666"/>
      <c r="N130" s="452">
        <v>5</v>
      </c>
      <c r="O130" s="453"/>
      <c r="P130" s="63"/>
    </row>
    <row r="131" spans="1:26" s="50" customFormat="1" ht="15.6">
      <c r="A131" s="320"/>
      <c r="B131" s="666"/>
      <c r="C131" s="666"/>
      <c r="D131" s="441" t="s">
        <v>340</v>
      </c>
      <c r="E131" s="1010"/>
      <c r="F131" s="497"/>
      <c r="G131" s="497"/>
      <c r="H131" s="681"/>
      <c r="I131"/>
      <c r="J131" s="666"/>
      <c r="K131" s="666"/>
      <c r="L131" s="666"/>
      <c r="M131" s="63"/>
      <c r="N131" s="452" t="s">
        <v>311</v>
      </c>
      <c r="O131" s="455"/>
      <c r="P131" s="63"/>
    </row>
    <row r="132" spans="1:26" customFormat="1" ht="13.2">
      <c r="F132" s="307"/>
      <c r="G132" s="307"/>
      <c r="H132" s="307"/>
      <c r="I132" s="307"/>
    </row>
    <row r="133" spans="1:26" s="51" customFormat="1" ht="15.6">
      <c r="A133" s="121"/>
      <c r="B133" s="121"/>
      <c r="C133" s="668" t="s">
        <v>381</v>
      </c>
      <c r="D133" s="674"/>
      <c r="E133" s="121"/>
      <c r="F133" s="81"/>
      <c r="G133" s="81"/>
      <c r="H133" s="680"/>
      <c r="I133" s="81"/>
      <c r="J133" s="63"/>
      <c r="K133" s="63"/>
      <c r="L133" s="63"/>
      <c r="M133" s="63"/>
      <c r="N133" s="63"/>
      <c r="O133" s="63"/>
      <c r="P133" s="63"/>
    </row>
    <row r="134" spans="1:26" s="50" customFormat="1" ht="16.2" thickBot="1">
      <c r="A134" s="666"/>
      <c r="B134" s="164"/>
      <c r="C134" s="670"/>
      <c r="D134" s="164" t="s">
        <v>382</v>
      </c>
      <c r="E134" s="450"/>
      <c r="F134" s="498"/>
      <c r="G134" s="498"/>
      <c r="H134" s="498"/>
      <c r="I134" s="462"/>
      <c r="J134" s="450"/>
      <c r="K134" s="450"/>
      <c r="L134" s="450"/>
      <c r="M134" s="450"/>
      <c r="N134" s="450"/>
      <c r="O134" s="63"/>
      <c r="P134" s="63"/>
    </row>
    <row r="135" spans="1:26" s="50" customFormat="1" ht="16.2" thickBot="1">
      <c r="A135" s="320"/>
      <c r="B135" s="666"/>
      <c r="C135" s="666"/>
      <c r="D135" s="1239">
        <f>IF(E143&gt;=O140,N140,IF(E143&gt;=O139,N139,IF(E143&gt;=O138,N138,IF(E143&gt;=O137,N137,N136))))</f>
        <v>3</v>
      </c>
      <c r="E135" s="456" t="s">
        <v>1227</v>
      </c>
      <c r="F135" s="456"/>
      <c r="G135" s="456"/>
      <c r="H135" s="456"/>
      <c r="I135" s="456"/>
      <c r="J135" s="456"/>
      <c r="K135" s="456"/>
      <c r="L135" s="457"/>
      <c r="M135" s="63"/>
      <c r="N135" s="451" t="s">
        <v>335</v>
      </c>
      <c r="O135" s="451" t="s">
        <v>336</v>
      </c>
      <c r="P135" s="63"/>
    </row>
    <row r="136" spans="1:26" s="50" customFormat="1" ht="15.6">
      <c r="A136" s="320"/>
      <c r="B136" s="666"/>
      <c r="C136" s="666"/>
      <c r="D136" s="438" t="str">
        <f>IF(ROUNDDOWN(D135,0)=$N$2,$P$2,$O$2)</f>
        <v>　レベル　1</v>
      </c>
      <c r="E136" s="463" t="s">
        <v>898</v>
      </c>
      <c r="F136" s="464"/>
      <c r="G136" s="464"/>
      <c r="H136" s="464"/>
      <c r="I136" s="464"/>
      <c r="J136" s="464"/>
      <c r="K136" s="464"/>
      <c r="L136" s="465"/>
      <c r="M136" s="666"/>
      <c r="N136" s="452">
        <v>1</v>
      </c>
      <c r="O136" s="451">
        <v>0</v>
      </c>
      <c r="P136" s="63"/>
    </row>
    <row r="137" spans="1:26" s="50" customFormat="1" ht="15.6">
      <c r="A137" s="320"/>
      <c r="B137" s="666"/>
      <c r="C137" s="666"/>
      <c r="D137" s="439" t="str">
        <f>IF(ROUNDDOWN(D135,0)=$N$3,$P$3,$O$3)</f>
        <v>　レベル　2</v>
      </c>
      <c r="E137" s="466" t="s">
        <v>341</v>
      </c>
      <c r="F137" s="467"/>
      <c r="G137" s="467"/>
      <c r="H137" s="467"/>
      <c r="I137" s="467"/>
      <c r="J137" s="467"/>
      <c r="K137" s="467"/>
      <c r="L137" s="468"/>
      <c r="M137" s="63"/>
      <c r="N137" s="452" t="s">
        <v>311</v>
      </c>
      <c r="O137" s="451" t="s">
        <v>311</v>
      </c>
      <c r="P137" s="63"/>
    </row>
    <row r="138" spans="1:26" s="50" customFormat="1" ht="15.6">
      <c r="A138" s="320"/>
      <c r="B138" s="666"/>
      <c r="C138" s="666"/>
      <c r="D138" s="439" t="str">
        <f>IF(ROUNDDOWN(D135,0)=$N$4,$P$4,$O$4)</f>
        <v>■レベル　3</v>
      </c>
      <c r="E138" s="466" t="s">
        <v>1273</v>
      </c>
      <c r="F138" s="467"/>
      <c r="G138" s="467"/>
      <c r="H138" s="467"/>
      <c r="I138" s="467"/>
      <c r="J138" s="467"/>
      <c r="K138" s="467"/>
      <c r="L138" s="468"/>
      <c r="M138" s="666"/>
      <c r="N138" s="452">
        <v>3</v>
      </c>
      <c r="O138" s="451">
        <v>1</v>
      </c>
      <c r="P138" s="63"/>
    </row>
    <row r="139" spans="1:26" s="50" customFormat="1" ht="15.6">
      <c r="A139" s="320"/>
      <c r="B139" s="666"/>
      <c r="C139" s="666"/>
      <c r="D139" s="439" t="str">
        <f>IF(ROUNDDOWN(D135,0)=$N$5,$P$5,$O$5)</f>
        <v>　レベル　4</v>
      </c>
      <c r="E139" s="469" t="s">
        <v>341</v>
      </c>
      <c r="F139" s="470"/>
      <c r="G139" s="470"/>
      <c r="H139" s="470"/>
      <c r="I139" s="470"/>
      <c r="J139" s="470"/>
      <c r="K139" s="470"/>
      <c r="L139" s="471"/>
      <c r="M139" s="63"/>
      <c r="N139" s="452" t="s">
        <v>311</v>
      </c>
      <c r="O139" s="451" t="s">
        <v>311</v>
      </c>
      <c r="P139" s="63"/>
    </row>
    <row r="140" spans="1:26" s="50" customFormat="1" ht="15.6">
      <c r="A140" s="320"/>
      <c r="B140" s="666"/>
      <c r="C140" s="666"/>
      <c r="D140" s="440" t="str">
        <f>IF(ROUNDDOWN(D135,0)=$N$6,$P$6,$O$6)</f>
        <v>　レベル　5</v>
      </c>
      <c r="E140" s="472" t="s">
        <v>1274</v>
      </c>
      <c r="F140" s="473"/>
      <c r="G140" s="473"/>
      <c r="H140" s="473"/>
      <c r="I140" s="473"/>
      <c r="J140" s="473"/>
      <c r="K140" s="473"/>
      <c r="L140" s="474"/>
      <c r="M140" s="666"/>
      <c r="N140" s="452">
        <v>5</v>
      </c>
      <c r="O140" s="451">
        <v>2</v>
      </c>
      <c r="P140" s="63"/>
    </row>
    <row r="141" spans="1:26" s="50" customFormat="1" ht="15.6">
      <c r="A141" s="320"/>
      <c r="B141" s="666"/>
      <c r="C141" s="666"/>
      <c r="D141" s="441" t="s">
        <v>340</v>
      </c>
      <c r="E141" s="1010"/>
      <c r="F141" s="497"/>
      <c r="G141" s="497"/>
      <c r="H141" s="681"/>
      <c r="I141"/>
      <c r="J141" s="666"/>
      <c r="K141" s="666"/>
      <c r="L141" s="666"/>
      <c r="M141" s="666"/>
      <c r="N141" s="452" t="s">
        <v>311</v>
      </c>
      <c r="O141" s="455"/>
      <c r="P141" s="63"/>
    </row>
    <row r="142" spans="1:26" s="50" customFormat="1" ht="15.6">
      <c r="A142" s="320"/>
      <c r="B142" s="666"/>
      <c r="C142" s="666"/>
      <c r="D142" s="441" t="s">
        <v>383</v>
      </c>
      <c r="E142" s="450"/>
      <c r="F142" s="498"/>
      <c r="G142" s="498"/>
      <c r="H142" s="498"/>
      <c r="I142" s="498"/>
      <c r="J142" s="450"/>
      <c r="K142" s="450"/>
      <c r="L142" s="450"/>
      <c r="M142" s="450"/>
      <c r="P142" s="63"/>
    </row>
    <row r="143" spans="1:26" s="165" customFormat="1" ht="15.6" thickBot="1">
      <c r="A143" s="63"/>
      <c r="B143" s="63"/>
      <c r="C143" s="121"/>
      <c r="D143" s="175" t="s">
        <v>384</v>
      </c>
      <c r="E143" s="475">
        <f>COUNTIF(E144:E145,$R$3)</f>
        <v>1</v>
      </c>
      <c r="F143" s="1859" t="s">
        <v>828</v>
      </c>
      <c r="G143" s="1864"/>
      <c r="H143" s="1867" t="s">
        <v>829</v>
      </c>
      <c r="I143" s="1863"/>
      <c r="J143" s="1863"/>
      <c r="K143" s="1863"/>
      <c r="L143" s="1864"/>
      <c r="M143" s="450"/>
      <c r="N143" s="450"/>
      <c r="O143" s="450"/>
      <c r="P143" s="63"/>
      <c r="Q143" s="141"/>
      <c r="R143" s="141"/>
      <c r="S143" s="141"/>
      <c r="T143" s="141"/>
      <c r="U143" s="141"/>
      <c r="V143" s="141"/>
      <c r="W143" s="141"/>
      <c r="X143" s="141"/>
      <c r="Y143" s="97"/>
      <c r="Z143" s="97"/>
    </row>
    <row r="144" spans="1:26" s="165" customFormat="1" ht="15">
      <c r="A144" s="63"/>
      <c r="B144" s="63"/>
      <c r="C144" s="121"/>
      <c r="D144" s="442" t="s">
        <v>299</v>
      </c>
      <c r="E144" s="489"/>
      <c r="F144" s="490" t="s">
        <v>385</v>
      </c>
      <c r="G144" s="490"/>
      <c r="H144" s="491" t="s">
        <v>386</v>
      </c>
      <c r="I144" s="490"/>
      <c r="J144" s="492"/>
      <c r="K144" s="492"/>
      <c r="L144" s="493"/>
      <c r="M144" s="450"/>
      <c r="N144" s="450"/>
      <c r="O144" s="450"/>
      <c r="P144" s="63"/>
      <c r="Q144" s="141"/>
      <c r="R144" s="141"/>
      <c r="S144" s="141"/>
      <c r="T144" s="141"/>
      <c r="U144" s="141"/>
      <c r="V144" s="141"/>
      <c r="W144" s="141"/>
      <c r="X144" s="141"/>
      <c r="Y144" s="97"/>
      <c r="Z144" s="97"/>
    </row>
    <row r="145" spans="1:26" s="165" customFormat="1" ht="15.6" thickBot="1">
      <c r="A145" s="63"/>
      <c r="B145" s="63"/>
      <c r="C145" s="121"/>
      <c r="D145" s="442" t="s">
        <v>300</v>
      </c>
      <c r="E145" s="494" t="s">
        <v>389</v>
      </c>
      <c r="F145" s="490" t="s">
        <v>388</v>
      </c>
      <c r="G145" s="490"/>
      <c r="H145" s="449" t="s">
        <v>970</v>
      </c>
      <c r="I145" s="490"/>
      <c r="J145" s="492"/>
      <c r="K145" s="492"/>
      <c r="L145" s="493"/>
      <c r="M145" s="450"/>
      <c r="N145" s="450"/>
      <c r="O145" s="450"/>
      <c r="P145" s="63"/>
      <c r="Q145" s="141"/>
      <c r="R145" s="141"/>
      <c r="S145" s="141"/>
      <c r="T145" s="141"/>
      <c r="U145" s="141"/>
      <c r="V145" s="141"/>
      <c r="W145" s="141"/>
      <c r="X145" s="141"/>
      <c r="Y145" s="97"/>
      <c r="Z145" s="97"/>
    </row>
    <row r="146" spans="1:26" customFormat="1" ht="13.2">
      <c r="F146" s="307"/>
      <c r="G146" s="307"/>
      <c r="H146" s="307"/>
      <c r="I146" s="307"/>
    </row>
    <row r="147" spans="1:26" s="50" customFormat="1" ht="16.2" thickBot="1">
      <c r="A147" s="666"/>
      <c r="B147" s="164"/>
      <c r="C147" s="670"/>
      <c r="D147" s="164" t="s">
        <v>742</v>
      </c>
      <c r="E147" s="450"/>
      <c r="F147" s="498"/>
      <c r="G147" s="498"/>
      <c r="H147" s="498"/>
      <c r="I147" s="462"/>
      <c r="J147" s="450"/>
      <c r="K147" s="450"/>
      <c r="L147" s="450"/>
      <c r="M147" s="450"/>
      <c r="N147" s="450"/>
      <c r="O147" s="63"/>
      <c r="P147" s="450"/>
    </row>
    <row r="148" spans="1:26" s="50" customFormat="1" ht="16.2" thickBot="1">
      <c r="A148" s="320"/>
      <c r="B148" s="666"/>
      <c r="C148" s="666"/>
      <c r="D148" s="1239">
        <f>IF(E156&gt;=O153,N153,IF(E156&gt;=O152,N152,IF(E156&gt;=O151,N151,IF(E156&gt;=O150,N150,N149))))</f>
        <v>3</v>
      </c>
      <c r="E148" s="456" t="s">
        <v>1227</v>
      </c>
      <c r="F148" s="456"/>
      <c r="G148" s="456"/>
      <c r="H148" s="456"/>
      <c r="I148" s="456"/>
      <c r="J148" s="456"/>
      <c r="K148" s="456"/>
      <c r="L148" s="457"/>
      <c r="M148" s="63"/>
      <c r="N148" s="451" t="s">
        <v>335</v>
      </c>
      <c r="O148" s="451" t="s">
        <v>336</v>
      </c>
      <c r="P148" s="450"/>
    </row>
    <row r="149" spans="1:26" s="50" customFormat="1" ht="15.6">
      <c r="A149" s="320"/>
      <c r="B149" s="666"/>
      <c r="C149" s="666"/>
      <c r="D149" s="438" t="str">
        <f>IF(ROUNDDOWN(D148,0)=$N$2,$P$2,$O$2)</f>
        <v>　レベル　1</v>
      </c>
      <c r="E149" s="463" t="s">
        <v>898</v>
      </c>
      <c r="F149" s="464"/>
      <c r="G149" s="464"/>
      <c r="H149" s="464"/>
      <c r="I149" s="464"/>
      <c r="J149" s="464"/>
      <c r="K149" s="464"/>
      <c r="L149" s="465"/>
      <c r="M149" s="666"/>
      <c r="N149" s="452">
        <v>1</v>
      </c>
      <c r="O149" s="451">
        <v>0</v>
      </c>
      <c r="P149" s="450"/>
    </row>
    <row r="150" spans="1:26" s="50" customFormat="1" ht="15.6">
      <c r="A150" s="320"/>
      <c r="B150" s="666"/>
      <c r="C150" s="666"/>
      <c r="D150" s="439" t="str">
        <f>IF(ROUNDDOWN(D148,0)=$N$3,$P$3,$O$3)</f>
        <v>　レベル　2</v>
      </c>
      <c r="E150" s="466" t="s">
        <v>341</v>
      </c>
      <c r="F150" s="467"/>
      <c r="G150" s="467"/>
      <c r="H150" s="467"/>
      <c r="I150" s="467"/>
      <c r="J150" s="467"/>
      <c r="K150" s="467"/>
      <c r="L150" s="468"/>
      <c r="M150" s="63"/>
      <c r="N150" s="452" t="s">
        <v>311</v>
      </c>
      <c r="O150" s="451" t="s">
        <v>311</v>
      </c>
      <c r="P150" s="450"/>
    </row>
    <row r="151" spans="1:26" s="50" customFormat="1" ht="15.6">
      <c r="A151" s="320"/>
      <c r="B151" s="666"/>
      <c r="C151" s="666"/>
      <c r="D151" s="439" t="str">
        <f>IF(ROUNDDOWN(D148,0)=$N$4,$P$4,$O$4)</f>
        <v>■レベル　3</v>
      </c>
      <c r="E151" s="466" t="s">
        <v>1273</v>
      </c>
      <c r="F151" s="467"/>
      <c r="G151" s="467"/>
      <c r="H151" s="467"/>
      <c r="I151" s="467"/>
      <c r="J151" s="467"/>
      <c r="K151" s="467"/>
      <c r="L151" s="468"/>
      <c r="M151" s="666"/>
      <c r="N151" s="452">
        <v>3</v>
      </c>
      <c r="O151" s="451">
        <v>1</v>
      </c>
      <c r="P151" s="450"/>
    </row>
    <row r="152" spans="1:26" s="50" customFormat="1" ht="15.6">
      <c r="A152" s="320"/>
      <c r="B152" s="666"/>
      <c r="C152" s="666"/>
      <c r="D152" s="439" t="str">
        <f>IF(ROUNDDOWN(D148,0)=$N$5,$P$5,$O$5)</f>
        <v>　レベル　4</v>
      </c>
      <c r="E152" s="469" t="s">
        <v>341</v>
      </c>
      <c r="F152" s="470"/>
      <c r="G152" s="470"/>
      <c r="H152" s="470"/>
      <c r="I152" s="470"/>
      <c r="J152" s="470"/>
      <c r="K152" s="470"/>
      <c r="L152" s="471"/>
      <c r="M152" s="63"/>
      <c r="N152" s="452" t="s">
        <v>311</v>
      </c>
      <c r="O152" s="451" t="s">
        <v>311</v>
      </c>
      <c r="P152" s="450"/>
    </row>
    <row r="153" spans="1:26" s="50" customFormat="1" ht="15.6">
      <c r="A153" s="320"/>
      <c r="B153" s="666"/>
      <c r="C153" s="666"/>
      <c r="D153" s="440" t="str">
        <f>IF(ROUNDDOWN(D148,0)=$N$6,$P$6,$O$6)</f>
        <v>　レベル　5</v>
      </c>
      <c r="E153" s="472" t="s">
        <v>1274</v>
      </c>
      <c r="F153" s="473"/>
      <c r="G153" s="473"/>
      <c r="H153" s="473"/>
      <c r="I153" s="473"/>
      <c r="J153" s="473"/>
      <c r="K153" s="473"/>
      <c r="L153" s="474"/>
      <c r="M153" s="666"/>
      <c r="N153" s="452">
        <v>5</v>
      </c>
      <c r="O153" s="451">
        <v>2</v>
      </c>
      <c r="P153" s="450"/>
    </row>
    <row r="154" spans="1:26" s="50" customFormat="1" ht="15.6">
      <c r="A154" s="320"/>
      <c r="B154" s="666"/>
      <c r="C154" s="666"/>
      <c r="D154" s="441" t="s">
        <v>340</v>
      </c>
      <c r="E154" s="1010"/>
      <c r="F154" s="497"/>
      <c r="G154" s="497"/>
      <c r="H154" s="681"/>
      <c r="I154"/>
      <c r="J154" s="666"/>
      <c r="K154" s="666"/>
      <c r="L154" s="666"/>
      <c r="M154" s="666"/>
      <c r="N154" s="452" t="s">
        <v>311</v>
      </c>
      <c r="O154" s="451"/>
      <c r="P154" s="450"/>
    </row>
    <row r="155" spans="1:26" s="50" customFormat="1" ht="15.6">
      <c r="A155" s="320"/>
      <c r="B155" s="666"/>
      <c r="C155" s="666"/>
      <c r="D155" s="441" t="s">
        <v>383</v>
      </c>
      <c r="E155" s="450"/>
      <c r="F155" s="498"/>
      <c r="G155" s="498"/>
      <c r="H155" s="498"/>
      <c r="I155" s="498"/>
      <c r="J155" s="450"/>
      <c r="K155" s="450"/>
      <c r="L155" s="450"/>
      <c r="M155" s="450"/>
      <c r="P155" s="446"/>
      <c r="Q155" s="57"/>
    </row>
    <row r="156" spans="1:26" s="165" customFormat="1" ht="15.6" thickBot="1">
      <c r="A156" s="63"/>
      <c r="B156" s="63"/>
      <c r="C156" s="121"/>
      <c r="D156" s="175" t="s">
        <v>384</v>
      </c>
      <c r="E156" s="475">
        <f>COUNTIF(E157:E158,$R$3)</f>
        <v>1</v>
      </c>
      <c r="F156" s="1859" t="s">
        <v>828</v>
      </c>
      <c r="G156" s="1864"/>
      <c r="H156" s="1867" t="s">
        <v>829</v>
      </c>
      <c r="I156" s="1863"/>
      <c r="J156" s="1863"/>
      <c r="K156" s="1863"/>
      <c r="L156" s="1864"/>
      <c r="M156" s="63"/>
      <c r="N156" s="450"/>
      <c r="O156" s="63"/>
      <c r="P156" s="63"/>
      <c r="Q156" s="141"/>
      <c r="R156" s="141"/>
      <c r="S156" s="141"/>
      <c r="T156" s="141"/>
      <c r="U156" s="141"/>
      <c r="V156" s="141"/>
      <c r="W156" s="141"/>
      <c r="X156" s="141"/>
      <c r="Y156" s="97"/>
      <c r="Z156" s="97"/>
    </row>
    <row r="157" spans="1:26" s="165" customFormat="1" ht="15">
      <c r="A157" s="63"/>
      <c r="B157" s="63"/>
      <c r="C157" s="121"/>
      <c r="D157" s="442" t="s">
        <v>299</v>
      </c>
      <c r="E157" s="489" t="s">
        <v>389</v>
      </c>
      <c r="F157" s="490" t="s">
        <v>385</v>
      </c>
      <c r="G157" s="490"/>
      <c r="H157" s="491" t="s">
        <v>390</v>
      </c>
      <c r="I157" s="490"/>
      <c r="J157" s="492"/>
      <c r="K157" s="492"/>
      <c r="L157" s="493"/>
      <c r="M157" s="63"/>
      <c r="N157" s="450"/>
      <c r="O157" s="63"/>
      <c r="P157" s="63"/>
      <c r="Q157" s="141"/>
      <c r="R157" s="141"/>
      <c r="S157" s="141"/>
      <c r="T157" s="141"/>
      <c r="U157" s="141"/>
      <c r="V157" s="141"/>
      <c r="W157" s="141"/>
      <c r="X157" s="141"/>
      <c r="Y157" s="97"/>
      <c r="Z157" s="97"/>
    </row>
    <row r="158" spans="1:26" s="165" customFormat="1" ht="15.6" thickBot="1">
      <c r="A158" s="63"/>
      <c r="B158" s="63"/>
      <c r="C158" s="121"/>
      <c r="D158" s="442" t="s">
        <v>300</v>
      </c>
      <c r="E158" s="494"/>
      <c r="F158" s="490" t="s">
        <v>388</v>
      </c>
      <c r="G158" s="490"/>
      <c r="H158" s="491" t="s">
        <v>390</v>
      </c>
      <c r="I158" s="490"/>
      <c r="J158" s="492"/>
      <c r="K158" s="492"/>
      <c r="L158" s="493"/>
      <c r="M158" s="63"/>
      <c r="N158" s="450"/>
      <c r="O158" s="63"/>
      <c r="P158" s="63"/>
      <c r="Q158" s="141"/>
      <c r="R158" s="141"/>
      <c r="S158" s="141"/>
      <c r="T158" s="141"/>
      <c r="U158" s="141"/>
      <c r="V158" s="141"/>
      <c r="W158" s="141"/>
      <c r="X158" s="141"/>
      <c r="Y158" s="97"/>
      <c r="Z158" s="97"/>
    </row>
    <row r="159" spans="1:26" customFormat="1" ht="13.2">
      <c r="F159" s="307"/>
      <c r="G159" s="307"/>
      <c r="H159" s="307"/>
      <c r="I159" s="307"/>
    </row>
    <row r="160" spans="1:26" s="165" customFormat="1" ht="15.6" thickBot="1">
      <c r="A160" s="63"/>
      <c r="B160" s="63"/>
      <c r="C160" s="121"/>
      <c r="D160" s="164" t="s">
        <v>391</v>
      </c>
      <c r="E160" s="450"/>
      <c r="F160" s="498"/>
      <c r="G160" s="498"/>
      <c r="H160" s="498"/>
      <c r="I160" s="462"/>
      <c r="J160" s="450"/>
      <c r="K160" s="450"/>
      <c r="L160" s="450"/>
      <c r="M160" s="450"/>
      <c r="N160" s="450"/>
      <c r="O160" s="63"/>
      <c r="P160" s="63"/>
      <c r="Q160" s="141"/>
      <c r="R160" s="141"/>
      <c r="S160" s="141"/>
      <c r="T160" s="141"/>
      <c r="U160" s="141"/>
      <c r="V160" s="141"/>
      <c r="W160" s="141"/>
      <c r="X160" s="141"/>
      <c r="Y160" s="97"/>
      <c r="Z160" s="97"/>
    </row>
    <row r="161" spans="1:26" s="50" customFormat="1" ht="16.2" thickBot="1">
      <c r="A161" s="320"/>
      <c r="B161" s="666"/>
      <c r="C161" s="666"/>
      <c r="D161" s="1239">
        <f>IF(E169&gt;=O166,N166,IF(E169&gt;=O165,N165,IF(E169&gt;=O164,N164,IF(E169&gt;=O163,N163,N162))))</f>
        <v>3</v>
      </c>
      <c r="E161" s="456" t="s">
        <v>1227</v>
      </c>
      <c r="F161" s="456"/>
      <c r="G161" s="456"/>
      <c r="H161" s="456"/>
      <c r="I161" s="456"/>
      <c r="J161" s="456"/>
      <c r="K161" s="456"/>
      <c r="L161" s="457"/>
      <c r="M161" s="63"/>
      <c r="N161" s="451" t="s">
        <v>335</v>
      </c>
      <c r="O161" s="451" t="s">
        <v>336</v>
      </c>
      <c r="P161" s="450"/>
    </row>
    <row r="162" spans="1:26" s="50" customFormat="1" ht="15.6">
      <c r="A162" s="320"/>
      <c r="B162" s="666"/>
      <c r="C162" s="666"/>
      <c r="D162" s="438" t="str">
        <f>IF(ROUNDDOWN(D161,0)=$N$2,$P$2,$O$2)</f>
        <v>　レベル　1</v>
      </c>
      <c r="E162" s="463" t="s">
        <v>898</v>
      </c>
      <c r="F162" s="464"/>
      <c r="G162" s="464"/>
      <c r="H162" s="464"/>
      <c r="I162" s="464"/>
      <c r="J162" s="464"/>
      <c r="K162" s="464"/>
      <c r="L162" s="465"/>
      <c r="M162" s="666"/>
      <c r="N162" s="452">
        <v>1</v>
      </c>
      <c r="O162" s="451">
        <v>0</v>
      </c>
      <c r="P162" s="450"/>
    </row>
    <row r="163" spans="1:26" s="50" customFormat="1" ht="15.6">
      <c r="A163" s="320"/>
      <c r="B163" s="666"/>
      <c r="C163" s="666"/>
      <c r="D163" s="439" t="str">
        <f>IF(ROUNDDOWN(D161,0)=$N$3,$P$3,$O$3)</f>
        <v>　レベル　2</v>
      </c>
      <c r="E163" s="466" t="s">
        <v>1273</v>
      </c>
      <c r="F163" s="467"/>
      <c r="G163" s="467"/>
      <c r="H163" s="467"/>
      <c r="I163" s="467"/>
      <c r="J163" s="467"/>
      <c r="K163" s="467"/>
      <c r="L163" s="468"/>
      <c r="M163" s="63"/>
      <c r="N163" s="452">
        <v>2</v>
      </c>
      <c r="O163" s="451">
        <v>1</v>
      </c>
      <c r="P163" s="450"/>
    </row>
    <row r="164" spans="1:26" s="50" customFormat="1" ht="15.6">
      <c r="A164" s="320"/>
      <c r="B164" s="666"/>
      <c r="C164" s="666"/>
      <c r="D164" s="439" t="str">
        <f>IF(ROUNDDOWN(D161,0)=$N$4,$P$4,$O$4)</f>
        <v>■レベル　3</v>
      </c>
      <c r="E164" s="466" t="s">
        <v>1274</v>
      </c>
      <c r="F164" s="467"/>
      <c r="G164" s="467"/>
      <c r="H164" s="467"/>
      <c r="I164" s="467"/>
      <c r="J164" s="467"/>
      <c r="K164" s="467"/>
      <c r="L164" s="468"/>
      <c r="M164" s="666"/>
      <c r="N164" s="452">
        <v>3</v>
      </c>
      <c r="O164" s="451">
        <v>2</v>
      </c>
      <c r="P164" s="450"/>
    </row>
    <row r="165" spans="1:26" s="50" customFormat="1" ht="15.6">
      <c r="A165" s="320"/>
      <c r="B165" s="666"/>
      <c r="C165" s="666"/>
      <c r="D165" s="439" t="str">
        <f>IF(ROUNDDOWN(D161,0)=$N$5,$P$5,$O$5)</f>
        <v>　レベル　4</v>
      </c>
      <c r="E165" s="469" t="s">
        <v>341</v>
      </c>
      <c r="F165" s="470"/>
      <c r="G165" s="470"/>
      <c r="H165" s="470"/>
      <c r="I165" s="470"/>
      <c r="J165" s="470"/>
      <c r="K165" s="470"/>
      <c r="L165" s="471"/>
      <c r="M165" s="63"/>
      <c r="N165" s="452" t="s">
        <v>311</v>
      </c>
      <c r="O165" s="451" t="s">
        <v>311</v>
      </c>
      <c r="P165" s="450"/>
    </row>
    <row r="166" spans="1:26" s="50" customFormat="1" ht="15.6">
      <c r="A166" s="320"/>
      <c r="B166" s="666"/>
      <c r="C166" s="666"/>
      <c r="D166" s="440" t="str">
        <f>IF(ROUNDDOWN(D161,0)=$N$6,$P$6,$O$6)</f>
        <v>　レベル　5</v>
      </c>
      <c r="E166" s="472" t="s">
        <v>1275</v>
      </c>
      <c r="F166" s="473"/>
      <c r="G166" s="473"/>
      <c r="H166" s="473"/>
      <c r="I166" s="473"/>
      <c r="J166" s="473"/>
      <c r="K166" s="473"/>
      <c r="L166" s="474"/>
      <c r="M166" s="666"/>
      <c r="N166" s="452">
        <v>5</v>
      </c>
      <c r="O166" s="451">
        <v>3</v>
      </c>
      <c r="P166" s="450"/>
    </row>
    <row r="167" spans="1:26" s="50" customFormat="1" ht="15.6">
      <c r="A167" s="320"/>
      <c r="B167" s="666"/>
      <c r="C167" s="666"/>
      <c r="D167" s="441" t="s">
        <v>340</v>
      </c>
      <c r="E167" s="1010"/>
      <c r="F167" s="497"/>
      <c r="G167" s="497"/>
      <c r="H167" s="681"/>
      <c r="I167"/>
      <c r="J167" s="666"/>
      <c r="K167" s="666"/>
      <c r="L167" s="666"/>
      <c r="M167" s="666"/>
      <c r="N167" s="452" t="s">
        <v>311</v>
      </c>
      <c r="O167" s="451"/>
      <c r="P167" s="450"/>
    </row>
    <row r="168" spans="1:26" s="50" customFormat="1" ht="15.6">
      <c r="A168" s="320"/>
      <c r="B168" s="666"/>
      <c r="C168" s="671"/>
      <c r="D168" s="441" t="s">
        <v>383</v>
      </c>
      <c r="E168" s="450"/>
      <c r="F168" s="498"/>
      <c r="G168" s="498"/>
      <c r="H168" s="498"/>
      <c r="I168" s="498"/>
      <c r="J168" s="450"/>
      <c r="K168" s="450"/>
      <c r="L168" s="450"/>
      <c r="M168" s="450"/>
      <c r="P168" s="446"/>
    </row>
    <row r="169" spans="1:26" s="165" customFormat="1" ht="15.6" thickBot="1">
      <c r="A169" s="63"/>
      <c r="B169" s="63"/>
      <c r="C169" s="121"/>
      <c r="D169" s="175" t="s">
        <v>384</v>
      </c>
      <c r="E169" s="475">
        <f>COUNTIF(E170:E172,$R$3)</f>
        <v>2</v>
      </c>
      <c r="F169" s="459" t="s">
        <v>828</v>
      </c>
      <c r="G169" s="459" t="s">
        <v>829</v>
      </c>
      <c r="H169" s="460"/>
      <c r="I169" s="460"/>
      <c r="J169" s="460"/>
      <c r="K169" s="460"/>
      <c r="L169" s="461"/>
      <c r="M169" s="63"/>
      <c r="N169" s="450"/>
      <c r="O169" s="63"/>
      <c r="P169" s="63"/>
      <c r="Q169" s="141"/>
      <c r="R169" s="141"/>
      <c r="S169" s="141"/>
      <c r="T169" s="141"/>
      <c r="U169" s="141"/>
      <c r="V169" s="141"/>
      <c r="W169" s="141"/>
      <c r="X169" s="141"/>
      <c r="Y169" s="97"/>
      <c r="Z169" s="97"/>
    </row>
    <row r="170" spans="1:26" s="165" customFormat="1" ht="15">
      <c r="A170" s="63"/>
      <c r="B170" s="63"/>
      <c r="C170" s="121"/>
      <c r="D170" s="442" t="s">
        <v>299</v>
      </c>
      <c r="E170" s="489" t="s">
        <v>387</v>
      </c>
      <c r="F170" s="795" t="s">
        <v>830</v>
      </c>
      <c r="G170" s="491" t="s">
        <v>831</v>
      </c>
      <c r="H170" s="500"/>
      <c r="I170" s="490"/>
      <c r="J170" s="492"/>
      <c r="K170" s="492"/>
      <c r="L170" s="493"/>
      <c r="M170" s="63"/>
      <c r="N170" s="450"/>
      <c r="O170" s="63"/>
      <c r="P170" s="63"/>
      <c r="Q170" s="141"/>
      <c r="R170" s="141"/>
      <c r="S170" s="141"/>
      <c r="T170" s="141"/>
      <c r="U170" s="141"/>
      <c r="V170" s="141"/>
      <c r="W170" s="141"/>
      <c r="X170" s="141"/>
      <c r="Y170" s="97"/>
      <c r="Z170" s="97"/>
    </row>
    <row r="171" spans="1:26" s="165" customFormat="1" ht="15">
      <c r="A171" s="63"/>
      <c r="B171" s="63"/>
      <c r="C171" s="121"/>
      <c r="D171" s="442" t="s">
        <v>300</v>
      </c>
      <c r="E171" s="495"/>
      <c r="F171" s="795" t="s">
        <v>832</v>
      </c>
      <c r="G171" s="491" t="s">
        <v>833</v>
      </c>
      <c r="H171" s="500"/>
      <c r="I171" s="490"/>
      <c r="J171" s="492"/>
      <c r="K171" s="492"/>
      <c r="L171" s="493"/>
      <c r="M171" s="63"/>
      <c r="N171" s="450"/>
      <c r="O171" s="63"/>
      <c r="P171" s="63"/>
      <c r="Q171" s="141"/>
      <c r="R171" s="141"/>
      <c r="S171" s="141"/>
      <c r="T171" s="141"/>
      <c r="U171" s="141"/>
      <c r="V171" s="141"/>
      <c r="W171" s="141"/>
      <c r="X171" s="141"/>
      <c r="Y171" s="97"/>
      <c r="Z171" s="97"/>
    </row>
    <row r="172" spans="1:26" s="165" customFormat="1" ht="15.6" thickBot="1">
      <c r="A172" s="63"/>
      <c r="B172" s="63"/>
      <c r="C172" s="121"/>
      <c r="D172" s="442" t="s">
        <v>301</v>
      </c>
      <c r="E172" s="494" t="s">
        <v>389</v>
      </c>
      <c r="F172" s="795" t="s">
        <v>834</v>
      </c>
      <c r="G172" s="491" t="s">
        <v>835</v>
      </c>
      <c r="H172" s="500"/>
      <c r="I172" s="490"/>
      <c r="J172" s="492"/>
      <c r="K172" s="492"/>
      <c r="L172" s="493"/>
      <c r="M172" s="63"/>
      <c r="N172" s="450"/>
      <c r="O172" s="63"/>
      <c r="P172" s="63"/>
      <c r="Q172" s="141"/>
      <c r="R172" s="141"/>
      <c r="S172" s="141"/>
      <c r="T172" s="141"/>
      <c r="U172" s="141"/>
      <c r="V172" s="141"/>
      <c r="W172" s="141"/>
      <c r="X172" s="141"/>
      <c r="Y172" s="97"/>
      <c r="Z172" s="97"/>
    </row>
    <row r="173" spans="1:26" customFormat="1" ht="13.2">
      <c r="F173" s="307"/>
      <c r="G173" s="307"/>
      <c r="H173" s="307"/>
      <c r="I173" s="307"/>
    </row>
    <row r="174" spans="1:26" s="51" customFormat="1" ht="15.6">
      <c r="A174" s="121"/>
      <c r="B174" s="121"/>
      <c r="C174" s="668" t="s">
        <v>976</v>
      </c>
      <c r="D174" s="674"/>
      <c r="E174" s="121"/>
      <c r="F174" s="81"/>
      <c r="G174" s="81"/>
      <c r="H174" s="680"/>
      <c r="I174" s="81"/>
      <c r="J174" s="63"/>
      <c r="K174" s="63"/>
      <c r="L174" s="63"/>
      <c r="M174" s="63"/>
      <c r="N174" s="450"/>
      <c r="O174" s="63"/>
      <c r="P174" s="63"/>
    </row>
    <row r="175" spans="1:26" s="165" customFormat="1" ht="15.6" thickBot="1">
      <c r="A175" s="63"/>
      <c r="B175" s="63"/>
      <c r="C175" s="121"/>
      <c r="D175" s="164" t="s">
        <v>1228</v>
      </c>
      <c r="E175" s="450"/>
      <c r="F175" s="498"/>
      <c r="G175" s="498"/>
      <c r="H175" s="498"/>
      <c r="I175" s="462"/>
      <c r="J175" s="450"/>
      <c r="K175" s="450"/>
      <c r="L175" s="450"/>
      <c r="M175" s="450"/>
      <c r="N175" s="450"/>
      <c r="O175" s="63"/>
      <c r="P175" s="63"/>
      <c r="Q175" s="141"/>
      <c r="R175" s="141"/>
      <c r="S175" s="141"/>
      <c r="T175" s="141"/>
      <c r="U175" s="141"/>
      <c r="V175" s="141"/>
      <c r="W175" s="141"/>
      <c r="X175" s="141"/>
      <c r="Y175" s="97"/>
      <c r="Z175" s="97"/>
    </row>
    <row r="176" spans="1:26" s="50" customFormat="1" ht="16.2" thickBot="1">
      <c r="A176" s="320"/>
      <c r="B176" s="666"/>
      <c r="C176" s="666"/>
      <c r="D176" s="1239">
        <f>IF(E184&gt;=O181,N181,IF(E184&gt;=O180,N180,IF(E184&gt;=O179,N179,IF(E184&gt;=O178,N178,N177))))</f>
        <v>3</v>
      </c>
      <c r="E176" s="456" t="s">
        <v>1227</v>
      </c>
      <c r="F176" s="456"/>
      <c r="G176" s="456"/>
      <c r="H176" s="456"/>
      <c r="I176" s="456"/>
      <c r="J176" s="456"/>
      <c r="K176" s="456"/>
      <c r="L176" s="457"/>
      <c r="M176" s="63"/>
      <c r="N176" s="451" t="s">
        <v>335</v>
      </c>
      <c r="O176" s="451" t="s">
        <v>336</v>
      </c>
      <c r="P176" s="450"/>
    </row>
    <row r="177" spans="1:18" s="50" customFormat="1" ht="15.6">
      <c r="A177" s="320"/>
      <c r="B177" s="666"/>
      <c r="C177" s="666"/>
      <c r="D177" s="438" t="str">
        <f>IF(ROUNDDOWN(D176,0)=$N$2,$P$2,$O$2)</f>
        <v>　レベル　1</v>
      </c>
      <c r="E177" s="463" t="s">
        <v>898</v>
      </c>
      <c r="F177" s="464"/>
      <c r="G177" s="464"/>
      <c r="H177" s="464"/>
      <c r="I177" s="464"/>
      <c r="J177" s="464"/>
      <c r="K177" s="464"/>
      <c r="L177" s="465"/>
      <c r="M177" s="666"/>
      <c r="N177" s="452">
        <v>1</v>
      </c>
      <c r="O177" s="451">
        <v>0</v>
      </c>
      <c r="P177" s="450"/>
    </row>
    <row r="178" spans="1:18" s="50" customFormat="1" ht="15.6">
      <c r="A178" s="320"/>
      <c r="B178" s="666"/>
      <c r="C178" s="666"/>
      <c r="D178" s="439" t="str">
        <f>IF(ROUNDDOWN(D176,0)=$N$3,$P$3,$O$3)</f>
        <v>　レベル　2</v>
      </c>
      <c r="E178" s="466" t="s">
        <v>1276</v>
      </c>
      <c r="F178" s="467"/>
      <c r="G178" s="467"/>
      <c r="H178" s="467"/>
      <c r="I178" s="467"/>
      <c r="J178" s="467"/>
      <c r="K178" s="467"/>
      <c r="L178" s="468"/>
      <c r="M178" s="63"/>
      <c r="N178" s="452">
        <v>2</v>
      </c>
      <c r="O178" s="451">
        <v>1</v>
      </c>
      <c r="P178" s="450"/>
    </row>
    <row r="179" spans="1:18" s="50" customFormat="1" ht="15.6">
      <c r="A179" s="320"/>
      <c r="B179" s="666"/>
      <c r="C179" s="666"/>
      <c r="D179" s="439" t="str">
        <f>IF(ROUNDDOWN(D176,0)=$N$4,$P$4,$O$4)</f>
        <v>■レベル　3</v>
      </c>
      <c r="E179" s="466" t="s">
        <v>1277</v>
      </c>
      <c r="F179" s="467"/>
      <c r="G179" s="467"/>
      <c r="H179" s="467"/>
      <c r="I179" s="467"/>
      <c r="J179" s="467"/>
      <c r="K179" s="467"/>
      <c r="L179" s="468"/>
      <c r="M179" s="666"/>
      <c r="N179" s="452">
        <v>3</v>
      </c>
      <c r="O179" s="451">
        <v>3</v>
      </c>
      <c r="P179" s="450"/>
    </row>
    <row r="180" spans="1:18" s="50" customFormat="1" ht="15.6">
      <c r="A180" s="320"/>
      <c r="B180" s="666"/>
      <c r="C180" s="666"/>
      <c r="D180" s="439" t="str">
        <f>IF(ROUNDDOWN(D176,0)=$N$5,$P$5,$O$5)</f>
        <v>　レベル　4</v>
      </c>
      <c r="E180" s="469" t="s">
        <v>1278</v>
      </c>
      <c r="F180" s="470"/>
      <c r="G180" s="470"/>
      <c r="H180" s="470"/>
      <c r="I180" s="470"/>
      <c r="J180" s="470"/>
      <c r="K180" s="470"/>
      <c r="L180" s="471"/>
      <c r="M180" s="63"/>
      <c r="N180" s="452">
        <v>4</v>
      </c>
      <c r="O180" s="451">
        <v>5</v>
      </c>
      <c r="P180" s="450"/>
    </row>
    <row r="181" spans="1:18" s="50" customFormat="1" ht="15.6">
      <c r="A181" s="320"/>
      <c r="B181" s="666"/>
      <c r="C181" s="666"/>
      <c r="D181" s="440" t="str">
        <f>IF(ROUNDDOWN(D176,0)=$N$6,$P$6,$O$6)</f>
        <v>　レベル　5</v>
      </c>
      <c r="E181" s="472" t="s">
        <v>1279</v>
      </c>
      <c r="F181" s="473"/>
      <c r="G181" s="473"/>
      <c r="H181" s="473"/>
      <c r="I181" s="473"/>
      <c r="J181" s="473"/>
      <c r="K181" s="473"/>
      <c r="L181" s="474"/>
      <c r="M181" s="666"/>
      <c r="N181" s="452">
        <v>5</v>
      </c>
      <c r="O181" s="451">
        <v>7</v>
      </c>
      <c r="P181" s="450"/>
    </row>
    <row r="182" spans="1:18" s="50" customFormat="1" ht="15.6">
      <c r="A182" s="320"/>
      <c r="B182" s="666"/>
      <c r="C182" s="666"/>
      <c r="D182" s="441" t="s">
        <v>340</v>
      </c>
      <c r="E182" s="1010"/>
      <c r="F182" s="497"/>
      <c r="G182" s="497"/>
      <c r="H182" s="681"/>
      <c r="I182"/>
      <c r="J182" s="666"/>
      <c r="K182" s="666"/>
      <c r="L182" s="666"/>
      <c r="M182" s="666"/>
      <c r="N182" s="452" t="s">
        <v>311</v>
      </c>
      <c r="O182" s="451"/>
      <c r="P182" s="450"/>
    </row>
    <row r="183" spans="1:18" s="50" customFormat="1" ht="15">
      <c r="A183" s="320"/>
      <c r="B183" s="450"/>
      <c r="C183" s="671"/>
      <c r="D183" s="441" t="s">
        <v>383</v>
      </c>
      <c r="E183" s="450"/>
      <c r="F183" s="498"/>
      <c r="G183" s="498"/>
      <c r="H183" s="498"/>
      <c r="I183" s="498"/>
      <c r="J183" s="450"/>
      <c r="K183" s="450"/>
      <c r="L183" s="450"/>
      <c r="M183" s="450"/>
      <c r="P183" s="446"/>
    </row>
    <row r="184" spans="1:18" ht="15.6" thickBot="1">
      <c r="A184" s="63"/>
      <c r="B184" s="63"/>
      <c r="C184" s="121"/>
      <c r="D184" s="175" t="s">
        <v>384</v>
      </c>
      <c r="E184" s="475">
        <f>COUNTIF(E185:E192,$R$3)</f>
        <v>3</v>
      </c>
      <c r="F184" s="1859" t="s">
        <v>828</v>
      </c>
      <c r="G184" s="1860"/>
      <c r="H184" s="1861"/>
      <c r="I184" s="1859" t="s">
        <v>829</v>
      </c>
      <c r="J184" s="1860"/>
      <c r="K184" s="1860"/>
      <c r="L184" s="1861"/>
      <c r="M184" s="63"/>
      <c r="N184" s="450"/>
      <c r="O184" s="63"/>
      <c r="P184" s="63"/>
      <c r="Q184" s="141"/>
      <c r="R184" s="141"/>
    </row>
    <row r="185" spans="1:18" ht="27.6" customHeight="1">
      <c r="A185" s="63"/>
      <c r="B185" s="63"/>
      <c r="C185" s="121"/>
      <c r="D185" s="442" t="s">
        <v>299</v>
      </c>
      <c r="E185" s="489"/>
      <c r="F185" s="1847" t="s">
        <v>393</v>
      </c>
      <c r="G185" s="1848"/>
      <c r="H185" s="1849"/>
      <c r="I185" s="1850" t="s">
        <v>392</v>
      </c>
      <c r="J185" s="1850"/>
      <c r="K185" s="1850"/>
      <c r="L185" s="1851"/>
      <c r="M185" s="63"/>
      <c r="N185" s="450"/>
      <c r="O185" s="63"/>
      <c r="P185" s="63"/>
      <c r="Q185" s="97"/>
      <c r="R185" s="97"/>
    </row>
    <row r="186" spans="1:18" ht="27.6" customHeight="1">
      <c r="A186" s="63"/>
      <c r="B186" s="63"/>
      <c r="C186" s="121"/>
      <c r="D186" s="442" t="s">
        <v>300</v>
      </c>
      <c r="E186" s="495" t="s">
        <v>387</v>
      </c>
      <c r="F186" s="1847" t="s">
        <v>394</v>
      </c>
      <c r="G186" s="1848"/>
      <c r="H186" s="1849"/>
      <c r="I186" s="1852"/>
      <c r="J186" s="1852"/>
      <c r="K186" s="1852"/>
      <c r="L186" s="1853"/>
      <c r="M186" s="63"/>
      <c r="N186" s="450"/>
      <c r="O186" s="63"/>
      <c r="P186" s="63"/>
      <c r="Q186" s="97"/>
      <c r="R186" s="97"/>
    </row>
    <row r="187" spans="1:18" ht="27.6" customHeight="1">
      <c r="A187" s="63"/>
      <c r="B187" s="63"/>
      <c r="C187" s="121"/>
      <c r="D187" s="442" t="s">
        <v>301</v>
      </c>
      <c r="E187" s="495" t="s">
        <v>1957</v>
      </c>
      <c r="F187" s="1856" t="s">
        <v>837</v>
      </c>
      <c r="G187" s="1857"/>
      <c r="H187" s="1858"/>
      <c r="I187" s="1852"/>
      <c r="J187" s="1852"/>
      <c r="K187" s="1852"/>
      <c r="L187" s="1853"/>
      <c r="M187" s="63"/>
      <c r="N187" s="450"/>
      <c r="O187" s="63"/>
      <c r="P187" s="63"/>
      <c r="Q187" s="97"/>
      <c r="R187" s="97"/>
    </row>
    <row r="188" spans="1:18" ht="27.6" customHeight="1">
      <c r="A188" s="63"/>
      <c r="B188" s="63"/>
      <c r="C188" s="121"/>
      <c r="D188" s="442" t="s">
        <v>302</v>
      </c>
      <c r="E188" s="495" t="s">
        <v>1957</v>
      </c>
      <c r="F188" s="1847" t="s">
        <v>395</v>
      </c>
      <c r="G188" s="1848"/>
      <c r="H188" s="1849"/>
      <c r="I188" s="1852"/>
      <c r="J188" s="1852"/>
      <c r="K188" s="1852"/>
      <c r="L188" s="1853"/>
      <c r="M188" s="63"/>
      <c r="N188" s="450"/>
      <c r="O188" s="63"/>
      <c r="P188" s="63"/>
      <c r="Q188" s="97"/>
      <c r="R188" s="97"/>
    </row>
    <row r="189" spans="1:18" ht="27.6" customHeight="1">
      <c r="A189" s="63"/>
      <c r="B189" s="63"/>
      <c r="C189" s="121"/>
      <c r="D189" s="442" t="s">
        <v>303</v>
      </c>
      <c r="E189" s="495" t="s">
        <v>389</v>
      </c>
      <c r="F189" s="1847" t="s">
        <v>396</v>
      </c>
      <c r="G189" s="1848"/>
      <c r="H189" s="1849"/>
      <c r="I189" s="1854"/>
      <c r="J189" s="1854"/>
      <c r="K189" s="1854"/>
      <c r="L189" s="1855"/>
      <c r="M189" s="63"/>
      <c r="N189" s="450"/>
      <c r="O189" s="63"/>
      <c r="P189" s="63"/>
      <c r="Q189" s="97"/>
      <c r="R189" s="97"/>
    </row>
    <row r="190" spans="1:18" ht="27.6" customHeight="1">
      <c r="A190" s="63"/>
      <c r="B190" s="63"/>
      <c r="C190" s="121"/>
      <c r="D190" s="442" t="s">
        <v>304</v>
      </c>
      <c r="E190" s="495"/>
      <c r="F190" s="1847" t="s">
        <v>398</v>
      </c>
      <c r="G190" s="1848"/>
      <c r="H190" s="1849"/>
      <c r="I190" s="1850" t="s">
        <v>397</v>
      </c>
      <c r="J190" s="1850"/>
      <c r="K190" s="1850"/>
      <c r="L190" s="1851"/>
      <c r="M190" s="63"/>
      <c r="N190" s="450"/>
      <c r="O190" s="63"/>
      <c r="P190" s="63"/>
      <c r="Q190" s="97"/>
      <c r="R190" s="97"/>
    </row>
    <row r="191" spans="1:18" ht="27.6" customHeight="1">
      <c r="A191" s="63"/>
      <c r="B191" s="63"/>
      <c r="C191" s="121"/>
      <c r="D191" s="442" t="s">
        <v>305</v>
      </c>
      <c r="E191" s="495"/>
      <c r="F191" s="1847" t="s">
        <v>399</v>
      </c>
      <c r="G191" s="1848"/>
      <c r="H191" s="1849"/>
      <c r="I191" s="1852"/>
      <c r="J191" s="1852"/>
      <c r="K191" s="1852"/>
      <c r="L191" s="1853"/>
      <c r="M191" s="63"/>
      <c r="N191" s="450"/>
      <c r="O191" s="63"/>
      <c r="P191" s="63"/>
      <c r="Q191" s="97"/>
      <c r="R191" s="97"/>
    </row>
    <row r="192" spans="1:18" ht="27.6" customHeight="1" thickBot="1">
      <c r="A192" s="63"/>
      <c r="B192" s="63"/>
      <c r="C192" s="121"/>
      <c r="D192" s="442" t="s">
        <v>306</v>
      </c>
      <c r="E192" s="494" t="s">
        <v>387</v>
      </c>
      <c r="F192" s="1847" t="s">
        <v>400</v>
      </c>
      <c r="G192" s="1848"/>
      <c r="H192" s="1849"/>
      <c r="I192" s="1854"/>
      <c r="J192" s="1854"/>
      <c r="K192" s="1854"/>
      <c r="L192" s="1855"/>
      <c r="M192" s="63"/>
      <c r="N192" s="450"/>
      <c r="O192" s="63"/>
      <c r="P192" s="63"/>
      <c r="Q192" s="97"/>
      <c r="R192" s="97"/>
    </row>
    <row r="193" spans="1:26" ht="13.8">
      <c r="A193" s="63"/>
      <c r="B193" s="63"/>
      <c r="C193" s="63"/>
      <c r="D193" s="63"/>
      <c r="E193" s="63"/>
      <c r="F193" s="63"/>
      <c r="G193" s="63"/>
      <c r="H193" s="63"/>
      <c r="I193" s="63"/>
      <c r="J193" s="63"/>
      <c r="K193" s="63"/>
      <c r="L193" s="63"/>
      <c r="M193" s="63"/>
      <c r="N193" s="63"/>
      <c r="O193" s="63"/>
      <c r="P193" s="63"/>
      <c r="Q193" s="63"/>
      <c r="R193" s="63"/>
    </row>
    <row r="194" spans="1:26" ht="15.6" thickBot="1">
      <c r="A194" s="63"/>
      <c r="B194" s="63"/>
      <c r="C194" s="121"/>
      <c r="D194" s="164" t="s">
        <v>836</v>
      </c>
      <c r="E194" s="450"/>
      <c r="F194" s="498"/>
      <c r="G194" s="498"/>
      <c r="H194" s="498"/>
      <c r="I194" s="462"/>
      <c r="J194" s="450"/>
      <c r="K194" s="450"/>
      <c r="L194" s="450"/>
      <c r="M194" s="450"/>
      <c r="N194" s="450"/>
      <c r="O194" s="63"/>
      <c r="P194" s="63"/>
      <c r="Q194" s="141"/>
      <c r="R194" s="141"/>
    </row>
    <row r="195" spans="1:26" s="50" customFormat="1" ht="16.2" thickBot="1">
      <c r="A195" s="320"/>
      <c r="B195" s="666"/>
      <c r="C195" s="666"/>
      <c r="D195" s="1239">
        <f>IF(E203&gt;=O200,N200,IF(E203&gt;=O199,N199,IF(E203&gt;=O198,N198,IF(E203&gt;=O197,N197,N196))))</f>
        <v>3</v>
      </c>
      <c r="E195" s="456" t="s">
        <v>1227</v>
      </c>
      <c r="F195" s="456"/>
      <c r="G195" s="456"/>
      <c r="H195" s="456"/>
      <c r="I195" s="456"/>
      <c r="J195" s="456"/>
      <c r="K195" s="456"/>
      <c r="L195" s="457"/>
      <c r="M195" s="63"/>
      <c r="N195" s="451" t="s">
        <v>335</v>
      </c>
      <c r="O195" s="451" t="s">
        <v>336</v>
      </c>
      <c r="P195" s="450"/>
    </row>
    <row r="196" spans="1:26" s="50" customFormat="1" ht="15.6">
      <c r="A196" s="320"/>
      <c r="B196" s="666"/>
      <c r="C196" s="666"/>
      <c r="D196" s="438" t="str">
        <f>IF(ROUNDDOWN(D195,0)=$N$2,$P$2,$O$2)</f>
        <v>　レベル　1</v>
      </c>
      <c r="E196" s="463" t="s">
        <v>898</v>
      </c>
      <c r="F196" s="464"/>
      <c r="G196" s="464"/>
      <c r="H196" s="464"/>
      <c r="I196" s="464"/>
      <c r="J196" s="464"/>
      <c r="K196" s="464"/>
      <c r="L196" s="465"/>
      <c r="M196" s="666"/>
      <c r="N196" s="452">
        <v>1</v>
      </c>
      <c r="O196" s="451">
        <v>0</v>
      </c>
      <c r="P196" s="450"/>
    </row>
    <row r="197" spans="1:26" s="50" customFormat="1" ht="15.6">
      <c r="A197" s="320"/>
      <c r="B197" s="666"/>
      <c r="C197" s="666"/>
      <c r="D197" s="439" t="str">
        <f>IF(ROUNDDOWN(D195,0)=$N$3,$P$3,$O$3)</f>
        <v>　レベル　2</v>
      </c>
      <c r="E197" s="466" t="s">
        <v>341</v>
      </c>
      <c r="F197" s="467"/>
      <c r="G197" s="467"/>
      <c r="H197" s="467"/>
      <c r="I197" s="467"/>
      <c r="J197" s="467"/>
      <c r="K197" s="467"/>
      <c r="L197" s="468"/>
      <c r="M197" s="63"/>
      <c r="N197" s="452" t="s">
        <v>311</v>
      </c>
      <c r="O197" s="451" t="s">
        <v>311</v>
      </c>
      <c r="P197" s="450"/>
    </row>
    <row r="198" spans="1:26" s="50" customFormat="1" ht="15.6">
      <c r="A198" s="320"/>
      <c r="B198" s="666"/>
      <c r="C198" s="666"/>
      <c r="D198" s="439" t="str">
        <f>IF(ROUNDDOWN(D195,0)=$N$4,$P$4,$O$4)</f>
        <v>■レベル　3</v>
      </c>
      <c r="E198" s="466" t="s">
        <v>1273</v>
      </c>
      <c r="F198" s="467"/>
      <c r="G198" s="467"/>
      <c r="H198" s="467"/>
      <c r="I198" s="467"/>
      <c r="J198" s="467"/>
      <c r="K198" s="467"/>
      <c r="L198" s="468"/>
      <c r="M198" s="666"/>
      <c r="N198" s="452">
        <v>3</v>
      </c>
      <c r="O198" s="451">
        <v>1</v>
      </c>
      <c r="P198" s="450"/>
    </row>
    <row r="199" spans="1:26" s="50" customFormat="1" ht="15.6">
      <c r="A199" s="320"/>
      <c r="B199" s="666"/>
      <c r="C199" s="666"/>
      <c r="D199" s="439" t="str">
        <f>IF(ROUNDDOWN(D195,0)=$N$5,$P$5,$O$5)</f>
        <v>　レベル　4</v>
      </c>
      <c r="E199" s="469" t="s">
        <v>1274</v>
      </c>
      <c r="F199" s="470"/>
      <c r="G199" s="470"/>
      <c r="H199" s="470"/>
      <c r="I199" s="470"/>
      <c r="J199" s="470"/>
      <c r="K199" s="470"/>
      <c r="L199" s="471"/>
      <c r="M199" s="63"/>
      <c r="N199" s="452">
        <v>4</v>
      </c>
      <c r="O199" s="451">
        <v>2</v>
      </c>
      <c r="P199" s="450"/>
    </row>
    <row r="200" spans="1:26" s="50" customFormat="1" ht="15.6">
      <c r="A200" s="320"/>
      <c r="B200" s="666"/>
      <c r="C200" s="666"/>
      <c r="D200" s="440" t="str">
        <f>IF(ROUNDDOWN(D195,0)=$N$6,$P$6,$O$6)</f>
        <v>　レベル　5</v>
      </c>
      <c r="E200" s="472" t="s">
        <v>1275</v>
      </c>
      <c r="F200" s="473"/>
      <c r="G200" s="473"/>
      <c r="H200" s="473"/>
      <c r="I200" s="473"/>
      <c r="J200" s="473"/>
      <c r="K200" s="473"/>
      <c r="L200" s="474"/>
      <c r="M200" s="666"/>
      <c r="N200" s="452">
        <v>5</v>
      </c>
      <c r="O200" s="451">
        <v>3</v>
      </c>
      <c r="P200" s="450"/>
    </row>
    <row r="201" spans="1:26" s="50" customFormat="1" ht="15.6">
      <c r="A201" s="320"/>
      <c r="B201" s="666"/>
      <c r="C201" s="666"/>
      <c r="D201" s="441" t="s">
        <v>340</v>
      </c>
      <c r="E201" s="1010"/>
      <c r="F201" s="497"/>
      <c r="G201" s="497"/>
      <c r="H201" s="681"/>
      <c r="I201"/>
      <c r="J201" s="666"/>
      <c r="K201" s="666"/>
      <c r="L201" s="666"/>
      <c r="M201" s="666"/>
      <c r="N201" s="452" t="s">
        <v>311</v>
      </c>
      <c r="O201" s="451"/>
      <c r="P201" s="450"/>
    </row>
    <row r="202" spans="1:26" s="50" customFormat="1" ht="15.6">
      <c r="A202" s="320"/>
      <c r="B202" s="666"/>
      <c r="C202" s="666"/>
      <c r="D202" s="441" t="s">
        <v>383</v>
      </c>
      <c r="E202" s="450"/>
      <c r="F202" s="498"/>
      <c r="G202" s="498"/>
      <c r="H202" s="498"/>
      <c r="I202" s="498"/>
      <c r="J202" s="450"/>
      <c r="K202" s="450"/>
      <c r="L202" s="450"/>
      <c r="M202" s="450"/>
      <c r="P202" s="446"/>
    </row>
    <row r="203" spans="1:26" s="165" customFormat="1" ht="15.6" thickBot="1">
      <c r="A203" s="63"/>
      <c r="B203" s="63"/>
      <c r="C203" s="121"/>
      <c r="D203" s="175" t="s">
        <v>384</v>
      </c>
      <c r="E203" s="475">
        <f>COUNTIF(E204:E206,$R$3)</f>
        <v>1</v>
      </c>
      <c r="F203" s="1859" t="s">
        <v>828</v>
      </c>
      <c r="G203" s="1860"/>
      <c r="H203" s="1861"/>
      <c r="I203" s="1862" t="s">
        <v>829</v>
      </c>
      <c r="J203" s="1863"/>
      <c r="K203" s="1863"/>
      <c r="L203" s="1864"/>
      <c r="M203" s="63"/>
      <c r="N203" s="450"/>
      <c r="O203" s="63"/>
      <c r="P203" s="63"/>
      <c r="Q203" s="141"/>
      <c r="R203" s="141"/>
      <c r="S203" s="141"/>
      <c r="T203" s="141"/>
      <c r="U203" s="141"/>
      <c r="V203" s="141"/>
      <c r="W203" s="141"/>
      <c r="X203" s="141"/>
      <c r="Y203" s="97"/>
      <c r="Z203" s="97"/>
    </row>
    <row r="204" spans="1:26" s="165" customFormat="1" ht="15">
      <c r="A204" s="63"/>
      <c r="B204" s="63"/>
      <c r="C204" s="121"/>
      <c r="D204" s="442" t="s">
        <v>299</v>
      </c>
      <c r="E204" s="489"/>
      <c r="F204" s="796" t="s">
        <v>401</v>
      </c>
      <c r="G204" s="797"/>
      <c r="H204" s="798"/>
      <c r="I204" s="1865" t="s">
        <v>397</v>
      </c>
      <c r="J204" s="1865"/>
      <c r="K204" s="1865"/>
      <c r="L204" s="1866"/>
      <c r="M204" s="63"/>
      <c r="N204" s="450"/>
      <c r="O204" s="63"/>
      <c r="P204" s="63"/>
      <c r="Q204" s="141"/>
      <c r="R204" s="141"/>
      <c r="S204" s="141"/>
      <c r="T204" s="141"/>
      <c r="U204" s="141"/>
      <c r="V204" s="141"/>
      <c r="W204" s="141"/>
      <c r="X204" s="141"/>
      <c r="Y204" s="97"/>
      <c r="Z204" s="97"/>
    </row>
    <row r="205" spans="1:26" s="165" customFormat="1" ht="15">
      <c r="A205" s="63"/>
      <c r="B205" s="63"/>
      <c r="C205" s="121"/>
      <c r="D205" s="442" t="s">
        <v>300</v>
      </c>
      <c r="E205" s="495" t="s">
        <v>387</v>
      </c>
      <c r="F205" s="796" t="s">
        <v>402</v>
      </c>
      <c r="G205" s="797"/>
      <c r="H205" s="798"/>
      <c r="I205" s="1865"/>
      <c r="J205" s="1865"/>
      <c r="K205" s="1865"/>
      <c r="L205" s="1866"/>
      <c r="M205" s="63"/>
      <c r="N205" s="450"/>
      <c r="O205" s="63"/>
      <c r="P205" s="63"/>
      <c r="Q205" s="141"/>
      <c r="R205" s="141"/>
      <c r="S205" s="141"/>
      <c r="T205" s="141"/>
      <c r="U205" s="141"/>
      <c r="V205" s="141"/>
      <c r="W205" s="141"/>
      <c r="X205" s="141"/>
      <c r="Y205" s="97"/>
      <c r="Z205" s="97"/>
    </row>
    <row r="206" spans="1:26" s="165" customFormat="1" ht="30.6" customHeight="1" thickBot="1">
      <c r="A206" s="63"/>
      <c r="B206" s="63"/>
      <c r="C206" s="121"/>
      <c r="D206" s="442" t="s">
        <v>301</v>
      </c>
      <c r="E206" s="494"/>
      <c r="F206" s="796" t="s">
        <v>403</v>
      </c>
      <c r="G206" s="797"/>
      <c r="H206" s="798"/>
      <c r="I206" s="1848" t="s">
        <v>392</v>
      </c>
      <c r="J206" s="1848"/>
      <c r="K206" s="1848"/>
      <c r="L206" s="1849"/>
      <c r="M206" s="63"/>
      <c r="N206" s="450"/>
      <c r="O206" s="63"/>
      <c r="P206" s="63"/>
      <c r="Q206" s="141"/>
      <c r="R206" s="141"/>
      <c r="S206" s="141"/>
      <c r="T206" s="141"/>
      <c r="U206" s="141"/>
      <c r="V206" s="141"/>
      <c r="W206" s="141"/>
      <c r="X206" s="141"/>
      <c r="Y206" s="97"/>
      <c r="Z206" s="97"/>
    </row>
    <row r="207" spans="1:26" customFormat="1" ht="13.2" customHeight="1">
      <c r="F207" s="307"/>
      <c r="G207" s="307"/>
      <c r="H207" s="307"/>
      <c r="I207" s="307"/>
    </row>
    <row r="208" spans="1:26" s="51" customFormat="1" ht="16.2" thickBot="1">
      <c r="A208" s="121"/>
      <c r="B208" s="668" t="s">
        <v>404</v>
      </c>
      <c r="C208" s="668"/>
      <c r="D208" s="164"/>
      <c r="E208" s="666"/>
      <c r="F208" s="677"/>
      <c r="G208" s="677"/>
      <c r="H208" s="677"/>
      <c r="I208" s="462"/>
      <c r="J208" s="666"/>
      <c r="K208" s="666"/>
      <c r="L208" s="678"/>
      <c r="M208" s="666"/>
      <c r="N208" s="63"/>
      <c r="O208" s="63"/>
      <c r="P208" s="63"/>
    </row>
    <row r="209" spans="1:25" s="50" customFormat="1" ht="16.2" thickBot="1">
      <c r="A209" s="320"/>
      <c r="B209" s="666"/>
      <c r="C209" s="666"/>
      <c r="D209" s="437">
        <v>3</v>
      </c>
      <c r="E209" s="456" t="s">
        <v>1227</v>
      </c>
      <c r="F209" s="456"/>
      <c r="G209" s="456"/>
      <c r="H209" s="456"/>
      <c r="I209" s="456"/>
      <c r="J209" s="456"/>
      <c r="K209" s="456"/>
      <c r="L209" s="457"/>
      <c r="M209" s="63"/>
      <c r="N209" s="451" t="s">
        <v>335</v>
      </c>
      <c r="O209" s="451" t="s">
        <v>336</v>
      </c>
      <c r="P209" s="63"/>
    </row>
    <row r="210" spans="1:25" s="50" customFormat="1" ht="15.6">
      <c r="A210" s="320"/>
      <c r="B210" s="666"/>
      <c r="C210" s="666"/>
      <c r="D210" s="438" t="str">
        <f>IF(ROUNDDOWN(D209,0)=$N$2,$P$2,$O$2)</f>
        <v>　レベル　1</v>
      </c>
      <c r="E210" s="463" t="s">
        <v>405</v>
      </c>
      <c r="F210" s="503"/>
      <c r="G210" s="503"/>
      <c r="H210" s="503"/>
      <c r="I210" s="503"/>
      <c r="J210" s="503"/>
      <c r="K210" s="503"/>
      <c r="L210" s="510"/>
      <c r="M210" s="666"/>
      <c r="N210" s="452">
        <v>1</v>
      </c>
      <c r="O210" s="453"/>
      <c r="P210" s="63"/>
    </row>
    <row r="211" spans="1:25" s="50" customFormat="1" ht="15.6">
      <c r="A211" s="320"/>
      <c r="B211" s="666"/>
      <c r="C211" s="666"/>
      <c r="D211" s="439" t="str">
        <f>IF(ROUNDDOWN(D209,0)=$N$3,$P$3,$O$3)</f>
        <v>　レベル　2</v>
      </c>
      <c r="E211" s="466" t="s">
        <v>341</v>
      </c>
      <c r="F211" s="504"/>
      <c r="G211" s="504"/>
      <c r="H211" s="504"/>
      <c r="I211" s="504"/>
      <c r="J211" s="504"/>
      <c r="K211" s="504"/>
      <c r="L211" s="511"/>
      <c r="M211" s="63"/>
      <c r="N211" s="452" t="s">
        <v>311</v>
      </c>
      <c r="O211" s="453"/>
      <c r="P211" s="63"/>
    </row>
    <row r="212" spans="1:25" s="50" customFormat="1" ht="15.6">
      <c r="A212" s="320"/>
      <c r="B212" s="666"/>
      <c r="C212" s="666"/>
      <c r="D212" s="439" t="str">
        <f>IF(ROUNDDOWN(D209,0)=$N$4,$P$4,$O$4)</f>
        <v>■レベル　3</v>
      </c>
      <c r="E212" s="466" t="s">
        <v>406</v>
      </c>
      <c r="F212" s="504"/>
      <c r="G212" s="504"/>
      <c r="H212" s="504"/>
      <c r="I212" s="504"/>
      <c r="J212" s="504"/>
      <c r="K212" s="504"/>
      <c r="L212" s="511"/>
      <c r="M212" s="666"/>
      <c r="N212" s="452">
        <v>3</v>
      </c>
      <c r="O212" s="453"/>
      <c r="P212" s="63"/>
    </row>
    <row r="213" spans="1:25" s="50" customFormat="1" ht="15.6">
      <c r="A213" s="320"/>
      <c r="B213" s="666"/>
      <c r="C213" s="666"/>
      <c r="D213" s="439" t="str">
        <f>IF(ROUNDDOWN(D209,0)=$N$5,$P$5,$O$5)</f>
        <v>　レベル　4</v>
      </c>
      <c r="E213" s="469" t="s">
        <v>407</v>
      </c>
      <c r="F213" s="505"/>
      <c r="G213" s="505"/>
      <c r="H213" s="505"/>
      <c r="I213" s="505"/>
      <c r="J213" s="505"/>
      <c r="K213" s="505"/>
      <c r="L213" s="512"/>
      <c r="M213" s="63"/>
      <c r="N213" s="452">
        <v>4</v>
      </c>
      <c r="O213" s="453"/>
      <c r="P213" s="63"/>
    </row>
    <row r="214" spans="1:25" s="50" customFormat="1" ht="31.95" customHeight="1">
      <c r="A214" s="320"/>
      <c r="B214" s="666"/>
      <c r="C214" s="666"/>
      <c r="D214" s="440" t="str">
        <f>IF(ROUNDDOWN(D209,0)=$N$6,$P$6,$O$6)</f>
        <v>　レベル　5</v>
      </c>
      <c r="E214" s="1844" t="s">
        <v>408</v>
      </c>
      <c r="F214" s="1845"/>
      <c r="G214" s="1845"/>
      <c r="H214" s="1845"/>
      <c r="I214" s="1845"/>
      <c r="J214" s="1845"/>
      <c r="K214" s="1845"/>
      <c r="L214" s="1846"/>
      <c r="M214" s="666"/>
      <c r="N214" s="452">
        <v>5</v>
      </c>
      <c r="O214" s="453"/>
      <c r="P214" s="63"/>
    </row>
    <row r="215" spans="1:25" ht="15.6">
      <c r="A215" s="63"/>
      <c r="B215" s="63"/>
      <c r="C215" s="121"/>
      <c r="D215" s="441" t="s">
        <v>340</v>
      </c>
      <c r="E215" s="1010"/>
      <c r="F215" s="717" t="s">
        <v>409</v>
      </c>
      <c r="G215" s="497"/>
      <c r="H215" s="681"/>
      <c r="I215"/>
      <c r="J215" s="666"/>
      <c r="K215" s="666"/>
      <c r="L215" s="666"/>
      <c r="M215" s="63"/>
      <c r="N215" s="452" t="s">
        <v>311</v>
      </c>
      <c r="O215" s="455"/>
      <c r="P215" s="63"/>
      <c r="Q215" s="141"/>
      <c r="R215" s="141"/>
      <c r="S215" s="141"/>
      <c r="T215" s="141"/>
      <c r="U215" s="141"/>
      <c r="V215" s="141"/>
      <c r="W215" s="141"/>
      <c r="X215" s="141"/>
      <c r="Y215" s="141"/>
    </row>
    <row r="216" spans="1:25" customFormat="1" ht="13.2">
      <c r="F216" s="307"/>
      <c r="G216" s="307"/>
      <c r="H216" s="307"/>
      <c r="I216" s="307"/>
    </row>
    <row r="217" spans="1:25" s="51" customFormat="1" ht="16.2" thickBot="1">
      <c r="A217" s="121"/>
      <c r="B217" s="668" t="s">
        <v>410</v>
      </c>
      <c r="C217" s="668"/>
      <c r="D217" s="164"/>
      <c r="E217" s="450"/>
      <c r="F217" s="498"/>
      <c r="G217" s="498"/>
      <c r="H217" s="498"/>
      <c r="I217" s="462"/>
      <c r="J217" s="450"/>
      <c r="K217" s="450"/>
      <c r="L217" s="450"/>
      <c r="M217" s="450"/>
      <c r="N217" s="450"/>
      <c r="O217" s="63"/>
      <c r="P217" s="63"/>
    </row>
    <row r="218" spans="1:25" s="50" customFormat="1" ht="16.2" thickBot="1">
      <c r="A218" s="320"/>
      <c r="B218" s="666"/>
      <c r="C218" s="666"/>
      <c r="D218" s="1239">
        <f>IF(E226&gt;=O223,N223,IF(E226&gt;=O222,N222,IF(E226&gt;=O221,N221,IF(E226&gt;=O220,N220,N219))))</f>
        <v>3</v>
      </c>
      <c r="E218" s="456" t="s">
        <v>1227</v>
      </c>
      <c r="F218" s="456"/>
      <c r="G218" s="456"/>
      <c r="H218" s="456"/>
      <c r="I218" s="456"/>
      <c r="J218" s="456"/>
      <c r="K218" s="456"/>
      <c r="L218" s="457"/>
      <c r="M218" s="63"/>
      <c r="N218" s="451" t="s">
        <v>335</v>
      </c>
      <c r="O218" s="451" t="s">
        <v>336</v>
      </c>
      <c r="P218" s="63"/>
    </row>
    <row r="219" spans="1:25" s="50" customFormat="1" ht="15.6">
      <c r="A219" s="320"/>
      <c r="B219" s="666"/>
      <c r="C219" s="666"/>
      <c r="D219" s="438" t="str">
        <f>IF(ROUNDDOWN(D218,0)=$N$2,$P$2,$O$2)</f>
        <v>　レベル　1</v>
      </c>
      <c r="E219" s="463" t="s">
        <v>898</v>
      </c>
      <c r="F219" s="464"/>
      <c r="G219" s="464"/>
      <c r="H219" s="464"/>
      <c r="I219" s="464"/>
      <c r="J219" s="464"/>
      <c r="K219" s="464"/>
      <c r="L219" s="465"/>
      <c r="M219" s="666"/>
      <c r="N219" s="452">
        <v>1</v>
      </c>
      <c r="O219" s="451">
        <v>0</v>
      </c>
      <c r="P219" s="63"/>
    </row>
    <row r="220" spans="1:25" s="50" customFormat="1" ht="15.6">
      <c r="A220" s="320"/>
      <c r="B220" s="666"/>
      <c r="C220" s="666"/>
      <c r="D220" s="439" t="str">
        <f>IF(ROUNDDOWN(D218,0)=$N$3,$P$3,$O$3)</f>
        <v>　レベル　2</v>
      </c>
      <c r="E220" s="466" t="s">
        <v>337</v>
      </c>
      <c r="F220" s="467"/>
      <c r="G220" s="467"/>
      <c r="H220" s="467"/>
      <c r="I220" s="467"/>
      <c r="J220" s="467"/>
      <c r="K220" s="467"/>
      <c r="L220" s="468"/>
      <c r="M220" s="63"/>
      <c r="N220" s="452" t="s">
        <v>311</v>
      </c>
      <c r="O220" s="451" t="s">
        <v>311</v>
      </c>
      <c r="P220" s="63"/>
    </row>
    <row r="221" spans="1:25" s="50" customFormat="1" ht="15.6">
      <c r="A221" s="320"/>
      <c r="B221" s="666"/>
      <c r="C221" s="666"/>
      <c r="D221" s="439" t="str">
        <f>IF(ROUNDDOWN(D218,0)=$N$4,$P$4,$O$4)</f>
        <v>■レベル　3</v>
      </c>
      <c r="E221" s="466" t="s">
        <v>1273</v>
      </c>
      <c r="F221" s="467"/>
      <c r="G221" s="467"/>
      <c r="H221" s="467"/>
      <c r="I221" s="467"/>
      <c r="J221" s="467"/>
      <c r="K221" s="467"/>
      <c r="L221" s="468"/>
      <c r="M221" s="666"/>
      <c r="N221" s="452">
        <v>3</v>
      </c>
      <c r="O221" s="451">
        <v>1</v>
      </c>
      <c r="P221" s="63"/>
    </row>
    <row r="222" spans="1:25" s="50" customFormat="1" ht="15.6">
      <c r="A222" s="320"/>
      <c r="B222" s="666"/>
      <c r="C222" s="666"/>
      <c r="D222" s="439" t="str">
        <f>IF(ROUNDDOWN(D218,0)=$N$5,$P$5,$O$5)</f>
        <v>　レベル　4</v>
      </c>
      <c r="E222" s="469" t="s">
        <v>1274</v>
      </c>
      <c r="F222" s="470"/>
      <c r="G222" s="470"/>
      <c r="H222" s="470"/>
      <c r="I222" s="470"/>
      <c r="J222" s="470"/>
      <c r="K222" s="470"/>
      <c r="L222" s="471"/>
      <c r="M222" s="63"/>
      <c r="N222" s="452">
        <v>4</v>
      </c>
      <c r="O222" s="451">
        <v>2</v>
      </c>
      <c r="P222" s="63"/>
    </row>
    <row r="223" spans="1:25" s="50" customFormat="1" ht="15.6">
      <c r="A223" s="320"/>
      <c r="B223" s="666"/>
      <c r="C223" s="666"/>
      <c r="D223" s="440" t="str">
        <f>IF(ROUNDDOWN(D218,0)=$N$6,$P$6,$O$6)</f>
        <v>　レベル　5</v>
      </c>
      <c r="E223" s="472" t="s">
        <v>1280</v>
      </c>
      <c r="F223" s="473"/>
      <c r="G223" s="473"/>
      <c r="H223" s="473"/>
      <c r="I223" s="473"/>
      <c r="J223" s="473"/>
      <c r="K223" s="473"/>
      <c r="L223" s="474"/>
      <c r="M223" s="666"/>
      <c r="N223" s="452">
        <v>5</v>
      </c>
      <c r="O223" s="451">
        <v>3</v>
      </c>
      <c r="P223" s="63"/>
    </row>
    <row r="224" spans="1:25" s="50" customFormat="1" ht="15.6">
      <c r="A224" s="320"/>
      <c r="B224" s="666"/>
      <c r="C224" s="666"/>
      <c r="D224" s="441" t="s">
        <v>340</v>
      </c>
      <c r="E224" s="1010"/>
      <c r="F224" s="497"/>
      <c r="G224" s="497"/>
      <c r="H224" s="681"/>
      <c r="I224"/>
      <c r="J224" s="666"/>
      <c r="K224" s="666"/>
      <c r="L224" s="666"/>
      <c r="M224" s="666"/>
      <c r="N224" s="452" t="s">
        <v>311</v>
      </c>
      <c r="O224" s="451"/>
      <c r="P224" s="63"/>
    </row>
    <row r="225" spans="1:26" s="50" customFormat="1" ht="15.6">
      <c r="A225" s="320"/>
      <c r="B225" s="666"/>
      <c r="C225" s="666"/>
      <c r="D225" s="441" t="s">
        <v>383</v>
      </c>
      <c r="E225" s="450"/>
      <c r="F225" s="498"/>
      <c r="G225" s="498"/>
      <c r="H225" s="498"/>
      <c r="I225" s="498"/>
      <c r="J225" s="450"/>
      <c r="K225" s="450"/>
      <c r="L225" s="450"/>
      <c r="M225" s="450"/>
      <c r="P225" s="63"/>
    </row>
    <row r="226" spans="1:26" s="165" customFormat="1" ht="15.6" thickBot="1">
      <c r="A226" s="63"/>
      <c r="B226" s="63"/>
      <c r="C226" s="121"/>
      <c r="D226" s="175" t="s">
        <v>384</v>
      </c>
      <c r="E226" s="475">
        <f>COUNTIF(E227:E230,$R$3)</f>
        <v>1</v>
      </c>
      <c r="F226" s="799" t="s">
        <v>828</v>
      </c>
      <c r="G226" s="1867" t="s">
        <v>829</v>
      </c>
      <c r="H226" s="1863"/>
      <c r="I226" s="1863"/>
      <c r="J226" s="1863"/>
      <c r="K226" s="1863"/>
      <c r="L226" s="1864"/>
      <c r="M226" s="63"/>
      <c r="N226" s="450"/>
      <c r="O226" s="63"/>
      <c r="P226" s="63"/>
      <c r="Q226" s="141"/>
      <c r="R226" s="141"/>
      <c r="S226" s="141"/>
      <c r="T226" s="141"/>
      <c r="U226" s="141"/>
      <c r="V226" s="141"/>
      <c r="W226" s="141"/>
      <c r="X226" s="141"/>
      <c r="Y226" s="97"/>
      <c r="Z226" s="97"/>
    </row>
    <row r="227" spans="1:26" s="165" customFormat="1" ht="29.4" customHeight="1">
      <c r="A227" s="63"/>
      <c r="B227" s="63"/>
      <c r="C227" s="121"/>
      <c r="D227" s="442" t="s">
        <v>299</v>
      </c>
      <c r="E227" s="489" t="s">
        <v>389</v>
      </c>
      <c r="F227" s="800" t="s">
        <v>838</v>
      </c>
      <c r="G227" s="1868" t="s">
        <v>839</v>
      </c>
      <c r="H227" s="1868"/>
      <c r="I227" s="1868"/>
      <c r="J227" s="1868"/>
      <c r="K227" s="1868"/>
      <c r="L227" s="1869"/>
      <c r="M227" s="63"/>
      <c r="N227" s="450"/>
      <c r="O227" s="63"/>
      <c r="P227" s="63"/>
      <c r="Q227" s="141"/>
      <c r="R227" s="141"/>
      <c r="S227" s="141"/>
      <c r="T227" s="141"/>
      <c r="U227" s="141"/>
      <c r="V227" s="141"/>
      <c r="W227" s="141"/>
      <c r="X227" s="141"/>
      <c r="Y227" s="97"/>
      <c r="Z227" s="97"/>
    </row>
    <row r="228" spans="1:26" s="165" customFormat="1" ht="29.4" customHeight="1">
      <c r="A228" s="63"/>
      <c r="B228" s="63"/>
      <c r="C228" s="121"/>
      <c r="D228" s="442" t="s">
        <v>300</v>
      </c>
      <c r="E228" s="495"/>
      <c r="F228" s="800" t="s">
        <v>840</v>
      </c>
      <c r="G228" s="1868" t="s">
        <v>841</v>
      </c>
      <c r="H228" s="1868"/>
      <c r="I228" s="1868"/>
      <c r="J228" s="1868"/>
      <c r="K228" s="1868"/>
      <c r="L228" s="1869"/>
      <c r="M228" s="63"/>
      <c r="N228" s="450"/>
      <c r="O228" s="63"/>
      <c r="P228" s="63"/>
      <c r="Q228" s="141"/>
      <c r="R228" s="141"/>
      <c r="S228" s="141"/>
      <c r="T228" s="141"/>
      <c r="U228" s="141"/>
      <c r="V228" s="141"/>
      <c r="W228" s="141"/>
      <c r="X228" s="141"/>
      <c r="Y228" s="97"/>
      <c r="Z228" s="97"/>
    </row>
    <row r="229" spans="1:26" s="165" customFormat="1" ht="29.4" customHeight="1">
      <c r="A229" s="63"/>
      <c r="B229" s="63"/>
      <c r="C229" s="121"/>
      <c r="D229" s="442" t="s">
        <v>301</v>
      </c>
      <c r="E229" s="495"/>
      <c r="F229" s="801" t="s">
        <v>842</v>
      </c>
      <c r="G229" s="1870" t="s">
        <v>843</v>
      </c>
      <c r="H229" s="1871"/>
      <c r="I229" s="1871"/>
      <c r="J229" s="1871"/>
      <c r="K229" s="1871"/>
      <c r="L229" s="1872"/>
      <c r="M229" s="63"/>
      <c r="N229" s="450"/>
      <c r="O229" s="63"/>
      <c r="P229" s="63"/>
      <c r="Q229" s="141"/>
      <c r="R229" s="141"/>
      <c r="S229" s="141"/>
      <c r="T229" s="141"/>
      <c r="U229" s="141"/>
      <c r="V229" s="141"/>
      <c r="W229" s="141"/>
      <c r="X229" s="141"/>
      <c r="Y229" s="97"/>
      <c r="Z229" s="97"/>
    </row>
    <row r="230" spans="1:26" ht="25.2" customHeight="1" thickBot="1">
      <c r="A230" s="63"/>
      <c r="B230" s="63"/>
      <c r="C230" s="121"/>
      <c r="D230" s="442" t="s">
        <v>302</v>
      </c>
      <c r="E230" s="494"/>
      <c r="F230" s="800" t="s">
        <v>844</v>
      </c>
      <c r="G230" s="1870" t="s">
        <v>845</v>
      </c>
      <c r="H230" s="1848"/>
      <c r="I230" s="1848"/>
      <c r="J230" s="1848"/>
      <c r="K230" s="1848"/>
      <c r="L230" s="1849"/>
      <c r="M230" s="63"/>
      <c r="N230" s="450"/>
      <c r="O230" s="63"/>
      <c r="P230" s="63"/>
      <c r="Q230" s="141"/>
      <c r="R230" s="141"/>
      <c r="S230" s="141"/>
      <c r="T230" s="141"/>
      <c r="U230" s="141"/>
      <c r="V230" s="141"/>
      <c r="W230" s="141"/>
      <c r="X230" s="141"/>
      <c r="Y230" s="141"/>
    </row>
    <row r="231" spans="1:26" ht="13.8">
      <c r="A231" s="63"/>
      <c r="B231" s="450"/>
      <c r="C231" s="450"/>
      <c r="D231"/>
      <c r="E231" s="450"/>
      <c r="F231" s="450"/>
      <c r="G231" s="450"/>
      <c r="H231" s="450"/>
      <c r="I231" s="450"/>
      <c r="J231" s="450"/>
      <c r="K231" s="450"/>
      <c r="L231" s="450"/>
      <c r="M231" s="450"/>
      <c r="N231" s="450"/>
      <c r="O231" s="450"/>
      <c r="P231" s="63"/>
      <c r="Q231" s="141"/>
      <c r="R231" s="141"/>
      <c r="S231" s="141"/>
      <c r="T231" s="141"/>
      <c r="U231" s="141"/>
      <c r="V231" s="141"/>
      <c r="W231" s="141"/>
      <c r="X231" s="141"/>
      <c r="Y231" s="141"/>
    </row>
    <row r="232" spans="1:26" ht="13.2">
      <c r="B232"/>
      <c r="C232"/>
      <c r="D232"/>
      <c r="E232"/>
      <c r="F232"/>
      <c r="G232"/>
      <c r="H232"/>
      <c r="I232"/>
      <c r="J232"/>
      <c r="K232"/>
      <c r="L232"/>
      <c r="M232"/>
      <c r="N232"/>
      <c r="O232"/>
    </row>
  </sheetData>
  <sheetProtection algorithmName="SHA-512" hashValue="QbFADenB4ED4qpjv9AVmDu1w/qXfEN0KvndtT0T1ECCPwuLzA6jmXkz902XongIhKQoOBK/iBrYdhZ81OLlHWA==" saltValue="UdB2KpY8VLopHo4VPxmkZg==" spinCount="100000" sheet="1" objects="1" formatCells="0"/>
  <mergeCells count="26">
    <mergeCell ref="G226:L226"/>
    <mergeCell ref="G227:L227"/>
    <mergeCell ref="G228:L228"/>
    <mergeCell ref="G229:L229"/>
    <mergeCell ref="G230:L230"/>
    <mergeCell ref="F143:G143"/>
    <mergeCell ref="H143:L143"/>
    <mergeCell ref="F156:G156"/>
    <mergeCell ref="H156:L156"/>
    <mergeCell ref="F184:H184"/>
    <mergeCell ref="I184:L184"/>
    <mergeCell ref="E214:L214"/>
    <mergeCell ref="F185:H185"/>
    <mergeCell ref="I185:L189"/>
    <mergeCell ref="F186:H186"/>
    <mergeCell ref="F187:H187"/>
    <mergeCell ref="F188:H188"/>
    <mergeCell ref="F189:H189"/>
    <mergeCell ref="F190:H190"/>
    <mergeCell ref="I190:L192"/>
    <mergeCell ref="F191:H191"/>
    <mergeCell ref="F192:H192"/>
    <mergeCell ref="F203:H203"/>
    <mergeCell ref="I203:L203"/>
    <mergeCell ref="I204:L205"/>
    <mergeCell ref="I206:L206"/>
  </mergeCells>
  <phoneticPr fontId="3"/>
  <conditionalFormatting sqref="D15">
    <cfRule type="expression" dxfId="128" priority="1" stopIfTrue="1">
      <formula>AND(OR(D15&lt;1,D15&gt;5),D15&lt;&gt;0)</formula>
    </cfRule>
  </conditionalFormatting>
  <conditionalFormatting sqref="D24">
    <cfRule type="expression" dxfId="127" priority="13" stopIfTrue="1">
      <formula>AND(OR(D24&lt;1,D24&gt;5),D24&lt;&gt;0)</formula>
    </cfRule>
  </conditionalFormatting>
  <conditionalFormatting sqref="D33">
    <cfRule type="expression" dxfId="126" priority="12" stopIfTrue="1">
      <formula>AND(OR(D33&lt;1,D33&gt;5),D33&lt;&gt;0)</formula>
    </cfRule>
  </conditionalFormatting>
  <conditionalFormatting sqref="D43">
    <cfRule type="expression" dxfId="125" priority="11" stopIfTrue="1">
      <formula>AND(OR(D43&lt;1,D43&gt;5),D43&lt;&gt;0)</formula>
    </cfRule>
  </conditionalFormatting>
  <conditionalFormatting sqref="D53">
    <cfRule type="expression" dxfId="124" priority="10" stopIfTrue="1">
      <formula>AND(OR(D53&lt;1,D53&gt;5),D53&lt;&gt;0)</formula>
    </cfRule>
  </conditionalFormatting>
  <conditionalFormatting sqref="D61">
    <cfRule type="expression" dxfId="123" priority="9" stopIfTrue="1">
      <formula>AND(OR(D61&lt;1,D61&gt;5),D61&lt;&gt;0)</formula>
    </cfRule>
  </conditionalFormatting>
  <conditionalFormatting sqref="D69">
    <cfRule type="expression" dxfId="122" priority="8" stopIfTrue="1">
      <formula>AND(OR(D69&lt;1,D69&gt;5),D69&lt;&gt;0)</formula>
    </cfRule>
  </conditionalFormatting>
  <conditionalFormatting sqref="D79">
    <cfRule type="expression" dxfId="121" priority="7" stopIfTrue="1">
      <formula>AND(OR(D79&lt;1,D79&gt;5),D79&lt;&gt;0)</formula>
    </cfRule>
  </conditionalFormatting>
  <conditionalFormatting sqref="D87">
    <cfRule type="expression" dxfId="120" priority="6" stopIfTrue="1">
      <formula>AND(OR(D87&lt;1,D87&gt;5),D87&lt;&gt;0)</formula>
    </cfRule>
  </conditionalFormatting>
  <conditionalFormatting sqref="D96">
    <cfRule type="expression" dxfId="119" priority="5" stopIfTrue="1">
      <formula>AND(OR(D96&lt;1,D96&gt;5),D96&lt;&gt;0)</formula>
    </cfRule>
  </conditionalFormatting>
  <conditionalFormatting sqref="D107">
    <cfRule type="expression" dxfId="118" priority="4" stopIfTrue="1">
      <formula>AND(OR(D107&lt;1,D107&gt;5),D107&lt;&gt;0)</formula>
    </cfRule>
  </conditionalFormatting>
  <conditionalFormatting sqref="D117">
    <cfRule type="expression" dxfId="117" priority="3" stopIfTrue="1">
      <formula>AND(OR(D117&lt;1,D117&gt;5),D117&lt;&gt;0)</formula>
    </cfRule>
  </conditionalFormatting>
  <conditionalFormatting sqref="D125">
    <cfRule type="expression" dxfId="116" priority="2" stopIfTrue="1">
      <formula>AND(OR(D125&lt;1,D125&gt;5),D125&lt;&gt;0)</formula>
    </cfRule>
  </conditionalFormatting>
  <conditionalFormatting sqref="D135">
    <cfRule type="expression" dxfId="115" priority="27" stopIfTrue="1">
      <formula>AND(OR(D135&lt;1,D135&gt;5),D135&lt;&gt;0)</formula>
    </cfRule>
  </conditionalFormatting>
  <conditionalFormatting sqref="D148">
    <cfRule type="expression" dxfId="114" priority="28" stopIfTrue="1">
      <formula>AND(OR(D148&lt;1,D148&gt;5),D148&lt;&gt;0)</formula>
    </cfRule>
  </conditionalFormatting>
  <conditionalFormatting sqref="D161">
    <cfRule type="expression" dxfId="113" priority="29" stopIfTrue="1">
      <formula>AND(OR(D161&lt;1,D161&gt;5),D161&lt;&gt;0)</formula>
    </cfRule>
  </conditionalFormatting>
  <conditionalFormatting sqref="D176">
    <cfRule type="expression" dxfId="112" priority="30" stopIfTrue="1">
      <formula>AND(OR(D176&lt;1,D176&gt;5),D176&lt;&gt;0)</formula>
    </cfRule>
  </conditionalFormatting>
  <conditionalFormatting sqref="D195">
    <cfRule type="expression" dxfId="111" priority="61" stopIfTrue="1">
      <formula>AND(OR(D195&lt;1,D195&gt;5),D195&lt;&gt;0)</formula>
    </cfRule>
  </conditionalFormatting>
  <conditionalFormatting sqref="D209">
    <cfRule type="expression" dxfId="110" priority="14" stopIfTrue="1">
      <formula>AND(OR(D209&lt;1,D209&gt;5),D209&lt;&gt;0)</formula>
    </cfRule>
  </conditionalFormatting>
  <conditionalFormatting sqref="D218">
    <cfRule type="expression" dxfId="109" priority="60" stopIfTrue="1">
      <formula>AND(OR(D218&lt;1,D218&gt;5),D218&lt;&gt;0)</formula>
    </cfRule>
  </conditionalFormatting>
  <dataValidations xWindow="204" yWindow="530" count="4">
    <dataValidation type="list" allowBlank="1" showInputMessage="1" sqref="D209 D125 D24 D43 D53 D61 D69 D79 D87 D33 D107 D117 D96" xr:uid="{FF399BA8-B27B-42B2-9AFB-0B42045A1550}">
      <formula1>N25:N30</formula1>
    </dataValidation>
    <dataValidation allowBlank="1" showInputMessage="1" sqref="D195 D176 D218 D161 D148 D135" xr:uid="{F7F0D515-D903-4792-8488-90DD4C83D753}"/>
    <dataValidation type="list" allowBlank="1" showInputMessage="1" showErrorMessage="1" sqref="E144:E145 E170:E172 E157:E158 E227:E230 E204:E206 E185:E192" xr:uid="{00000000-0002-0000-0400-000010000000}">
      <formula1>$R$2:$R$4</formula1>
    </dataValidation>
    <dataValidation type="list" allowBlank="1" showInputMessage="1" showErrorMessage="1" sqref="D15" xr:uid="{E322A3B6-7874-4149-8266-D47AD4BA38BC}">
      <formula1>N16:N21</formula1>
    </dataValidation>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1" manualBreakCount="1">
    <brk id="40" max="12" man="1"/>
  </rowBreaks>
  <extLst>
    <ext xmlns:x14="http://schemas.microsoft.com/office/spreadsheetml/2009/9/main" uri="{78C0D931-6437-407d-A8EE-F0AAD7539E65}">
      <x14:conditionalFormattings>
        <x14:conditionalFormatting xmlns:xm="http://schemas.microsoft.com/office/excel/2006/main">
          <x14:cfRule type="expression" priority="77" stopIfTrue="1" id="{EBD2B8AC-E4C0-42EE-83E2-D757271463DE}">
            <xm:f>採点Q2!$D$263="対象外"</xm:f>
            <x14:dxf>
              <fill>
                <patternFill>
                  <bgColor theme="0" tint="-0.24994659260841701"/>
                </patternFill>
              </fill>
            </x14:dxf>
          </x14:cfRule>
          <xm:sqref>E144:E145</xm:sqref>
        </x14:conditionalFormatting>
        <x14:conditionalFormatting xmlns:xm="http://schemas.microsoft.com/office/excel/2006/main">
          <x14:cfRule type="expression" priority="79" stopIfTrue="1" id="{D9075471-64D9-44A3-B2A8-3B96564E222F}">
            <xm:f>採点Q2!$D$263="対象外"</xm:f>
            <x14:dxf>
              <fill>
                <patternFill>
                  <bgColor theme="0" tint="-0.24994659260841701"/>
                </patternFill>
              </fill>
            </x14:dxf>
          </x14:cfRule>
          <xm:sqref>E157:E158</xm:sqref>
        </x14:conditionalFormatting>
        <x14:conditionalFormatting xmlns:xm="http://schemas.microsoft.com/office/excel/2006/main">
          <x14:cfRule type="expression" priority="307" stopIfTrue="1" id="{7AE280EB-C820-47B0-A2DA-56065B827F12}">
            <xm:f>採点Q2!$D$263="対象外"</xm:f>
            <x14:dxf>
              <fill>
                <patternFill>
                  <bgColor theme="0" tint="-0.24994659260841701"/>
                </patternFill>
              </fill>
            </x14:dxf>
          </x14:cfRule>
          <xm:sqref>E170:E172 E185:E192 E204:E206 E227:E230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AA275"/>
  <sheetViews>
    <sheetView showGridLines="0" zoomScaleNormal="100" zoomScaleSheetLayoutView="85" workbookViewId="0">
      <selection activeCell="D14" sqref="D14"/>
    </sheetView>
  </sheetViews>
  <sheetFormatPr defaultColWidth="9" defaultRowHeight="14.4"/>
  <cols>
    <col min="1" max="1" width="0.77734375" style="97" customWidth="1"/>
    <col min="2" max="2" width="2" style="97" customWidth="1"/>
    <col min="3" max="3" width="2.88671875" style="51" customWidth="1"/>
    <col min="4" max="4" width="14.21875" style="97" customWidth="1"/>
    <col min="5" max="5" width="11.77734375" style="97" customWidth="1"/>
    <col min="6" max="7" width="9.88671875" style="97" customWidth="1"/>
    <col min="8" max="12" width="10.88671875" style="97" customWidth="1"/>
    <col min="13" max="13" width="1.77734375" style="97" customWidth="1"/>
    <col min="14" max="19" width="9.6640625" style="165" hidden="1" customWidth="1"/>
    <col min="20" max="21" width="9.6640625" style="165" customWidth="1"/>
    <col min="22" max="25" width="8.88671875" style="165" customWidth="1"/>
    <col min="26" max="16384" width="9" style="97"/>
  </cols>
  <sheetData>
    <row r="1" spans="1:27" customFormat="1" ht="13.2">
      <c r="I1" s="486" t="s">
        <v>318</v>
      </c>
      <c r="J1" s="487" t="str">
        <f>メイン!C10</f>
        <v>Aプロジェクト</v>
      </c>
      <c r="K1" s="488"/>
      <c r="L1" s="487"/>
      <c r="N1" s="141"/>
      <c r="O1" s="141"/>
      <c r="P1" s="141"/>
      <c r="Q1" s="141"/>
      <c r="R1" s="141"/>
    </row>
    <row r="2" spans="1:27" customFormat="1" ht="13.8" hidden="1">
      <c r="N2" s="451">
        <v>1</v>
      </c>
      <c r="O2" s="451" t="s">
        <v>319</v>
      </c>
      <c r="P2" s="451" t="s">
        <v>320</v>
      </c>
      <c r="Q2" s="141"/>
      <c r="R2" s="373"/>
    </row>
    <row r="3" spans="1:27" customFormat="1" ht="13.8" hidden="1">
      <c r="N3" s="451">
        <v>2</v>
      </c>
      <c r="O3" s="451" t="s">
        <v>321</v>
      </c>
      <c r="P3" s="451" t="s">
        <v>322</v>
      </c>
      <c r="Q3" s="141"/>
      <c r="R3" s="373" t="s">
        <v>323</v>
      </c>
    </row>
    <row r="4" spans="1:27" customFormat="1" ht="13.8" hidden="1">
      <c r="N4" s="451">
        <v>3</v>
      </c>
      <c r="O4" s="451" t="s">
        <v>324</v>
      </c>
      <c r="P4" s="451" t="s">
        <v>325</v>
      </c>
      <c r="Q4" s="141"/>
      <c r="R4" s="447" t="s">
        <v>326</v>
      </c>
    </row>
    <row r="5" spans="1:27" customFormat="1" ht="13.8" hidden="1">
      <c r="N5" s="451">
        <v>4</v>
      </c>
      <c r="O5" s="451" t="s">
        <v>327</v>
      </c>
      <c r="P5" s="451" t="s">
        <v>328</v>
      </c>
      <c r="Q5" s="141"/>
      <c r="R5" s="141"/>
    </row>
    <row r="6" spans="1:27" customFormat="1" ht="13.8" hidden="1">
      <c r="N6" s="451">
        <v>5</v>
      </c>
      <c r="O6" s="451" t="s">
        <v>329</v>
      </c>
      <c r="P6" s="451" t="s">
        <v>330</v>
      </c>
    </row>
    <row r="7" spans="1:27" customFormat="1" ht="13.2" hidden="1">
      <c r="G7" s="97"/>
    </row>
    <row r="8" spans="1:27" customFormat="1" ht="13.2" hidden="1"/>
    <row r="9" spans="1:27" s="8" customFormat="1" ht="18" thickBot="1">
      <c r="A9" s="672"/>
      <c r="B9" s="667" t="s">
        <v>1081</v>
      </c>
      <c r="C9" s="668"/>
      <c r="E9" s="673"/>
      <c r="F9" s="81"/>
      <c r="G9"/>
      <c r="H9"/>
      <c r="I9"/>
      <c r="J9"/>
      <c r="K9"/>
      <c r="L9"/>
      <c r="M9"/>
      <c r="N9"/>
      <c r="O9"/>
      <c r="P9"/>
      <c r="Q9"/>
      <c r="R9"/>
      <c r="S9"/>
    </row>
    <row r="10" spans="1:27" s="8" customFormat="1" ht="18" thickBot="1">
      <c r="A10" s="673"/>
      <c r="B10" s="669"/>
      <c r="C10" s="669"/>
      <c r="E10" s="673"/>
      <c r="F10" s="499"/>
      <c r="G10" s="578" t="s">
        <v>331</v>
      </c>
      <c r="H10"/>
      <c r="I10"/>
      <c r="J10"/>
      <c r="K10"/>
      <c r="L10"/>
      <c r="M10"/>
      <c r="N10"/>
      <c r="O10"/>
      <c r="P10"/>
      <c r="Q10"/>
      <c r="R10"/>
      <c r="S10"/>
      <c r="U10" s="50"/>
      <c r="V10" s="50"/>
      <c r="W10" s="50"/>
      <c r="X10" s="50"/>
      <c r="Y10" s="50"/>
      <c r="Z10" s="50"/>
      <c r="AA10" s="50"/>
    </row>
    <row r="11" spans="1:27" s="51" customFormat="1" ht="15.6">
      <c r="A11" s="121"/>
      <c r="B11" s="668"/>
      <c r="C11" s="668"/>
      <c r="D11" s="674"/>
      <c r="E11" s="121"/>
      <c r="F11" s="750" t="s">
        <v>332</v>
      </c>
      <c r="G11"/>
      <c r="H11"/>
      <c r="I11"/>
      <c r="J11"/>
      <c r="K11"/>
      <c r="L11"/>
      <c r="M11"/>
      <c r="N11"/>
      <c r="O11"/>
      <c r="P11"/>
      <c r="Q11"/>
      <c r="R11"/>
      <c r="S11"/>
    </row>
    <row r="12" spans="1:27" s="51" customFormat="1" ht="15.6">
      <c r="B12" s="668" t="s">
        <v>977</v>
      </c>
      <c r="C12" s="668"/>
      <c r="D12" s="674"/>
      <c r="F12" s="138"/>
      <c r="H12" s="676"/>
      <c r="I12" s="97"/>
      <c r="J12" s="97"/>
      <c r="K12" s="97"/>
      <c r="L12" s="97"/>
      <c r="M12" s="97"/>
    </row>
    <row r="13" spans="1:27" s="51" customFormat="1" ht="16.2" thickBot="1">
      <c r="C13" s="668" t="s">
        <v>411</v>
      </c>
      <c r="D13" s="164"/>
      <c r="E13" s="666"/>
      <c r="F13" s="677"/>
      <c r="G13" s="677"/>
      <c r="H13" s="677"/>
      <c r="I13" s="462"/>
      <c r="J13" s="666"/>
      <c r="K13" s="666"/>
      <c r="L13" s="678"/>
      <c r="M13" s="666"/>
      <c r="N13" s="63"/>
      <c r="O13" s="63"/>
    </row>
    <row r="14" spans="1:27" s="50" customFormat="1" ht="16.2" thickBot="1">
      <c r="B14" s="666"/>
      <c r="C14" s="666"/>
      <c r="D14" s="437">
        <v>3</v>
      </c>
      <c r="E14" s="456" t="s">
        <v>1227</v>
      </c>
      <c r="F14" s="456"/>
      <c r="G14" s="456"/>
      <c r="H14" s="456"/>
      <c r="I14" s="456"/>
      <c r="J14" s="456"/>
      <c r="K14" s="456"/>
      <c r="L14" s="457"/>
      <c r="M14" s="63"/>
      <c r="N14" s="451" t="s">
        <v>335</v>
      </c>
      <c r="O14" s="451" t="s">
        <v>336</v>
      </c>
    </row>
    <row r="15" spans="1:27" s="50" customFormat="1" ht="15.6">
      <c r="B15" s="666"/>
      <c r="C15" s="666"/>
      <c r="D15" s="438" t="str">
        <f>IF(ROUNDDOWN(D14,0)=$N$2,$P$2,$O$2)</f>
        <v>　レベル　1</v>
      </c>
      <c r="E15" s="463" t="s">
        <v>412</v>
      </c>
      <c r="F15" s="503"/>
      <c r="G15" s="503"/>
      <c r="H15" s="503"/>
      <c r="I15" s="503"/>
      <c r="J15" s="503"/>
      <c r="K15" s="503"/>
      <c r="L15" s="510"/>
      <c r="M15" s="666"/>
      <c r="N15" s="452">
        <v>1</v>
      </c>
      <c r="O15" s="453"/>
    </row>
    <row r="16" spans="1:27" s="50" customFormat="1" ht="15.6">
      <c r="B16" s="666"/>
      <c r="C16" s="666"/>
      <c r="D16" s="439" t="str">
        <f>IF(ROUNDDOWN(D14,0)=$N$3,$P$3,$O$3)</f>
        <v>　レベル　2</v>
      </c>
      <c r="E16" s="466" t="s">
        <v>413</v>
      </c>
      <c r="F16" s="504"/>
      <c r="G16" s="504"/>
      <c r="H16" s="504"/>
      <c r="I16" s="504"/>
      <c r="J16" s="504"/>
      <c r="K16" s="504"/>
      <c r="L16" s="511"/>
      <c r="M16" s="63"/>
      <c r="N16" s="452" t="s">
        <v>311</v>
      </c>
      <c r="O16" s="453"/>
    </row>
    <row r="17" spans="1:15" s="50" customFormat="1" ht="15.6">
      <c r="B17" s="666"/>
      <c r="C17" s="666"/>
      <c r="D17" s="439" t="str">
        <f>IF(ROUNDDOWN(D14,0)=$N$4,$P$4,$O$4)</f>
        <v>■レベル　3</v>
      </c>
      <c r="E17" s="466" t="s">
        <v>414</v>
      </c>
      <c r="F17" s="504"/>
      <c r="G17" s="504"/>
      <c r="H17" s="504"/>
      <c r="I17" s="504"/>
      <c r="J17" s="504"/>
      <c r="K17" s="504"/>
      <c r="L17" s="511"/>
      <c r="M17" s="666"/>
      <c r="N17" s="452">
        <v>3</v>
      </c>
      <c r="O17" s="453"/>
    </row>
    <row r="18" spans="1:15" s="50" customFormat="1" ht="15.6">
      <c r="B18" s="666"/>
      <c r="C18" s="666"/>
      <c r="D18" s="439" t="str">
        <f>IF(ROUNDDOWN(D14,0)=$N$5,$P$5,$O$5)</f>
        <v>　レベル　4</v>
      </c>
      <c r="E18" s="469" t="s">
        <v>415</v>
      </c>
      <c r="F18" s="505"/>
      <c r="G18" s="505"/>
      <c r="H18" s="505"/>
      <c r="I18" s="505"/>
      <c r="J18" s="505"/>
      <c r="K18" s="505"/>
      <c r="L18" s="512"/>
      <c r="M18" s="63"/>
      <c r="N18" s="452">
        <v>4</v>
      </c>
      <c r="O18" s="453"/>
    </row>
    <row r="19" spans="1:15" s="50" customFormat="1" ht="15.6">
      <c r="B19" s="666"/>
      <c r="C19" s="666"/>
      <c r="D19" s="440" t="str">
        <f>IF(ROUNDDOWN(D14,0)=$N$6,$P$6,$O$6)</f>
        <v>　レベル　5</v>
      </c>
      <c r="E19" s="472" t="s">
        <v>416</v>
      </c>
      <c r="F19" s="483"/>
      <c r="G19" s="483"/>
      <c r="H19" s="483"/>
      <c r="I19" s="483"/>
      <c r="J19" s="483"/>
      <c r="K19" s="483"/>
      <c r="L19" s="513"/>
      <c r="M19" s="666"/>
      <c r="N19" s="452">
        <v>5</v>
      </c>
      <c r="O19" s="453"/>
    </row>
    <row r="20" spans="1:15" s="50" customFormat="1" ht="15.6">
      <c r="B20" s="666"/>
      <c r="C20" s="666"/>
      <c r="D20" s="441" t="s">
        <v>340</v>
      </c>
      <c r="E20" s="1010"/>
      <c r="F20" s="497"/>
      <c r="G20" s="497"/>
      <c r="H20" s="681"/>
      <c r="I20"/>
      <c r="J20"/>
      <c r="K20"/>
      <c r="L20"/>
      <c r="M20" s="63"/>
      <c r="N20" s="452" t="s">
        <v>311</v>
      </c>
      <c r="O20" s="455"/>
    </row>
    <row r="21" spans="1:15" customFormat="1" ht="13.2">
      <c r="F21" s="307"/>
    </row>
    <row r="22" spans="1:15" s="51" customFormat="1" ht="15.6">
      <c r="C22" s="668" t="s">
        <v>417</v>
      </c>
      <c r="D22" s="674"/>
      <c r="F22" s="138"/>
      <c r="H22" s="679"/>
      <c r="I22" s="97"/>
      <c r="J22" s="97"/>
      <c r="K22" s="97"/>
      <c r="L22" s="97"/>
      <c r="M22" s="97"/>
    </row>
    <row r="23" spans="1:15" s="51" customFormat="1" ht="16.2" thickBot="1">
      <c r="B23" s="668"/>
      <c r="C23" s="668"/>
      <c r="D23" s="164" t="s">
        <v>978</v>
      </c>
      <c r="E23" s="666"/>
      <c r="F23" s="677"/>
      <c r="G23" s="677"/>
      <c r="H23" s="677"/>
      <c r="I23" s="462"/>
      <c r="J23" s="666"/>
      <c r="K23" s="666"/>
      <c r="L23" s="678"/>
      <c r="M23" s="666"/>
      <c r="N23" s="63"/>
      <c r="O23" s="63"/>
    </row>
    <row r="24" spans="1:15" s="50" customFormat="1" ht="16.2" thickBot="1">
      <c r="B24" s="666"/>
      <c r="C24" s="666"/>
      <c r="D24" s="437">
        <v>3</v>
      </c>
      <c r="E24" s="456" t="s">
        <v>1227</v>
      </c>
      <c r="F24" s="456"/>
      <c r="G24" s="456"/>
      <c r="H24" s="456"/>
      <c r="I24" s="456"/>
      <c r="J24" s="456"/>
      <c r="K24" s="456"/>
      <c r="L24" s="457"/>
      <c r="M24" s="63"/>
      <c r="N24" s="451" t="s">
        <v>335</v>
      </c>
      <c r="O24" s="451" t="s">
        <v>336</v>
      </c>
    </row>
    <row r="25" spans="1:15" s="50" customFormat="1" ht="15.6">
      <c r="B25" s="666"/>
      <c r="C25" s="666"/>
      <c r="D25" s="438" t="str">
        <f>IF(ROUNDDOWN(D24,0)=$N$2,$P$2,$O$2)</f>
        <v>　レベル　1</v>
      </c>
      <c r="E25" s="463" t="s">
        <v>418</v>
      </c>
      <c r="F25" s="503"/>
      <c r="G25" s="503"/>
      <c r="H25" s="503"/>
      <c r="I25" s="503"/>
      <c r="J25" s="503"/>
      <c r="K25" s="503"/>
      <c r="L25" s="510"/>
      <c r="M25" s="666"/>
      <c r="N25" s="452">
        <v>1</v>
      </c>
      <c r="O25" s="453"/>
    </row>
    <row r="26" spans="1:15" s="50" customFormat="1" ht="15.6">
      <c r="B26" s="666"/>
      <c r="C26" s="666"/>
      <c r="D26" s="439" t="str">
        <f>IF(ROUNDDOWN(D24,0)=$N$3,$P$3,$O$3)</f>
        <v>　レベル　2</v>
      </c>
      <c r="E26" s="466" t="s">
        <v>413</v>
      </c>
      <c r="F26" s="504"/>
      <c r="G26" s="504"/>
      <c r="H26" s="504"/>
      <c r="I26" s="504"/>
      <c r="J26" s="504"/>
      <c r="K26" s="504"/>
      <c r="L26" s="511"/>
      <c r="M26" s="63"/>
      <c r="N26" s="452" t="s">
        <v>311</v>
      </c>
      <c r="O26" s="453"/>
    </row>
    <row r="27" spans="1:15" s="50" customFormat="1" ht="15.6">
      <c r="B27" s="666"/>
      <c r="C27" s="666"/>
      <c r="D27" s="439" t="str">
        <f>IF(ROUNDDOWN(D24,0)=$N$4,$P$4,$O$4)</f>
        <v>■レベル　3</v>
      </c>
      <c r="E27" s="466" t="s">
        <v>419</v>
      </c>
      <c r="F27" s="504"/>
      <c r="G27" s="504"/>
      <c r="H27" s="504"/>
      <c r="I27" s="504"/>
      <c r="J27" s="504"/>
      <c r="K27" s="504"/>
      <c r="L27" s="511"/>
      <c r="M27" s="666"/>
      <c r="N27" s="452">
        <v>3</v>
      </c>
      <c r="O27" s="453"/>
    </row>
    <row r="28" spans="1:15" s="50" customFormat="1" ht="15.6">
      <c r="B28" s="666"/>
      <c r="C28" s="666"/>
      <c r="D28" s="439" t="str">
        <f>IF(ROUNDDOWN(D24,0)=$N$5,$P$5,$O$5)</f>
        <v>　レベル　4</v>
      </c>
      <c r="E28" s="725" t="s">
        <v>420</v>
      </c>
      <c r="F28" s="505"/>
      <c r="G28" s="505"/>
      <c r="H28" s="505"/>
      <c r="I28" s="505"/>
      <c r="J28" s="505"/>
      <c r="K28" s="505"/>
      <c r="L28" s="512"/>
      <c r="M28" s="63"/>
      <c r="N28" s="452">
        <v>4</v>
      </c>
      <c r="O28" s="453"/>
    </row>
    <row r="29" spans="1:15" s="50" customFormat="1" ht="15.6">
      <c r="B29" s="666"/>
      <c r="C29" s="666"/>
      <c r="D29" s="440" t="str">
        <f>IF(ROUNDDOWN(D24,0)=$N$6,$P$6,$O$6)</f>
        <v>　レベル　5</v>
      </c>
      <c r="E29" s="726" t="s">
        <v>421</v>
      </c>
      <c r="F29" s="483"/>
      <c r="G29" s="483"/>
      <c r="H29" s="483"/>
      <c r="I29" s="483"/>
      <c r="J29" s="483"/>
      <c r="K29" s="483"/>
      <c r="L29" s="513"/>
      <c r="M29" s="666"/>
      <c r="N29" s="452">
        <v>5</v>
      </c>
      <c r="O29" s="453"/>
    </row>
    <row r="30" spans="1:15" s="50" customFormat="1" ht="15.6">
      <c r="B30" s="666"/>
      <c r="C30" s="666"/>
      <c r="D30" s="441" t="s">
        <v>340</v>
      </c>
      <c r="E30" s="1010"/>
      <c r="F30" s="497"/>
      <c r="G30" s="497"/>
      <c r="H30" s="681"/>
      <c r="I30"/>
      <c r="J30"/>
      <c r="K30"/>
      <c r="L30"/>
      <c r="M30" s="63"/>
      <c r="N30" s="452" t="s">
        <v>311</v>
      </c>
      <c r="O30" s="455"/>
    </row>
    <row r="31" spans="1:15" customFormat="1" ht="13.2">
      <c r="F31" s="307"/>
    </row>
    <row r="32" spans="1:15" s="50" customFormat="1" ht="16.2" thickBot="1">
      <c r="A32" s="666"/>
      <c r="B32" s="164"/>
      <c r="C32" s="670"/>
      <c r="D32" s="164" t="s">
        <v>979</v>
      </c>
      <c r="E32" s="450"/>
      <c r="F32" s="498"/>
      <c r="G32" s="498"/>
      <c r="H32" s="498"/>
      <c r="I32" s="462"/>
      <c r="J32" s="450"/>
      <c r="K32" s="450"/>
      <c r="L32" s="450"/>
      <c r="M32" s="450"/>
      <c r="N32" s="450"/>
      <c r="O32" s="63"/>
    </row>
    <row r="33" spans="1:26" s="50" customFormat="1" ht="16.2" thickBot="1">
      <c r="B33" s="666"/>
      <c r="C33" s="666"/>
      <c r="D33" s="1239">
        <f>IF(AND(OR(E42=R3,E43=R3),E46=R3),N38,IF(AND(OR(E42=R3,E43=R3),OR(E44=R3,E45=R3)),N37,IF(OR(E42=R3,E43=R3),N36,N34)))</f>
        <v>3</v>
      </c>
      <c r="E33" s="456" t="s">
        <v>1227</v>
      </c>
      <c r="F33" s="456"/>
      <c r="G33" s="456"/>
      <c r="H33" s="456"/>
      <c r="I33" s="456"/>
      <c r="J33" s="456"/>
      <c r="K33" s="456"/>
      <c r="L33" s="457"/>
      <c r="M33" s="63"/>
      <c r="N33" s="451" t="s">
        <v>335</v>
      </c>
      <c r="O33" s="451" t="s">
        <v>336</v>
      </c>
    </row>
    <row r="34" spans="1:26" s="50" customFormat="1" ht="15.6">
      <c r="B34" s="666"/>
      <c r="C34" s="666"/>
      <c r="D34" s="438" t="str">
        <f>IF(ROUNDDOWN(D33,0)=$N$2,$P$2,$O$2)</f>
        <v>　レベル　1</v>
      </c>
      <c r="E34" s="1235" t="s">
        <v>1264</v>
      </c>
      <c r="F34" s="464"/>
      <c r="G34" s="464"/>
      <c r="H34" s="464"/>
      <c r="I34" s="464"/>
      <c r="J34" s="464"/>
      <c r="K34" s="464"/>
      <c r="L34" s="465"/>
      <c r="M34" s="666"/>
      <c r="N34" s="452">
        <v>1</v>
      </c>
      <c r="O34" s="451"/>
    </row>
    <row r="35" spans="1:26" s="50" customFormat="1" ht="15.6">
      <c r="B35" s="666"/>
      <c r="C35" s="666"/>
      <c r="D35" s="439" t="str">
        <f>IF(ROUNDDOWN(D33,0)=$N$3,$P$3,$O$3)</f>
        <v>　レベル　2</v>
      </c>
      <c r="E35" s="1232" t="s">
        <v>413</v>
      </c>
      <c r="F35" s="467"/>
      <c r="G35" s="467"/>
      <c r="H35" s="467"/>
      <c r="I35" s="467"/>
      <c r="J35" s="467"/>
      <c r="K35" s="467"/>
      <c r="L35" s="468"/>
      <c r="M35" s="63"/>
      <c r="N35" s="452" t="s">
        <v>311</v>
      </c>
      <c r="O35" s="451"/>
    </row>
    <row r="36" spans="1:26" s="50" customFormat="1" ht="15.6">
      <c r="B36" s="666"/>
      <c r="C36" s="666"/>
      <c r="D36" s="439" t="str">
        <f>IF(ROUNDDOWN(D33,0)=$N$4,$P$4,$O$4)</f>
        <v>■レベル　3</v>
      </c>
      <c r="E36" s="1232" t="s">
        <v>1318</v>
      </c>
      <c r="F36" s="467"/>
      <c r="G36" s="467"/>
      <c r="H36" s="467"/>
      <c r="I36" s="467"/>
      <c r="J36" s="467"/>
      <c r="K36" s="467"/>
      <c r="L36" s="468"/>
      <c r="M36" s="666"/>
      <c r="N36" s="452">
        <v>3</v>
      </c>
      <c r="O36" s="451"/>
    </row>
    <row r="37" spans="1:26" s="50" customFormat="1" ht="15.6">
      <c r="B37" s="666"/>
      <c r="C37" s="666"/>
      <c r="D37" s="439" t="str">
        <f>IF(ROUNDDOWN(D33,0)=$N$5,$P$5,$O$5)</f>
        <v>　レベル　4</v>
      </c>
      <c r="E37" s="1233" t="s">
        <v>1319</v>
      </c>
      <c r="F37" s="470"/>
      <c r="G37" s="470"/>
      <c r="H37" s="470"/>
      <c r="I37" s="470"/>
      <c r="J37" s="470"/>
      <c r="K37" s="470"/>
      <c r="L37" s="471"/>
      <c r="M37" s="63"/>
      <c r="N37" s="452">
        <v>4</v>
      </c>
      <c r="O37" s="451"/>
    </row>
    <row r="38" spans="1:26" s="50" customFormat="1" ht="15.6">
      <c r="B38" s="666"/>
      <c r="C38" s="666"/>
      <c r="D38" s="440" t="str">
        <f>IF(ROUNDDOWN(D33,0)=$N$6,$P$6,$O$6)</f>
        <v>　レベル　5</v>
      </c>
      <c r="E38" s="1234" t="s">
        <v>1320</v>
      </c>
      <c r="F38" s="473"/>
      <c r="G38" s="473"/>
      <c r="H38" s="473"/>
      <c r="I38" s="473"/>
      <c r="J38" s="473"/>
      <c r="K38" s="473"/>
      <c r="L38" s="474"/>
      <c r="M38" s="666"/>
      <c r="N38" s="452">
        <v>5</v>
      </c>
      <c r="O38" s="451"/>
    </row>
    <row r="39" spans="1:26" s="50" customFormat="1" ht="15.6">
      <c r="B39" s="666"/>
      <c r="C39" s="666"/>
      <c r="D39" s="441" t="s">
        <v>340</v>
      </c>
      <c r="E39" s="1010"/>
      <c r="F39" s="497"/>
      <c r="G39" s="497"/>
      <c r="H39" s="681"/>
      <c r="I39"/>
      <c r="J39"/>
      <c r="K39"/>
      <c r="L39"/>
      <c r="M39" s="666"/>
      <c r="N39" s="452" t="s">
        <v>311</v>
      </c>
      <c r="O39" s="451"/>
    </row>
    <row r="40" spans="1:26" customFormat="1" ht="15">
      <c r="C40" s="671"/>
      <c r="D40" s="441" t="s">
        <v>383</v>
      </c>
      <c r="E40" s="450"/>
      <c r="F40" s="498"/>
      <c r="G40" s="498"/>
      <c r="H40" s="498"/>
      <c r="I40" s="498"/>
      <c r="J40" s="450"/>
      <c r="K40" s="450"/>
      <c r="L40" s="450"/>
      <c r="M40" s="450"/>
      <c r="N40" s="165"/>
      <c r="O40" s="165"/>
    </row>
    <row r="41" spans="1:26" s="165" customFormat="1" ht="15.6" thickBot="1">
      <c r="A41" s="97"/>
      <c r="B41" s="97"/>
      <c r="C41" s="121"/>
      <c r="D41" s="175" t="s">
        <v>384</v>
      </c>
      <c r="E41" s="475">
        <f>COUNTIF(E42:E46,$R$3)</f>
        <v>1</v>
      </c>
      <c r="F41" s="1862" t="s">
        <v>828</v>
      </c>
      <c r="G41" s="1864"/>
      <c r="H41" s="1867" t="s">
        <v>829</v>
      </c>
      <c r="I41" s="1863"/>
      <c r="J41" s="1863"/>
      <c r="K41" s="1863"/>
      <c r="L41" s="1864"/>
      <c r="M41" s="450"/>
      <c r="N41"/>
      <c r="O41"/>
      <c r="P41"/>
      <c r="Q41" s="141"/>
      <c r="R41" s="141"/>
      <c r="S41" s="141"/>
      <c r="T41" s="141"/>
      <c r="U41" s="141"/>
      <c r="V41" s="141"/>
      <c r="W41" s="141"/>
      <c r="X41" s="141"/>
      <c r="Y41" s="97"/>
      <c r="Z41" s="97"/>
    </row>
    <row r="42" spans="1:26" s="165" customFormat="1" ht="22.95" customHeight="1">
      <c r="A42" s="97"/>
      <c r="B42" s="97"/>
      <c r="C42" s="121"/>
      <c r="D42" s="442" t="s">
        <v>299</v>
      </c>
      <c r="E42" s="443"/>
      <c r="F42" s="449" t="s">
        <v>422</v>
      </c>
      <c r="G42" s="476"/>
      <c r="H42" s="1875" t="s">
        <v>423</v>
      </c>
      <c r="I42" s="1876"/>
      <c r="J42" s="1876"/>
      <c r="K42" s="1876"/>
      <c r="L42" s="1877"/>
      <c r="M42" s="97"/>
      <c r="N42"/>
      <c r="O42"/>
      <c r="P42"/>
      <c r="Q42" s="141"/>
      <c r="R42" s="97"/>
      <c r="S42" s="141"/>
      <c r="T42" s="141"/>
      <c r="U42" s="141"/>
      <c r="V42" s="141"/>
      <c r="W42" s="141"/>
      <c r="X42" s="141"/>
      <c r="Y42" s="97"/>
      <c r="Z42" s="97"/>
    </row>
    <row r="43" spans="1:26" s="165" customFormat="1" ht="15">
      <c r="A43" s="97"/>
      <c r="B43" s="97"/>
      <c r="C43" s="121"/>
      <c r="D43" s="442" t="s">
        <v>300</v>
      </c>
      <c r="E43" s="444" t="s">
        <v>389</v>
      </c>
      <c r="F43" s="449" t="s">
        <v>424</v>
      </c>
      <c r="G43" s="476"/>
      <c r="H43" s="727" t="s">
        <v>425</v>
      </c>
      <c r="I43" s="476"/>
      <c r="J43" s="477"/>
      <c r="K43" s="477"/>
      <c r="L43" s="478"/>
      <c r="M43" s="97"/>
      <c r="N43"/>
      <c r="O43"/>
      <c r="P43"/>
      <c r="Q43" s="141"/>
      <c r="R43" s="141"/>
      <c r="S43" s="141"/>
      <c r="T43" s="141"/>
      <c r="U43" s="141"/>
      <c r="V43" s="141"/>
      <c r="W43" s="141"/>
      <c r="X43" s="141"/>
      <c r="Y43" s="97"/>
      <c r="Z43" s="97"/>
    </row>
    <row r="44" spans="1:26" s="165" customFormat="1" ht="15">
      <c r="A44" s="97"/>
      <c r="B44" s="97"/>
      <c r="C44" s="121"/>
      <c r="D44" s="442" t="s">
        <v>301</v>
      </c>
      <c r="E44" s="444"/>
      <c r="F44" s="449" t="s">
        <v>426</v>
      </c>
      <c r="G44" s="476"/>
      <c r="H44" s="727" t="s">
        <v>427</v>
      </c>
      <c r="I44" s="476"/>
      <c r="J44" s="477"/>
      <c r="K44" s="477"/>
      <c r="L44" s="478"/>
      <c r="M44" s="97"/>
      <c r="N44"/>
      <c r="O44"/>
      <c r="P44"/>
      <c r="Q44" s="141"/>
      <c r="R44" s="141"/>
      <c r="S44" s="141"/>
      <c r="T44" s="141"/>
      <c r="U44" s="141"/>
      <c r="V44" s="141"/>
      <c r="W44" s="141"/>
      <c r="X44" s="141"/>
      <c r="Y44" s="97"/>
      <c r="Z44" s="97"/>
    </row>
    <row r="45" spans="1:26" ht="15">
      <c r="C45" s="121"/>
      <c r="D45" s="442" t="s">
        <v>302</v>
      </c>
      <c r="E45" s="444"/>
      <c r="F45" s="449" t="s">
        <v>428</v>
      </c>
      <c r="G45" s="476"/>
      <c r="H45" s="727" t="s">
        <v>429</v>
      </c>
      <c r="I45" s="476"/>
      <c r="J45" s="477"/>
      <c r="K45" s="477"/>
      <c r="L45" s="478"/>
      <c r="N45"/>
      <c r="O45"/>
      <c r="P45"/>
      <c r="Q45" s="141"/>
      <c r="R45" s="141"/>
      <c r="S45" s="141"/>
      <c r="T45" s="141"/>
      <c r="U45" s="141"/>
      <c r="V45" s="141"/>
      <c r="W45" s="141"/>
      <c r="X45" s="141"/>
      <c r="Y45" s="141"/>
    </row>
    <row r="46" spans="1:26" ht="15.6" thickBot="1">
      <c r="C46" s="121"/>
      <c r="D46" s="442" t="s">
        <v>303</v>
      </c>
      <c r="E46" s="445"/>
      <c r="F46" s="449" t="s">
        <v>430</v>
      </c>
      <c r="G46" s="476"/>
      <c r="H46" s="727" t="s">
        <v>431</v>
      </c>
      <c r="I46" s="477"/>
      <c r="J46" s="477"/>
      <c r="K46" s="477"/>
      <c r="L46" s="478"/>
      <c r="N46"/>
      <c r="O46"/>
      <c r="P46"/>
      <c r="Q46" s="141"/>
      <c r="R46" s="97"/>
      <c r="S46" s="141"/>
      <c r="T46" s="141"/>
      <c r="U46" s="141"/>
      <c r="V46" s="141"/>
      <c r="W46" s="141"/>
      <c r="X46" s="141"/>
      <c r="Y46" s="141"/>
    </row>
    <row r="47" spans="1:26" customFormat="1" ht="13.2">
      <c r="F47" s="307"/>
    </row>
    <row r="48" spans="1:26" s="50" customFormat="1" ht="15.6">
      <c r="A48" s="666"/>
      <c r="B48" s="164"/>
      <c r="C48" s="670"/>
      <c r="D48" s="164" t="s">
        <v>980</v>
      </c>
      <c r="E48" s="666"/>
      <c r="F48" s="677"/>
      <c r="G48" s="666"/>
      <c r="H48" s="666"/>
      <c r="I48" s="666"/>
      <c r="J48" s="666"/>
      <c r="K48" s="666"/>
      <c r="L48" s="175"/>
      <c r="M48" s="666"/>
      <c r="N48" s="97"/>
    </row>
    <row r="49" spans="1:15" s="50" customFormat="1" ht="16.2" thickBot="1">
      <c r="A49" s="666"/>
      <c r="B49" s="164"/>
      <c r="C49" s="670"/>
      <c r="D49" s="815" t="s">
        <v>981</v>
      </c>
      <c r="E49" s="666"/>
      <c r="F49" s="677"/>
      <c r="G49" s="677"/>
      <c r="H49" s="677"/>
      <c r="I49" s="462"/>
      <c r="J49" s="666"/>
      <c r="K49" s="666"/>
      <c r="L49" s="678"/>
      <c r="M49" s="666"/>
      <c r="N49" s="63"/>
      <c r="O49" s="63"/>
    </row>
    <row r="50" spans="1:15" s="50" customFormat="1" ht="16.2" thickBot="1">
      <c r="B50" s="666"/>
      <c r="C50" s="666"/>
      <c r="D50" s="437">
        <v>3</v>
      </c>
      <c r="E50" s="456" t="s">
        <v>1227</v>
      </c>
      <c r="F50" s="456"/>
      <c r="G50" s="456"/>
      <c r="H50" s="456"/>
      <c r="I50" s="456"/>
      <c r="J50" s="456"/>
      <c r="K50" s="456"/>
      <c r="L50" s="457"/>
      <c r="M50" s="63"/>
      <c r="N50" s="451" t="s">
        <v>335</v>
      </c>
      <c r="O50" s="451" t="s">
        <v>336</v>
      </c>
    </row>
    <row r="51" spans="1:15" s="50" customFormat="1" ht="15.6">
      <c r="B51" s="666"/>
      <c r="C51" s="666"/>
      <c r="D51" s="438" t="str">
        <f>IF(ROUNDDOWN(D50,0)=$N$2,$P$2,$O$2)</f>
        <v>　レベル　1</v>
      </c>
      <c r="E51" s="463" t="s">
        <v>432</v>
      </c>
      <c r="F51" s="503"/>
      <c r="G51" s="503"/>
      <c r="H51" s="503"/>
      <c r="I51" s="503"/>
      <c r="J51" s="503"/>
      <c r="K51" s="503"/>
      <c r="L51" s="510"/>
      <c r="M51" s="666"/>
      <c r="N51" s="452">
        <v>1</v>
      </c>
      <c r="O51" s="453"/>
    </row>
    <row r="52" spans="1:15" s="50" customFormat="1" ht="15.6">
      <c r="B52" s="666"/>
      <c r="C52" s="666"/>
      <c r="D52" s="439" t="str">
        <f>IF(ROUNDDOWN(D50,0)=$N$3,$P$3,$O$3)</f>
        <v>　レベル　2</v>
      </c>
      <c r="E52" s="466" t="s">
        <v>413</v>
      </c>
      <c r="F52" s="504"/>
      <c r="G52" s="504"/>
      <c r="H52" s="504"/>
      <c r="I52" s="504"/>
      <c r="J52" s="504"/>
      <c r="K52" s="504"/>
      <c r="L52" s="511"/>
      <c r="M52" s="63"/>
      <c r="N52" s="452" t="s">
        <v>311</v>
      </c>
      <c r="O52" s="453"/>
    </row>
    <row r="53" spans="1:15" s="50" customFormat="1" ht="15.6">
      <c r="B53" s="666"/>
      <c r="C53" s="666"/>
      <c r="D53" s="439" t="str">
        <f>IF(ROUNDDOWN(D50,0)=$N$4,$P$4,$O$4)</f>
        <v>■レベル　3</v>
      </c>
      <c r="E53" s="728" t="s">
        <v>433</v>
      </c>
      <c r="F53" s="504"/>
      <c r="G53" s="504"/>
      <c r="H53" s="504"/>
      <c r="I53" s="504"/>
      <c r="J53" s="504"/>
      <c r="K53" s="504"/>
      <c r="L53" s="511"/>
      <c r="M53" s="666"/>
      <c r="N53" s="452">
        <v>3</v>
      </c>
      <c r="O53" s="453"/>
    </row>
    <row r="54" spans="1:15" s="50" customFormat="1" ht="15.6">
      <c r="B54" s="666"/>
      <c r="C54" s="666"/>
      <c r="D54" s="439" t="str">
        <f>IF(ROUNDDOWN(D50,0)=$N$5,$P$5,$O$5)</f>
        <v>　レベル　4</v>
      </c>
      <c r="E54" s="469" t="s">
        <v>413</v>
      </c>
      <c r="F54" s="505"/>
      <c r="G54" s="505"/>
      <c r="H54" s="505"/>
      <c r="I54" s="505"/>
      <c r="J54" s="505"/>
      <c r="K54" s="505"/>
      <c r="L54" s="512"/>
      <c r="M54" s="63"/>
      <c r="N54" s="452" t="s">
        <v>311</v>
      </c>
      <c r="O54" s="453"/>
    </row>
    <row r="55" spans="1:15" s="50" customFormat="1" ht="15.6">
      <c r="B55" s="666"/>
      <c r="C55" s="666"/>
      <c r="D55" s="440" t="str">
        <f>IF(ROUNDDOWN(D50,0)=$N$6,$P$6,$O$6)</f>
        <v>　レベル　5</v>
      </c>
      <c r="E55" s="472" t="s">
        <v>1281</v>
      </c>
      <c r="F55" s="483"/>
      <c r="G55" s="483"/>
      <c r="H55" s="483"/>
      <c r="I55" s="483"/>
      <c r="J55" s="483"/>
      <c r="K55" s="483"/>
      <c r="L55" s="513"/>
      <c r="M55" s="666"/>
      <c r="N55" s="452">
        <v>5</v>
      </c>
      <c r="O55" s="453"/>
    </row>
    <row r="56" spans="1:15" s="50" customFormat="1" ht="15.6">
      <c r="B56" s="666"/>
      <c r="C56" s="666"/>
      <c r="D56" s="441" t="s">
        <v>340</v>
      </c>
      <c r="E56" s="1010"/>
      <c r="F56" s="497"/>
      <c r="G56" s="497"/>
      <c r="H56" s="681"/>
      <c r="I56"/>
      <c r="J56"/>
      <c r="K56"/>
      <c r="L56"/>
      <c r="M56" s="63"/>
      <c r="N56" s="452" t="s">
        <v>311</v>
      </c>
      <c r="O56" s="455"/>
    </row>
    <row r="57" spans="1:15" s="50" customFormat="1" ht="16.2" thickBot="1">
      <c r="A57" s="666"/>
      <c r="B57" s="164"/>
      <c r="C57" s="670"/>
      <c r="D57" s="164" t="s">
        <v>982</v>
      </c>
      <c r="E57" s="666"/>
      <c r="F57" s="677"/>
      <c r="G57" s="677"/>
      <c r="H57" s="677"/>
      <c r="I57" s="462"/>
      <c r="J57" s="666"/>
      <c r="K57" s="666"/>
      <c r="L57" s="678"/>
      <c r="M57" s="666"/>
      <c r="N57" s="63"/>
      <c r="O57" s="63"/>
    </row>
    <row r="58" spans="1:15" s="50" customFormat="1" ht="16.2" thickBot="1">
      <c r="B58" s="666"/>
      <c r="C58" s="666"/>
      <c r="D58" s="437">
        <v>3</v>
      </c>
      <c r="E58" s="456" t="s">
        <v>1227</v>
      </c>
      <c r="F58" s="456"/>
      <c r="G58" s="456"/>
      <c r="H58" s="456"/>
      <c r="I58" s="456"/>
      <c r="J58" s="456"/>
      <c r="K58" s="456"/>
      <c r="L58" s="457"/>
      <c r="M58" s="63"/>
      <c r="N58" s="451" t="s">
        <v>335</v>
      </c>
      <c r="O58" s="451" t="s">
        <v>336</v>
      </c>
    </row>
    <row r="59" spans="1:15" s="50" customFormat="1" ht="15.6">
      <c r="B59" s="666"/>
      <c r="C59" s="666"/>
      <c r="D59" s="438" t="str">
        <f>IF(ROUNDDOWN(D58,0)=$N$2,$P$2,$O$2)</f>
        <v>　レベル　1</v>
      </c>
      <c r="E59" s="463" t="s">
        <v>434</v>
      </c>
      <c r="F59" s="503"/>
      <c r="G59" s="503"/>
      <c r="H59" s="503"/>
      <c r="I59" s="503"/>
      <c r="J59" s="503"/>
      <c r="K59" s="503"/>
      <c r="L59" s="510"/>
      <c r="M59" s="666"/>
      <c r="N59" s="452">
        <v>1</v>
      </c>
      <c r="O59" s="453"/>
    </row>
    <row r="60" spans="1:15" s="50" customFormat="1" ht="15.6">
      <c r="B60" s="666"/>
      <c r="C60" s="666"/>
      <c r="D60" s="439" t="str">
        <f>IF(ROUNDDOWN(D58,0)=$N$3,$P$3,$O$3)</f>
        <v>　レベル　2</v>
      </c>
      <c r="E60" s="466" t="s">
        <v>413</v>
      </c>
      <c r="F60" s="504"/>
      <c r="G60" s="504"/>
      <c r="H60" s="504"/>
      <c r="I60" s="504"/>
      <c r="J60" s="504"/>
      <c r="K60" s="504"/>
      <c r="L60" s="511"/>
      <c r="M60" s="63"/>
      <c r="N60" s="452" t="s">
        <v>311</v>
      </c>
      <c r="O60" s="453"/>
    </row>
    <row r="61" spans="1:15" s="50" customFormat="1" ht="15.6">
      <c r="B61" s="666"/>
      <c r="C61" s="666"/>
      <c r="D61" s="439" t="str">
        <f>IF(ROUNDDOWN(D58,0)=$N$4,$P$4,$O$4)</f>
        <v>■レベル　3</v>
      </c>
      <c r="E61" s="466" t="s">
        <v>435</v>
      </c>
      <c r="F61" s="504"/>
      <c r="G61" s="504"/>
      <c r="H61" s="504"/>
      <c r="I61" s="504"/>
      <c r="J61" s="504"/>
      <c r="K61" s="504"/>
      <c r="L61" s="511"/>
      <c r="M61" s="666"/>
      <c r="N61" s="452">
        <v>3</v>
      </c>
      <c r="O61" s="453"/>
    </row>
    <row r="62" spans="1:15" s="50" customFormat="1" ht="15.6">
      <c r="B62" s="666"/>
      <c r="C62" s="666"/>
      <c r="D62" s="439" t="str">
        <f>IF(ROUNDDOWN(D58,0)=$N$5,$P$5,$O$5)</f>
        <v>　レベル　4</v>
      </c>
      <c r="E62" s="469" t="s">
        <v>413</v>
      </c>
      <c r="F62" s="505"/>
      <c r="G62" s="505"/>
      <c r="H62" s="505"/>
      <c r="I62" s="505"/>
      <c r="J62" s="505"/>
      <c r="K62" s="505"/>
      <c r="L62" s="512"/>
      <c r="M62" s="63"/>
      <c r="N62" s="452" t="s">
        <v>311</v>
      </c>
      <c r="O62" s="453"/>
    </row>
    <row r="63" spans="1:15" s="50" customFormat="1" ht="30.6" customHeight="1">
      <c r="B63" s="666"/>
      <c r="C63" s="666"/>
      <c r="D63" s="440" t="str">
        <f>IF(ROUNDDOWN(D58,0)=$N$6,$P$6,$O$6)</f>
        <v>　レベル　5</v>
      </c>
      <c r="E63" s="1844" t="s">
        <v>436</v>
      </c>
      <c r="F63" s="1845"/>
      <c r="G63" s="1845"/>
      <c r="H63" s="1845"/>
      <c r="I63" s="1845"/>
      <c r="J63" s="1845"/>
      <c r="K63" s="1845"/>
      <c r="L63" s="1846"/>
      <c r="M63" s="666"/>
      <c r="N63" s="452">
        <v>5</v>
      </c>
      <c r="O63" s="453"/>
    </row>
    <row r="64" spans="1:15" s="50" customFormat="1" ht="15.6">
      <c r="B64" s="666"/>
      <c r="C64" s="666"/>
      <c r="D64" s="441" t="s">
        <v>340</v>
      </c>
      <c r="E64" s="1010"/>
      <c r="F64" s="497"/>
      <c r="G64" s="497"/>
      <c r="H64" s="681"/>
      <c r="I64"/>
      <c r="J64"/>
      <c r="K64"/>
      <c r="L64"/>
      <c r="M64" s="63"/>
      <c r="N64" s="452" t="s">
        <v>311</v>
      </c>
      <c r="O64" s="455"/>
    </row>
    <row r="65" spans="1:15" customFormat="1" ht="13.2">
      <c r="F65" s="307"/>
    </row>
    <row r="66" spans="1:15" s="51" customFormat="1" ht="15.6">
      <c r="B66" s="668" t="s">
        <v>983</v>
      </c>
      <c r="C66" s="668"/>
      <c r="D66" s="674"/>
      <c r="F66" s="138"/>
      <c r="H66" s="679"/>
      <c r="I66" s="97"/>
      <c r="J66" s="97"/>
      <c r="K66" s="97"/>
      <c r="L66" s="97"/>
      <c r="M66" s="97"/>
    </row>
    <row r="67" spans="1:15" s="51" customFormat="1" ht="16.2" thickBot="1">
      <c r="B67" s="668"/>
      <c r="C67" s="675" t="s">
        <v>984</v>
      </c>
      <c r="D67" s="164"/>
      <c r="E67" s="666"/>
      <c r="F67" s="677"/>
      <c r="G67" s="677"/>
      <c r="H67" s="677"/>
      <c r="I67" s="462"/>
      <c r="J67" s="666"/>
      <c r="K67" s="666"/>
      <c r="L67" s="741"/>
      <c r="M67" s="666"/>
      <c r="N67" s="63"/>
      <c r="O67" s="63"/>
    </row>
    <row r="68" spans="1:15" s="50" customFormat="1" ht="16.2" thickBot="1">
      <c r="B68" s="666"/>
      <c r="C68" s="666"/>
      <c r="D68" s="437">
        <v>3</v>
      </c>
      <c r="E68" s="456" t="s">
        <v>1227</v>
      </c>
      <c r="F68" s="456"/>
      <c r="G68" s="456"/>
      <c r="H68" s="456"/>
      <c r="I68" s="456"/>
      <c r="J68" s="456"/>
      <c r="K68" s="456"/>
      <c r="L68" s="457"/>
      <c r="M68" s="63"/>
      <c r="N68" s="451" t="s">
        <v>335</v>
      </c>
      <c r="O68" s="451" t="s">
        <v>336</v>
      </c>
    </row>
    <row r="69" spans="1:15" s="50" customFormat="1" ht="15.6">
      <c r="B69" s="666"/>
      <c r="C69" s="666"/>
      <c r="D69" s="438" t="str">
        <f>IF(ROUNDDOWN(D68,0)=$N$2,$P$2,$O$2)</f>
        <v>　レベル　1</v>
      </c>
      <c r="E69" s="463" t="s">
        <v>437</v>
      </c>
      <c r="F69" s="503"/>
      <c r="G69" s="503"/>
      <c r="H69" s="503"/>
      <c r="I69" s="503"/>
      <c r="J69" s="503"/>
      <c r="K69" s="503"/>
      <c r="L69" s="510"/>
      <c r="M69" s="666"/>
      <c r="N69" s="452">
        <v>1</v>
      </c>
      <c r="O69" s="453"/>
    </row>
    <row r="70" spans="1:15" s="50" customFormat="1" ht="15.6">
      <c r="B70" s="666"/>
      <c r="C70" s="666"/>
      <c r="D70" s="439" t="str">
        <f>IF(ROUNDDOWN(D68,0)=$N$3,$P$3,$O$3)</f>
        <v>　レベル　2</v>
      </c>
      <c r="E70" s="466" t="s">
        <v>438</v>
      </c>
      <c r="F70" s="504"/>
      <c r="G70" s="504"/>
      <c r="H70" s="504"/>
      <c r="I70" s="504"/>
      <c r="J70" s="504"/>
      <c r="K70" s="504"/>
      <c r="L70" s="511"/>
      <c r="M70" s="63"/>
      <c r="N70" s="452">
        <v>2</v>
      </c>
      <c r="O70" s="453"/>
    </row>
    <row r="71" spans="1:15" s="50" customFormat="1" ht="15.6">
      <c r="B71" s="666"/>
      <c r="C71" s="666"/>
      <c r="D71" s="439" t="str">
        <f>IF(ROUNDDOWN(D68,0)=$N$4,$P$4,$O$4)</f>
        <v>■レベル　3</v>
      </c>
      <c r="E71" s="466" t="s">
        <v>439</v>
      </c>
      <c r="F71" s="504"/>
      <c r="G71" s="504"/>
      <c r="H71" s="504"/>
      <c r="I71" s="504"/>
      <c r="J71" s="504"/>
      <c r="K71" s="504"/>
      <c r="L71" s="511"/>
      <c r="M71" s="666"/>
      <c r="N71" s="452">
        <v>3</v>
      </c>
      <c r="O71" s="453"/>
    </row>
    <row r="72" spans="1:15" s="50" customFormat="1" ht="15.6">
      <c r="B72" s="666"/>
      <c r="C72" s="666"/>
      <c r="D72" s="439" t="str">
        <f>IF(ROUNDDOWN(D68,0)=$N$5,$P$5,$O$5)</f>
        <v>　レベル　4</v>
      </c>
      <c r="E72" s="469" t="s">
        <v>440</v>
      </c>
      <c r="F72" s="505"/>
      <c r="G72" s="505"/>
      <c r="H72" s="505"/>
      <c r="I72" s="505"/>
      <c r="J72" s="505"/>
      <c r="K72" s="505"/>
      <c r="L72" s="512"/>
      <c r="M72" s="63"/>
      <c r="N72" s="452">
        <v>4</v>
      </c>
      <c r="O72" s="453"/>
    </row>
    <row r="73" spans="1:15" s="50" customFormat="1" ht="15.6">
      <c r="B73" s="666"/>
      <c r="C73" s="666"/>
      <c r="D73" s="440" t="str">
        <f>IF(ROUNDDOWN(D68,0)=$N$6,$P$6,$O$6)</f>
        <v>　レベル　5</v>
      </c>
      <c r="E73" s="472" t="s">
        <v>441</v>
      </c>
      <c r="F73" s="483"/>
      <c r="G73" s="483"/>
      <c r="H73" s="483"/>
      <c r="I73" s="483"/>
      <c r="J73" s="483"/>
      <c r="K73" s="483"/>
      <c r="L73" s="513"/>
      <c r="M73" s="666"/>
      <c r="N73" s="452">
        <v>5</v>
      </c>
      <c r="O73" s="453"/>
    </row>
    <row r="74" spans="1:15" s="50" customFormat="1" ht="15.6">
      <c r="B74" s="666"/>
      <c r="C74" s="666"/>
      <c r="D74" s="441" t="s">
        <v>340</v>
      </c>
      <c r="E74" s="1010"/>
      <c r="F74" s="497"/>
      <c r="G74" s="497"/>
      <c r="H74" s="681"/>
      <c r="I74"/>
      <c r="J74"/>
      <c r="K74"/>
      <c r="L74"/>
      <c r="M74" s="63"/>
      <c r="N74" s="452" t="s">
        <v>311</v>
      </c>
      <c r="O74" s="455"/>
    </row>
    <row r="75" spans="1:15" customFormat="1" ht="13.2"/>
    <row r="76" spans="1:15" s="50" customFormat="1" ht="16.2" thickBot="1">
      <c r="A76" s="666"/>
      <c r="B76" s="164"/>
      <c r="C76" s="670" t="s">
        <v>985</v>
      </c>
      <c r="D76" s="164"/>
      <c r="E76" s="666"/>
      <c r="F76" s="677"/>
      <c r="G76" s="677"/>
      <c r="H76" s="677"/>
      <c r="I76" s="462"/>
      <c r="J76" s="666"/>
      <c r="K76" s="666"/>
      <c r="L76" s="678"/>
      <c r="M76" s="666"/>
      <c r="N76" s="63"/>
      <c r="O76" s="63"/>
    </row>
    <row r="77" spans="1:15" s="50" customFormat="1" ht="16.2" thickBot="1">
      <c r="B77" s="666"/>
      <c r="C77" s="666"/>
      <c r="D77" s="437">
        <v>3</v>
      </c>
      <c r="E77" s="456" t="s">
        <v>1227</v>
      </c>
      <c r="F77" s="456"/>
      <c r="G77" s="456"/>
      <c r="H77" s="456"/>
      <c r="I77" s="456"/>
      <c r="J77" s="456"/>
      <c r="K77" s="456"/>
      <c r="L77" s="457"/>
      <c r="M77" s="63"/>
      <c r="N77" s="451" t="s">
        <v>335</v>
      </c>
      <c r="O77" s="451" t="s">
        <v>336</v>
      </c>
    </row>
    <row r="78" spans="1:15" s="50" customFormat="1" ht="15.6">
      <c r="B78" s="666"/>
      <c r="C78" s="666"/>
      <c r="D78" s="438" t="str">
        <f>IF(ROUNDDOWN(D77,0)=$N$2,$P$2,$O$2)</f>
        <v>　レベル　1</v>
      </c>
      <c r="E78" s="463" t="s">
        <v>442</v>
      </c>
      <c r="F78" s="503"/>
      <c r="G78" s="503"/>
      <c r="H78" s="503"/>
      <c r="I78" s="503"/>
      <c r="J78" s="503"/>
      <c r="K78" s="503"/>
      <c r="L78" s="510"/>
      <c r="M78" s="666"/>
      <c r="N78" s="452">
        <v>1</v>
      </c>
      <c r="O78" s="453"/>
    </row>
    <row r="79" spans="1:15" s="50" customFormat="1" ht="15.6">
      <c r="B79" s="666"/>
      <c r="C79" s="666"/>
      <c r="D79" s="439" t="str">
        <f>IF(ROUNDDOWN(D77,0)=$N$3,$P$3,$O$3)</f>
        <v>　レベル　2</v>
      </c>
      <c r="E79" s="466" t="s">
        <v>413</v>
      </c>
      <c r="F79" s="504"/>
      <c r="G79" s="504"/>
      <c r="H79" s="504"/>
      <c r="I79" s="504"/>
      <c r="J79" s="504"/>
      <c r="K79" s="504"/>
      <c r="L79" s="511"/>
      <c r="M79" s="63"/>
      <c r="N79" s="452" t="s">
        <v>311</v>
      </c>
      <c r="O79" s="453"/>
    </row>
    <row r="80" spans="1:15" s="50" customFormat="1" ht="15.6">
      <c r="B80" s="666"/>
      <c r="C80" s="666"/>
      <c r="D80" s="439" t="str">
        <f>IF(ROUNDDOWN(D77,0)=$N$4,$P$4,$O$4)</f>
        <v>■レベル　3</v>
      </c>
      <c r="E80" s="728" t="s">
        <v>443</v>
      </c>
      <c r="F80" s="504"/>
      <c r="G80" s="504"/>
      <c r="H80" s="504"/>
      <c r="I80" s="504"/>
      <c r="J80" s="504"/>
      <c r="K80" s="504"/>
      <c r="L80" s="511"/>
      <c r="M80" s="666"/>
      <c r="N80" s="452">
        <v>3</v>
      </c>
      <c r="O80" s="453"/>
    </row>
    <row r="81" spans="1:15" s="50" customFormat="1" ht="15.6">
      <c r="B81" s="666"/>
      <c r="C81" s="666"/>
      <c r="D81" s="439" t="str">
        <f>IF(ROUNDDOWN(D77,0)=$N$5,$P$5,$O$5)</f>
        <v>　レベル　4</v>
      </c>
      <c r="E81" s="725" t="s">
        <v>444</v>
      </c>
      <c r="F81" s="505"/>
      <c r="G81" s="505"/>
      <c r="H81" s="505"/>
      <c r="I81" s="505"/>
      <c r="J81" s="505"/>
      <c r="K81" s="505"/>
      <c r="L81" s="512"/>
      <c r="M81" s="63"/>
      <c r="N81" s="452">
        <v>4</v>
      </c>
      <c r="O81" s="453"/>
    </row>
    <row r="82" spans="1:15" s="50" customFormat="1" ht="15.6">
      <c r="B82" s="666"/>
      <c r="C82" s="666"/>
      <c r="D82" s="440" t="str">
        <f>IF(ROUNDDOWN(D77,0)=$N$6,$P$6,$O$6)</f>
        <v>　レベル　5</v>
      </c>
      <c r="E82" s="726" t="s">
        <v>445</v>
      </c>
      <c r="F82" s="483"/>
      <c r="G82" s="483"/>
      <c r="H82" s="483"/>
      <c r="I82" s="483"/>
      <c r="J82" s="483"/>
      <c r="K82" s="483"/>
      <c r="L82" s="513"/>
      <c r="M82" s="666"/>
      <c r="N82" s="452">
        <v>5</v>
      </c>
      <c r="O82" s="453"/>
    </row>
    <row r="83" spans="1:15" s="50" customFormat="1" ht="15.6">
      <c r="B83" s="666"/>
      <c r="C83" s="666"/>
      <c r="D83" s="441" t="s">
        <v>340</v>
      </c>
      <c r="E83" s="1010"/>
      <c r="F83" s="497"/>
      <c r="G83" s="497"/>
      <c r="H83" s="681"/>
      <c r="I83"/>
      <c r="J83"/>
      <c r="K83"/>
      <c r="L83"/>
      <c r="M83" s="63"/>
      <c r="N83" s="452" t="s">
        <v>311</v>
      </c>
      <c r="O83" s="455"/>
    </row>
    <row r="84" spans="1:15" customFormat="1" ht="13.2"/>
    <row r="85" spans="1:15" s="50" customFormat="1" ht="16.2" thickBot="1">
      <c r="A85" s="666"/>
      <c r="B85" s="164"/>
      <c r="C85" s="670" t="s">
        <v>986</v>
      </c>
      <c r="D85" s="164"/>
      <c r="E85" s="666"/>
      <c r="F85" s="677"/>
      <c r="G85" s="677"/>
      <c r="H85" s="677"/>
      <c r="I85" s="462"/>
      <c r="J85" s="666"/>
      <c r="K85" s="666"/>
      <c r="L85" s="741"/>
      <c r="M85" s="666"/>
      <c r="N85" s="63"/>
      <c r="O85" s="63"/>
    </row>
    <row r="86" spans="1:15" s="50" customFormat="1" ht="16.2" thickBot="1">
      <c r="B86" s="666"/>
      <c r="C86" s="666"/>
      <c r="D86" s="437">
        <v>3</v>
      </c>
      <c r="E86" s="456" t="s">
        <v>1227</v>
      </c>
      <c r="F86" s="456"/>
      <c r="G86" s="456"/>
      <c r="H86" s="456"/>
      <c r="I86" s="456"/>
      <c r="J86" s="456"/>
      <c r="K86" s="456"/>
      <c r="L86" s="457"/>
      <c r="M86" s="63"/>
      <c r="N86" s="451" t="s">
        <v>335</v>
      </c>
      <c r="O86" s="451" t="s">
        <v>336</v>
      </c>
    </row>
    <row r="87" spans="1:15" s="50" customFormat="1" ht="15.6">
      <c r="B87" s="666"/>
      <c r="C87" s="666"/>
      <c r="D87" s="438" t="str">
        <f>IF(ROUNDDOWN(D86,0)=$N$2,$P$2,$O$2)</f>
        <v>　レベル　1</v>
      </c>
      <c r="E87" s="463" t="s">
        <v>1219</v>
      </c>
      <c r="F87" s="503"/>
      <c r="G87" s="503"/>
      <c r="H87" s="503"/>
      <c r="I87" s="503"/>
      <c r="J87" s="503"/>
      <c r="K87" s="503"/>
      <c r="L87" s="510"/>
      <c r="M87" s="666"/>
      <c r="N87" s="452">
        <v>1</v>
      </c>
      <c r="O87" s="453"/>
    </row>
    <row r="88" spans="1:15" s="50" customFormat="1" ht="15.6">
      <c r="B88" s="666"/>
      <c r="C88" s="666"/>
      <c r="D88" s="439" t="str">
        <f>IF(ROUNDDOWN(D86,0)=$N$3,$P$3,$O$3)</f>
        <v>　レベル　2</v>
      </c>
      <c r="E88" s="466" t="s">
        <v>1220</v>
      </c>
      <c r="F88" s="504"/>
      <c r="G88" s="504"/>
      <c r="H88" s="504"/>
      <c r="I88" s="504"/>
      <c r="J88" s="504"/>
      <c r="K88" s="504"/>
      <c r="L88" s="511"/>
      <c r="M88" s="63"/>
      <c r="N88" s="452">
        <v>2</v>
      </c>
      <c r="O88" s="453"/>
    </row>
    <row r="89" spans="1:15" s="50" customFormat="1" ht="15.6">
      <c r="B89" s="666"/>
      <c r="C89" s="666"/>
      <c r="D89" s="439" t="str">
        <f>IF(ROUNDDOWN(D86,0)=$N$4,$P$4,$O$4)</f>
        <v>■レベル　3</v>
      </c>
      <c r="E89" s="466" t="s">
        <v>1221</v>
      </c>
      <c r="F89" s="504"/>
      <c r="G89" s="504"/>
      <c r="H89" s="504"/>
      <c r="I89" s="504"/>
      <c r="J89" s="504"/>
      <c r="K89" s="504"/>
      <c r="L89" s="511"/>
      <c r="M89" s="666"/>
      <c r="N89" s="452">
        <v>3</v>
      </c>
      <c r="O89" s="453"/>
    </row>
    <row r="90" spans="1:15" s="50" customFormat="1" ht="15.6">
      <c r="B90" s="666"/>
      <c r="C90" s="666"/>
      <c r="D90" s="439" t="str">
        <f>IF(ROUNDDOWN(D86,0)=$N$5,$P$5,$O$5)</f>
        <v>　レベル　4</v>
      </c>
      <c r="E90" s="469" t="s">
        <v>1222</v>
      </c>
      <c r="F90" s="505"/>
      <c r="G90" s="505"/>
      <c r="H90" s="505"/>
      <c r="I90" s="505"/>
      <c r="J90" s="505"/>
      <c r="K90" s="505"/>
      <c r="L90" s="512"/>
      <c r="M90" s="63"/>
      <c r="N90" s="452">
        <v>4</v>
      </c>
      <c r="O90" s="453"/>
    </row>
    <row r="91" spans="1:15" s="50" customFormat="1" ht="15.6">
      <c r="B91" s="666"/>
      <c r="C91" s="666"/>
      <c r="D91" s="440" t="str">
        <f>IF(ROUNDDOWN(D86,0)=$N$6,$P$6,$O$6)</f>
        <v>　レベル　5</v>
      </c>
      <c r="E91" s="472" t="s">
        <v>1223</v>
      </c>
      <c r="F91" s="483"/>
      <c r="G91" s="483"/>
      <c r="H91" s="483"/>
      <c r="I91" s="483"/>
      <c r="J91" s="483"/>
      <c r="K91" s="483"/>
      <c r="L91" s="513"/>
      <c r="M91" s="666"/>
      <c r="N91" s="452">
        <v>5</v>
      </c>
      <c r="O91" s="453"/>
    </row>
    <row r="92" spans="1:15" s="50" customFormat="1" ht="15.6">
      <c r="B92" s="666"/>
      <c r="C92" s="666"/>
      <c r="D92" s="441" t="s">
        <v>340</v>
      </c>
      <c r="E92" s="1010"/>
      <c r="F92" s="497"/>
      <c r="G92" s="497"/>
      <c r="H92" s="681"/>
      <c r="I92"/>
      <c r="J92"/>
      <c r="K92"/>
      <c r="L92"/>
      <c r="M92" s="63"/>
      <c r="N92" s="452" t="s">
        <v>311</v>
      </c>
      <c r="O92" s="455"/>
    </row>
    <row r="93" spans="1:15" customFormat="1" ht="13.2"/>
    <row r="94" spans="1:15" s="50" customFormat="1" ht="16.2" thickBot="1">
      <c r="A94" s="666"/>
      <c r="B94" s="164"/>
      <c r="C94" s="670" t="s">
        <v>987</v>
      </c>
      <c r="D94" s="164"/>
      <c r="E94" s="666"/>
      <c r="F94" s="677"/>
      <c r="G94" s="677"/>
      <c r="H94" s="677"/>
      <c r="I94" s="462"/>
      <c r="J94" s="666"/>
      <c r="K94" s="666"/>
      <c r="L94" s="741"/>
      <c r="M94" s="666"/>
      <c r="N94" s="63"/>
      <c r="O94" s="63"/>
    </row>
    <row r="95" spans="1:15" s="50" customFormat="1" ht="16.2" thickBot="1">
      <c r="B95" s="666"/>
      <c r="C95" s="666"/>
      <c r="D95" s="437">
        <v>3</v>
      </c>
      <c r="E95" s="456" t="s">
        <v>1227</v>
      </c>
      <c r="F95" s="456"/>
      <c r="G95" s="456"/>
      <c r="H95" s="456"/>
      <c r="I95" s="456"/>
      <c r="J95" s="456"/>
      <c r="K95" s="456"/>
      <c r="L95" s="457"/>
      <c r="M95" s="63"/>
      <c r="N95" s="451" t="s">
        <v>335</v>
      </c>
      <c r="O95" s="451" t="s">
        <v>336</v>
      </c>
    </row>
    <row r="96" spans="1:15" s="50" customFormat="1" ht="15.6">
      <c r="B96" s="666"/>
      <c r="C96" s="666"/>
      <c r="D96" s="438" t="str">
        <f>IF(ROUNDDOWN(D95,0)=$N$2,$P$2,$O$2)</f>
        <v>　レベル　1</v>
      </c>
      <c r="E96" s="463" t="s">
        <v>446</v>
      </c>
      <c r="F96" s="503"/>
      <c r="G96" s="503"/>
      <c r="H96" s="503"/>
      <c r="I96" s="503"/>
      <c r="J96" s="503"/>
      <c r="K96" s="503"/>
      <c r="L96" s="510"/>
      <c r="M96" s="666"/>
      <c r="N96" s="452">
        <v>1</v>
      </c>
      <c r="O96" s="453"/>
    </row>
    <row r="97" spans="2:15" s="50" customFormat="1" ht="15.6">
      <c r="B97" s="666"/>
      <c r="C97" s="666"/>
      <c r="D97" s="439" t="str">
        <f>IF(ROUNDDOWN(D95,0)=$N$3,$P$3,$O$3)</f>
        <v>　レベル　2</v>
      </c>
      <c r="E97" s="466" t="s">
        <v>447</v>
      </c>
      <c r="F97" s="504"/>
      <c r="G97" s="504"/>
      <c r="H97" s="504"/>
      <c r="I97" s="504"/>
      <c r="J97" s="504"/>
      <c r="K97" s="504"/>
      <c r="L97" s="511"/>
      <c r="M97" s="63"/>
      <c r="N97" s="452">
        <v>2</v>
      </c>
      <c r="O97" s="453"/>
    </row>
    <row r="98" spans="2:15" s="50" customFormat="1" ht="15.6">
      <c r="B98" s="666"/>
      <c r="C98" s="666"/>
      <c r="D98" s="439" t="str">
        <f>IF(ROUNDDOWN(D95,0)=$N$4,$P$4,$O$4)</f>
        <v>■レベル　3</v>
      </c>
      <c r="E98" s="466" t="s">
        <v>448</v>
      </c>
      <c r="F98" s="504"/>
      <c r="G98" s="504"/>
      <c r="H98" s="504"/>
      <c r="I98" s="504"/>
      <c r="J98" s="504"/>
      <c r="K98" s="504"/>
      <c r="L98" s="511"/>
      <c r="M98" s="666"/>
      <c r="N98" s="452">
        <v>3</v>
      </c>
      <c r="O98" s="453"/>
    </row>
    <row r="99" spans="2:15" s="50" customFormat="1" ht="15.6">
      <c r="B99" s="666"/>
      <c r="C99" s="666"/>
      <c r="D99" s="439" t="str">
        <f>IF(ROUNDDOWN(D95,0)=$N$5,$P$5,$O$5)</f>
        <v>　レベル　4</v>
      </c>
      <c r="E99" s="469" t="s">
        <v>449</v>
      </c>
      <c r="F99" s="505"/>
      <c r="G99" s="505"/>
      <c r="H99" s="505"/>
      <c r="I99" s="505"/>
      <c r="J99" s="505"/>
      <c r="K99" s="505"/>
      <c r="L99" s="512"/>
      <c r="M99" s="63"/>
      <c r="N99" s="452">
        <v>4</v>
      </c>
      <c r="O99" s="453"/>
    </row>
    <row r="100" spans="2:15" s="50" customFormat="1" ht="15.6">
      <c r="B100" s="666"/>
      <c r="C100" s="666"/>
      <c r="D100" s="440" t="str">
        <f>IF(ROUNDDOWN(D95,0)=$N$6,$P$6,$O$6)</f>
        <v>　レベル　5</v>
      </c>
      <c r="E100" s="472" t="s">
        <v>450</v>
      </c>
      <c r="F100" s="483"/>
      <c r="G100" s="483"/>
      <c r="H100" s="483"/>
      <c r="I100" s="483"/>
      <c r="J100" s="483"/>
      <c r="K100" s="483"/>
      <c r="L100" s="513"/>
      <c r="M100" s="666"/>
      <c r="N100" s="452">
        <v>5</v>
      </c>
      <c r="O100" s="453"/>
    </row>
    <row r="101" spans="2:15" s="50" customFormat="1" ht="15.6">
      <c r="B101" s="666"/>
      <c r="C101" s="666"/>
      <c r="D101" s="441" t="s">
        <v>340</v>
      </c>
      <c r="E101" s="1010"/>
      <c r="F101" s="497"/>
      <c r="G101" s="497"/>
      <c r="H101" s="681"/>
      <c r="I101"/>
      <c r="J101"/>
      <c r="K101"/>
      <c r="L101"/>
      <c r="M101" s="63"/>
      <c r="N101" s="452" t="s">
        <v>311</v>
      </c>
      <c r="O101" s="455"/>
    </row>
    <row r="102" spans="2:15" customFormat="1" ht="13.2"/>
    <row r="103" spans="2:15" s="51" customFormat="1" ht="15.6">
      <c r="B103" s="668" t="s">
        <v>988</v>
      </c>
      <c r="C103" s="668"/>
      <c r="D103" s="674"/>
      <c r="F103" s="138"/>
      <c r="H103" s="679"/>
      <c r="I103" s="97"/>
      <c r="J103" s="97"/>
      <c r="K103" s="97"/>
      <c r="L103" s="97"/>
      <c r="M103" s="97"/>
    </row>
    <row r="104" spans="2:15" s="51" customFormat="1" ht="16.2" thickBot="1">
      <c r="B104" s="668"/>
      <c r="C104" s="675" t="s">
        <v>989</v>
      </c>
      <c r="D104" s="164"/>
      <c r="E104" s="666"/>
      <c r="F104" s="677"/>
      <c r="G104" s="677"/>
      <c r="H104" s="677"/>
      <c r="I104" s="462"/>
      <c r="J104" s="666"/>
      <c r="K104" s="666"/>
      <c r="L104" s="741"/>
      <c r="M104" s="666"/>
      <c r="N104" s="63"/>
      <c r="O104" s="63"/>
    </row>
    <row r="105" spans="2:15" s="50" customFormat="1" ht="16.2" thickBot="1">
      <c r="B105" s="666"/>
      <c r="C105" s="666"/>
      <c r="D105" s="437">
        <v>3</v>
      </c>
      <c r="E105" s="456" t="s">
        <v>1227</v>
      </c>
      <c r="F105" s="456"/>
      <c r="G105" s="456"/>
      <c r="H105" s="456"/>
      <c r="I105" s="456"/>
      <c r="J105" s="456"/>
      <c r="K105" s="456"/>
      <c r="L105" s="457"/>
      <c r="M105" s="63"/>
      <c r="N105" s="451" t="s">
        <v>335</v>
      </c>
      <c r="O105" s="451" t="s">
        <v>336</v>
      </c>
    </row>
    <row r="106" spans="2:15" s="50" customFormat="1" ht="15.6">
      <c r="B106" s="666"/>
      <c r="C106" s="666"/>
      <c r="D106" s="438" t="str">
        <f>IF(ROUNDDOWN(D105,0)=$N$2,$P$2,$O$2)</f>
        <v>　レベル　1</v>
      </c>
      <c r="E106" s="463" t="s">
        <v>451</v>
      </c>
      <c r="F106" s="503"/>
      <c r="G106" s="503"/>
      <c r="H106" s="503"/>
      <c r="I106" s="503"/>
      <c r="J106" s="503"/>
      <c r="K106" s="503"/>
      <c r="L106" s="510"/>
      <c r="M106" s="666"/>
      <c r="N106" s="452">
        <v>1</v>
      </c>
      <c r="O106" s="453"/>
    </row>
    <row r="107" spans="2:15" s="50" customFormat="1" ht="15.6">
      <c r="B107" s="666"/>
      <c r="C107" s="666"/>
      <c r="D107" s="439" t="str">
        <f>IF(ROUNDDOWN(D105,0)=$N$3,$P$3,$O$3)</f>
        <v>　レベル　2</v>
      </c>
      <c r="E107" s="466" t="s">
        <v>452</v>
      </c>
      <c r="F107" s="504"/>
      <c r="G107" s="504"/>
      <c r="H107" s="504"/>
      <c r="I107" s="504"/>
      <c r="J107" s="504"/>
      <c r="K107" s="504"/>
      <c r="L107" s="511"/>
      <c r="M107" s="63"/>
      <c r="N107" s="452">
        <v>2</v>
      </c>
      <c r="O107" s="453"/>
    </row>
    <row r="108" spans="2:15" s="50" customFormat="1" ht="15.6">
      <c r="B108" s="666"/>
      <c r="C108" s="666"/>
      <c r="D108" s="439" t="str">
        <f>IF(ROUNDDOWN(D105,0)=$N$4,$P$4,$O$4)</f>
        <v>■レベル　3</v>
      </c>
      <c r="E108" s="466" t="s">
        <v>453</v>
      </c>
      <c r="F108" s="504"/>
      <c r="G108" s="504"/>
      <c r="H108" s="504"/>
      <c r="I108" s="504"/>
      <c r="J108" s="504"/>
      <c r="K108" s="504"/>
      <c r="L108" s="511"/>
      <c r="M108" s="666"/>
      <c r="N108" s="452">
        <v>3</v>
      </c>
      <c r="O108" s="453"/>
    </row>
    <row r="109" spans="2:15" s="50" customFormat="1" ht="15.6">
      <c r="B109" s="666"/>
      <c r="C109" s="666"/>
      <c r="D109" s="439" t="str">
        <f>IF(ROUNDDOWN(D105,0)=$N$5,$P$5,$O$5)</f>
        <v>　レベル　4</v>
      </c>
      <c r="E109" s="469" t="s">
        <v>454</v>
      </c>
      <c r="F109" s="505"/>
      <c r="G109" s="505"/>
      <c r="H109" s="505"/>
      <c r="I109" s="505"/>
      <c r="J109" s="505"/>
      <c r="K109" s="505"/>
      <c r="L109" s="512"/>
      <c r="M109" s="63"/>
      <c r="N109" s="452">
        <v>4</v>
      </c>
      <c r="O109" s="453"/>
    </row>
    <row r="110" spans="2:15" s="50" customFormat="1" ht="15.6">
      <c r="B110" s="666"/>
      <c r="C110" s="666"/>
      <c r="D110" s="440" t="str">
        <f>IF(ROUNDDOWN(D105,0)=$N$6,$P$6,$O$6)</f>
        <v>　レベル　5</v>
      </c>
      <c r="E110" s="472" t="s">
        <v>455</v>
      </c>
      <c r="F110" s="483"/>
      <c r="G110" s="483"/>
      <c r="H110" s="483"/>
      <c r="I110" s="483"/>
      <c r="J110" s="483"/>
      <c r="K110" s="483"/>
      <c r="L110" s="513"/>
      <c r="M110" s="666"/>
      <c r="N110" s="452">
        <v>5</v>
      </c>
      <c r="O110" s="453"/>
    </row>
    <row r="111" spans="2:15" s="50" customFormat="1" ht="15.6">
      <c r="B111" s="666"/>
      <c r="C111" s="666"/>
      <c r="D111" s="441" t="s">
        <v>340</v>
      </c>
      <c r="E111" s="1010"/>
      <c r="F111" s="497"/>
      <c r="G111" s="497"/>
      <c r="H111" s="681"/>
      <c r="I111"/>
      <c r="J111"/>
      <c r="K111"/>
      <c r="L111"/>
      <c r="M111" s="63"/>
      <c r="N111" s="452" t="s">
        <v>311</v>
      </c>
      <c r="O111" s="455"/>
    </row>
    <row r="112" spans="2:15" customFormat="1" ht="13.2">
      <c r="F112" s="307"/>
    </row>
    <row r="113" spans="1:15" s="50" customFormat="1" ht="16.2" thickBot="1">
      <c r="A113" s="666"/>
      <c r="B113" s="164"/>
      <c r="C113" s="670" t="s">
        <v>990</v>
      </c>
      <c r="D113" s="164"/>
      <c r="E113" s="666"/>
      <c r="F113" s="677"/>
      <c r="G113" s="677"/>
      <c r="H113" s="677"/>
      <c r="I113" s="462"/>
      <c r="J113" s="450"/>
      <c r="K113" s="450"/>
      <c r="L113" s="752" t="s">
        <v>760</v>
      </c>
      <c r="M113" s="666"/>
      <c r="N113" s="63"/>
      <c r="O113" s="63"/>
    </row>
    <row r="114" spans="1:15" s="50" customFormat="1" ht="16.2" thickBot="1">
      <c r="B114" s="666"/>
      <c r="C114" s="666"/>
      <c r="D114" s="437">
        <v>3</v>
      </c>
      <c r="E114" s="456" t="s">
        <v>1227</v>
      </c>
      <c r="F114" s="456"/>
      <c r="G114" s="456"/>
      <c r="H114" s="456"/>
      <c r="I114" s="456"/>
      <c r="J114" s="456"/>
      <c r="K114" s="456"/>
      <c r="L114" s="457"/>
      <c r="M114" s="63"/>
      <c r="N114" s="451" t="s">
        <v>335</v>
      </c>
      <c r="O114" s="451" t="s">
        <v>336</v>
      </c>
    </row>
    <row r="115" spans="1:15" s="50" customFormat="1" ht="15.6">
      <c r="B115" s="666"/>
      <c r="C115" s="666"/>
      <c r="D115" s="438" t="str">
        <f>IF(ROUNDDOWN(D114,0)=$N$2,$P$2,$O$2)</f>
        <v>　レベル　1</v>
      </c>
      <c r="E115" s="463" t="s">
        <v>456</v>
      </c>
      <c r="F115" s="503"/>
      <c r="G115" s="503"/>
      <c r="H115" s="503"/>
      <c r="I115" s="503"/>
      <c r="J115" s="503"/>
      <c r="K115" s="503"/>
      <c r="L115" s="510"/>
      <c r="M115" s="666"/>
      <c r="N115" s="452">
        <v>1</v>
      </c>
      <c r="O115" s="453"/>
    </row>
    <row r="116" spans="1:15" s="50" customFormat="1" ht="15.6">
      <c r="B116" s="666"/>
      <c r="C116" s="666"/>
      <c r="D116" s="439" t="str">
        <f>IF(ROUNDDOWN(D114,0)=$N$3,$P$3,$O$3)</f>
        <v>　レベル　2</v>
      </c>
      <c r="E116" s="466" t="s">
        <v>457</v>
      </c>
      <c r="F116" s="504"/>
      <c r="G116" s="504"/>
      <c r="H116" s="504"/>
      <c r="I116" s="504"/>
      <c r="J116" s="504"/>
      <c r="K116" s="504"/>
      <c r="L116" s="511"/>
      <c r="M116" s="63"/>
      <c r="N116" s="452">
        <v>2</v>
      </c>
      <c r="O116" s="453"/>
    </row>
    <row r="117" spans="1:15" s="50" customFormat="1" ht="15.6">
      <c r="B117" s="666"/>
      <c r="C117" s="666"/>
      <c r="D117" s="439" t="str">
        <f>IF(ROUNDDOWN(D114,0)=$N$4,$P$4,$O$4)</f>
        <v>■レベル　3</v>
      </c>
      <c r="E117" s="466" t="s">
        <v>458</v>
      </c>
      <c r="F117" s="504"/>
      <c r="G117" s="504"/>
      <c r="H117" s="504"/>
      <c r="I117" s="504"/>
      <c r="J117" s="504"/>
      <c r="K117" s="504"/>
      <c r="L117" s="511"/>
      <c r="M117" s="666"/>
      <c r="N117" s="452">
        <v>3</v>
      </c>
      <c r="O117" s="453"/>
    </row>
    <row r="118" spans="1:15" s="50" customFormat="1" ht="15.6">
      <c r="B118" s="666"/>
      <c r="C118" s="666"/>
      <c r="D118" s="439" t="str">
        <f>IF(ROUNDDOWN(D114,0)=$N$5,$P$5,$O$5)</f>
        <v>　レベル　4</v>
      </c>
      <c r="E118" s="469" t="s">
        <v>459</v>
      </c>
      <c r="F118" s="505"/>
      <c r="G118" s="505"/>
      <c r="H118" s="505"/>
      <c r="I118" s="505"/>
      <c r="J118" s="505"/>
      <c r="K118" s="505"/>
      <c r="L118" s="512"/>
      <c r="M118" s="63"/>
      <c r="N118" s="452">
        <v>4</v>
      </c>
      <c r="O118" s="453"/>
    </row>
    <row r="119" spans="1:15" s="50" customFormat="1" ht="15.6">
      <c r="B119" s="666"/>
      <c r="C119" s="666"/>
      <c r="D119" s="440" t="str">
        <f>IF(ROUNDDOWN(D114,0)=$N$6,$P$6,$O$6)</f>
        <v>　レベル　5</v>
      </c>
      <c r="E119" s="472" t="s">
        <v>460</v>
      </c>
      <c r="F119" s="483"/>
      <c r="G119" s="483"/>
      <c r="H119" s="483"/>
      <c r="I119" s="483"/>
      <c r="J119" s="483"/>
      <c r="K119" s="483"/>
      <c r="L119" s="513"/>
      <c r="M119" s="666"/>
      <c r="N119" s="452">
        <v>5</v>
      </c>
      <c r="O119" s="453"/>
    </row>
    <row r="120" spans="1:15" s="50" customFormat="1" ht="15.6">
      <c r="B120" s="666"/>
      <c r="C120" s="666"/>
      <c r="D120" s="441" t="s">
        <v>340</v>
      </c>
      <c r="E120" s="1010"/>
      <c r="F120" s="497"/>
      <c r="G120" s="497"/>
      <c r="H120" s="681"/>
      <c r="I120" s="751" t="s">
        <v>713</v>
      </c>
      <c r="J120"/>
      <c r="K120"/>
      <c r="L120"/>
      <c r="M120" s="63"/>
      <c r="N120" s="454">
        <v>0</v>
      </c>
      <c r="O120" s="455"/>
    </row>
    <row r="121" spans="1:15" customFormat="1" ht="13.2">
      <c r="F121" s="307"/>
    </row>
    <row r="122" spans="1:15" s="50" customFormat="1" ht="16.2" thickBot="1">
      <c r="A122" s="666"/>
      <c r="B122" s="164"/>
      <c r="C122" s="670" t="s">
        <v>991</v>
      </c>
      <c r="D122" s="164"/>
      <c r="E122" s="666"/>
      <c r="F122" s="677"/>
      <c r="G122" s="677"/>
      <c r="H122" s="677"/>
      <c r="I122" s="462"/>
      <c r="J122" s="666"/>
      <c r="K122" s="666"/>
      <c r="L122" s="741"/>
      <c r="M122" s="666"/>
      <c r="N122" s="63"/>
      <c r="O122" s="63"/>
    </row>
    <row r="123" spans="1:15" s="50" customFormat="1" ht="16.2" thickBot="1">
      <c r="B123" s="666"/>
      <c r="C123" s="666"/>
      <c r="D123" s="437">
        <v>3</v>
      </c>
      <c r="E123" s="456" t="s">
        <v>1227</v>
      </c>
      <c r="F123" s="456"/>
      <c r="G123" s="456"/>
      <c r="H123" s="456"/>
      <c r="I123" s="456"/>
      <c r="J123" s="456"/>
      <c r="K123" s="456"/>
      <c r="L123" s="457"/>
      <c r="M123" s="63"/>
      <c r="N123" s="451" t="s">
        <v>335</v>
      </c>
      <c r="O123" s="451" t="s">
        <v>336</v>
      </c>
    </row>
    <row r="124" spans="1:15" s="50" customFormat="1" ht="15.6">
      <c r="B124" s="666"/>
      <c r="C124" s="666"/>
      <c r="D124" s="438" t="str">
        <f>IF(ROUNDDOWN(D123,0)=$N$2,$P$2,$O$2)</f>
        <v>　レベル　1</v>
      </c>
      <c r="E124" s="463" t="s">
        <v>461</v>
      </c>
      <c r="F124" s="503"/>
      <c r="G124" s="503"/>
      <c r="H124" s="503"/>
      <c r="I124" s="503"/>
      <c r="J124" s="503"/>
      <c r="K124" s="503"/>
      <c r="L124" s="510"/>
      <c r="M124" s="666"/>
      <c r="N124" s="452">
        <v>1</v>
      </c>
      <c r="O124" s="453"/>
    </row>
    <row r="125" spans="1:15" s="50" customFormat="1" ht="15.6">
      <c r="B125" s="666"/>
      <c r="C125" s="666"/>
      <c r="D125" s="439" t="str">
        <f>IF(ROUNDDOWN(D123,0)=$N$3,$P$3,$O$3)</f>
        <v>　レベル　2</v>
      </c>
      <c r="E125" s="466" t="s">
        <v>462</v>
      </c>
      <c r="F125" s="504"/>
      <c r="G125" s="504"/>
      <c r="H125" s="504"/>
      <c r="I125" s="504"/>
      <c r="J125" s="504"/>
      <c r="K125" s="504"/>
      <c r="L125" s="511"/>
      <c r="M125" s="63"/>
      <c r="N125" s="452">
        <v>2</v>
      </c>
      <c r="O125" s="453"/>
    </row>
    <row r="126" spans="1:15" s="50" customFormat="1" ht="15.6">
      <c r="B126" s="666"/>
      <c r="C126" s="666"/>
      <c r="D126" s="439" t="str">
        <f>IF(ROUNDDOWN(D123,0)=$N$4,$P$4,$O$4)</f>
        <v>■レベル　3</v>
      </c>
      <c r="E126" s="466" t="s">
        <v>463</v>
      </c>
      <c r="F126" s="504"/>
      <c r="G126" s="504"/>
      <c r="H126" s="504"/>
      <c r="I126" s="504"/>
      <c r="J126" s="504"/>
      <c r="K126" s="504"/>
      <c r="L126" s="511"/>
      <c r="M126" s="666"/>
      <c r="N126" s="452">
        <v>3</v>
      </c>
      <c r="O126" s="453"/>
    </row>
    <row r="127" spans="1:15" s="50" customFormat="1" ht="15.6">
      <c r="B127" s="666"/>
      <c r="C127" s="666"/>
      <c r="D127" s="439" t="str">
        <f>IF(ROUNDDOWN(D123,0)=$N$5,$P$5,$O$5)</f>
        <v>　レベル　4</v>
      </c>
      <c r="E127" s="469" t="s">
        <v>464</v>
      </c>
      <c r="F127" s="505"/>
      <c r="G127" s="505"/>
      <c r="H127" s="505"/>
      <c r="I127" s="505"/>
      <c r="J127" s="505"/>
      <c r="K127" s="505"/>
      <c r="L127" s="512"/>
      <c r="M127" s="63"/>
      <c r="N127" s="452">
        <v>4</v>
      </c>
      <c r="O127" s="453"/>
    </row>
    <row r="128" spans="1:15" s="50" customFormat="1" ht="15.6">
      <c r="B128" s="666"/>
      <c r="C128" s="666"/>
      <c r="D128" s="440" t="str">
        <f>IF(ROUNDDOWN(D123,0)=$N$6,$P$6,$O$6)</f>
        <v>　レベル　5</v>
      </c>
      <c r="E128" s="472" t="s">
        <v>465</v>
      </c>
      <c r="F128" s="483"/>
      <c r="G128" s="483"/>
      <c r="H128" s="483"/>
      <c r="I128" s="483"/>
      <c r="J128" s="483"/>
      <c r="K128" s="483"/>
      <c r="L128" s="513"/>
      <c r="M128" s="666"/>
      <c r="N128" s="452">
        <v>5</v>
      </c>
      <c r="O128" s="453"/>
    </row>
    <row r="129" spans="1:15" s="50" customFormat="1" ht="15.6">
      <c r="B129" s="666"/>
      <c r="C129" s="666"/>
      <c r="D129" s="441" t="s">
        <v>340</v>
      </c>
      <c r="E129" s="1010"/>
      <c r="F129" s="497"/>
      <c r="G129" s="497"/>
      <c r="H129" s="681"/>
      <c r="I129"/>
      <c r="J129"/>
      <c r="K129"/>
      <c r="L129"/>
      <c r="M129" s="63"/>
      <c r="N129" s="452" t="s">
        <v>311</v>
      </c>
      <c r="O129" s="455"/>
    </row>
    <row r="130" spans="1:15" customFormat="1" ht="13.2">
      <c r="F130" s="307"/>
    </row>
    <row r="131" spans="1:15" s="50" customFormat="1" ht="16.2" thickBot="1">
      <c r="A131" s="666"/>
      <c r="B131" s="164"/>
      <c r="C131" s="670" t="s">
        <v>992</v>
      </c>
      <c r="D131" s="164"/>
      <c r="E131" s="666"/>
      <c r="F131" s="677"/>
      <c r="G131" s="677"/>
      <c r="H131" s="677"/>
      <c r="I131" s="462"/>
      <c r="J131" s="666"/>
      <c r="K131" s="666"/>
      <c r="L131" s="741" t="s">
        <v>759</v>
      </c>
      <c r="M131" s="666"/>
      <c r="N131" s="63"/>
      <c r="O131" s="63"/>
    </row>
    <row r="132" spans="1:15" s="50" customFormat="1" ht="16.2" thickBot="1">
      <c r="B132" s="666"/>
      <c r="C132" s="666"/>
      <c r="D132" s="437">
        <v>3</v>
      </c>
      <c r="E132" s="456" t="s">
        <v>1227</v>
      </c>
      <c r="F132" s="456"/>
      <c r="G132" s="456"/>
      <c r="H132" s="456"/>
      <c r="I132" s="456"/>
      <c r="J132" s="456"/>
      <c r="K132" s="456"/>
      <c r="L132" s="457"/>
      <c r="M132" s="63"/>
      <c r="N132" s="451" t="s">
        <v>335</v>
      </c>
      <c r="O132" s="451" t="s">
        <v>336</v>
      </c>
    </row>
    <row r="133" spans="1:15" s="50" customFormat="1" ht="15.6">
      <c r="B133" s="666"/>
      <c r="C133" s="666"/>
      <c r="D133" s="438" t="str">
        <f>IF(ROUNDDOWN(D132,0)=$N$2,$P$2,$O$2)</f>
        <v>　レベル　1</v>
      </c>
      <c r="E133" s="463" t="s">
        <v>1265</v>
      </c>
      <c r="F133" s="503"/>
      <c r="G133" s="503"/>
      <c r="H133" s="503"/>
      <c r="I133" s="503"/>
      <c r="J133" s="503"/>
      <c r="K133" s="503"/>
      <c r="L133" s="510"/>
      <c r="M133" s="666"/>
      <c r="N133" s="452">
        <v>1</v>
      </c>
      <c r="O133" s="453"/>
    </row>
    <row r="134" spans="1:15" s="50" customFormat="1" ht="15.6">
      <c r="B134" s="666"/>
      <c r="C134" s="666"/>
      <c r="D134" s="439" t="str">
        <f>IF(ROUNDDOWN(D132,0)=$N$3,$P$3,$O$3)</f>
        <v>　レベル　2</v>
      </c>
      <c r="E134" s="466" t="s">
        <v>1266</v>
      </c>
      <c r="F134" s="504"/>
      <c r="G134" s="504"/>
      <c r="H134" s="504"/>
      <c r="I134" s="504"/>
      <c r="J134" s="504"/>
      <c r="K134" s="504"/>
      <c r="L134" s="511"/>
      <c r="M134" s="63"/>
      <c r="N134" s="452">
        <v>2</v>
      </c>
      <c r="O134" s="453"/>
    </row>
    <row r="135" spans="1:15" s="50" customFormat="1" ht="15.6">
      <c r="B135" s="666"/>
      <c r="C135" s="666"/>
      <c r="D135" s="439" t="str">
        <f>IF(ROUNDDOWN(D132,0)=$N$4,$P$4,$O$4)</f>
        <v>■レベル　3</v>
      </c>
      <c r="E135" s="466" t="s">
        <v>1267</v>
      </c>
      <c r="F135" s="504"/>
      <c r="G135" s="504"/>
      <c r="H135" s="504"/>
      <c r="I135" s="504"/>
      <c r="J135" s="504"/>
      <c r="K135" s="504"/>
      <c r="L135" s="511"/>
      <c r="M135" s="666"/>
      <c r="N135" s="452">
        <v>3</v>
      </c>
      <c r="O135" s="453"/>
    </row>
    <row r="136" spans="1:15" s="50" customFormat="1" ht="15.6">
      <c r="B136" s="666"/>
      <c r="C136" s="666"/>
      <c r="D136" s="439" t="str">
        <f>IF(ROUNDDOWN(D132,0)=$N$5,$P$5,$O$5)</f>
        <v>　レベル　4</v>
      </c>
      <c r="E136" s="469" t="s">
        <v>1268</v>
      </c>
      <c r="F136" s="505"/>
      <c r="G136" s="505"/>
      <c r="H136" s="505"/>
      <c r="I136" s="505"/>
      <c r="J136" s="505"/>
      <c r="K136" s="505"/>
      <c r="L136" s="512"/>
      <c r="M136" s="63"/>
      <c r="N136" s="452">
        <v>4</v>
      </c>
      <c r="O136" s="453"/>
    </row>
    <row r="137" spans="1:15" s="50" customFormat="1" ht="15.6">
      <c r="B137" s="666"/>
      <c r="C137" s="666"/>
      <c r="D137" s="440" t="str">
        <f>IF(ROUNDDOWN(D132,0)=$N$6,$P$6,$O$6)</f>
        <v>　レベル　5</v>
      </c>
      <c r="E137" s="472" t="s">
        <v>1269</v>
      </c>
      <c r="F137" s="483"/>
      <c r="G137" s="483"/>
      <c r="H137" s="483"/>
      <c r="I137" s="483"/>
      <c r="J137" s="483"/>
      <c r="K137" s="483"/>
      <c r="L137" s="513"/>
      <c r="M137" s="666"/>
      <c r="N137" s="452">
        <v>5</v>
      </c>
      <c r="O137" s="453"/>
    </row>
    <row r="138" spans="1:15" s="50" customFormat="1" ht="15.6">
      <c r="B138" s="666"/>
      <c r="C138" s="666"/>
      <c r="D138" s="441" t="s">
        <v>340</v>
      </c>
      <c r="E138" s="1010"/>
      <c r="F138" s="497"/>
      <c r="G138" s="497"/>
      <c r="H138" s="681"/>
      <c r="I138" s="751" t="s">
        <v>713</v>
      </c>
      <c r="J138"/>
      <c r="K138"/>
      <c r="L138"/>
      <c r="M138" s="63"/>
      <c r="N138" s="454">
        <v>0</v>
      </c>
      <c r="O138" s="455"/>
    </row>
    <row r="139" spans="1:15" customFormat="1" ht="13.2">
      <c r="F139" s="307"/>
    </row>
    <row r="140" spans="1:15" s="51" customFormat="1" ht="15.6">
      <c r="B140" s="668" t="s">
        <v>993</v>
      </c>
      <c r="C140" s="668"/>
      <c r="D140" s="674"/>
      <c r="F140" s="138"/>
      <c r="H140" s="679"/>
      <c r="I140" s="97"/>
      <c r="J140" s="97"/>
      <c r="K140" s="97"/>
      <c r="L140" s="97"/>
      <c r="M140" s="97"/>
    </row>
    <row r="141" spans="1:15" s="51" customFormat="1" ht="15.6">
      <c r="C141" s="668" t="s">
        <v>466</v>
      </c>
      <c r="D141" s="674"/>
      <c r="F141" s="138"/>
      <c r="H141" s="679"/>
      <c r="I141" s="97"/>
      <c r="J141" s="97"/>
      <c r="K141" s="97"/>
      <c r="L141" s="97"/>
      <c r="M141" s="97"/>
    </row>
    <row r="142" spans="1:15" s="51" customFormat="1" ht="16.2" thickBot="1">
      <c r="B142" s="668"/>
      <c r="C142" s="668"/>
      <c r="D142" s="164" t="s">
        <v>467</v>
      </c>
      <c r="E142" s="666"/>
      <c r="F142" s="677"/>
      <c r="G142" s="677"/>
      <c r="H142" s="677"/>
      <c r="I142" s="462"/>
      <c r="J142" s="666"/>
      <c r="K142" s="666"/>
      <c r="L142" s="678"/>
      <c r="M142" s="666"/>
      <c r="N142" s="63"/>
      <c r="O142" s="63"/>
    </row>
    <row r="143" spans="1:15" s="50" customFormat="1" ht="16.2" thickBot="1">
      <c r="B143" s="666"/>
      <c r="C143" s="666"/>
      <c r="D143" s="437">
        <v>3</v>
      </c>
      <c r="E143" s="456" t="s">
        <v>1227</v>
      </c>
      <c r="F143" s="456"/>
      <c r="G143" s="456"/>
      <c r="H143" s="456"/>
      <c r="I143" s="456"/>
      <c r="J143" s="456"/>
      <c r="K143" s="456"/>
      <c r="L143" s="457"/>
      <c r="M143" s="63"/>
      <c r="N143" s="451" t="s">
        <v>335</v>
      </c>
      <c r="O143" s="451" t="s">
        <v>336</v>
      </c>
    </row>
    <row r="144" spans="1:15" s="50" customFormat="1" ht="15.6">
      <c r="B144" s="666"/>
      <c r="C144" s="666"/>
      <c r="D144" s="438" t="str">
        <f>IF(ROUNDDOWN(D143,0)=$N$2,$P$2,$O$2)</f>
        <v>　レベル　1</v>
      </c>
      <c r="E144" s="463" t="s">
        <v>468</v>
      </c>
      <c r="F144" s="503"/>
      <c r="G144" s="503"/>
      <c r="H144" s="503"/>
      <c r="I144" s="503"/>
      <c r="J144" s="503"/>
      <c r="K144" s="503"/>
      <c r="L144" s="510"/>
      <c r="M144" s="666"/>
      <c r="N144" s="452">
        <v>1</v>
      </c>
      <c r="O144" s="453"/>
    </row>
    <row r="145" spans="1:27" s="50" customFormat="1" ht="15.6">
      <c r="B145" s="666"/>
      <c r="C145" s="666"/>
      <c r="D145" s="439" t="str">
        <f>IF(ROUNDDOWN(D143,0)=$N$3,$P$3,$O$3)</f>
        <v>　レベル　2</v>
      </c>
      <c r="E145" s="466" t="s">
        <v>413</v>
      </c>
      <c r="F145" s="504"/>
      <c r="G145" s="504"/>
      <c r="H145" s="504"/>
      <c r="I145" s="504"/>
      <c r="J145" s="504"/>
      <c r="K145" s="504"/>
      <c r="L145" s="511"/>
      <c r="M145" s="63"/>
      <c r="N145" s="452" t="s">
        <v>311</v>
      </c>
      <c r="O145" s="453"/>
    </row>
    <row r="146" spans="1:27" s="50" customFormat="1" ht="27" customHeight="1">
      <c r="B146" s="666"/>
      <c r="C146" s="666"/>
      <c r="D146" s="439" t="str">
        <f>IF(ROUNDDOWN(D143,0)=$N$4,$P$4,$O$4)</f>
        <v>■レベル　3</v>
      </c>
      <c r="E146" s="1880" t="s">
        <v>469</v>
      </c>
      <c r="F146" s="1881"/>
      <c r="G146" s="1881"/>
      <c r="H146" s="1881"/>
      <c r="I146" s="1881"/>
      <c r="J146" s="1881"/>
      <c r="K146" s="1881"/>
      <c r="L146" s="1882"/>
      <c r="M146" s="666"/>
      <c r="N146" s="452">
        <v>3</v>
      </c>
      <c r="O146" s="453"/>
    </row>
    <row r="147" spans="1:27" s="50" customFormat="1" ht="15.6">
      <c r="B147" s="666"/>
      <c r="C147" s="666"/>
      <c r="D147" s="439" t="str">
        <f>IF(ROUNDDOWN(D143,0)=$N$5,$P$5,$O$5)</f>
        <v>　レベル　4</v>
      </c>
      <c r="E147" s="469" t="s">
        <v>470</v>
      </c>
      <c r="F147" s="505"/>
      <c r="G147" s="505"/>
      <c r="H147" s="505"/>
      <c r="I147" s="505"/>
      <c r="J147" s="505"/>
      <c r="K147" s="505"/>
      <c r="L147" s="512"/>
      <c r="M147" s="63"/>
      <c r="N147" s="452">
        <v>4</v>
      </c>
      <c r="O147" s="453"/>
    </row>
    <row r="148" spans="1:27" s="50" customFormat="1" ht="15.6">
      <c r="B148" s="666"/>
      <c r="C148" s="666"/>
      <c r="D148" s="440" t="str">
        <f>IF(ROUNDDOWN(D143,0)=$N$6,$P$6,$O$6)</f>
        <v>　レベル　5</v>
      </c>
      <c r="E148" s="472" t="s">
        <v>471</v>
      </c>
      <c r="F148" s="483"/>
      <c r="G148" s="483"/>
      <c r="H148" s="483"/>
      <c r="I148" s="483"/>
      <c r="J148" s="483"/>
      <c r="K148" s="483"/>
      <c r="L148" s="513"/>
      <c r="M148" s="666"/>
      <c r="N148" s="452">
        <v>5</v>
      </c>
      <c r="O148" s="453"/>
    </row>
    <row r="149" spans="1:27" s="50" customFormat="1" ht="15.6">
      <c r="B149" s="666"/>
      <c r="C149" s="666"/>
      <c r="D149" s="441" t="s">
        <v>340</v>
      </c>
      <c r="E149" s="1010"/>
      <c r="F149" s="497"/>
      <c r="G149" s="497"/>
      <c r="H149" s="681"/>
      <c r="I149"/>
      <c r="J149"/>
      <c r="K149"/>
      <c r="L149"/>
      <c r="M149" s="63"/>
      <c r="N149" s="452" t="s">
        <v>311</v>
      </c>
      <c r="O149" s="455"/>
    </row>
    <row r="150" spans="1:27" customFormat="1" ht="13.2">
      <c r="F150" s="307"/>
    </row>
    <row r="151" spans="1:27" s="50" customFormat="1" ht="16.2" thickBot="1">
      <c r="A151" s="666"/>
      <c r="B151" s="164"/>
      <c r="C151" s="670"/>
      <c r="D151" s="164" t="s">
        <v>1040</v>
      </c>
      <c r="E151" s="450"/>
      <c r="F151" s="498"/>
      <c r="G151" s="498"/>
      <c r="H151" s="498"/>
      <c r="I151" s="462"/>
      <c r="J151" s="450"/>
      <c r="K151" s="450"/>
      <c r="L151" s="450"/>
      <c r="M151" s="450"/>
      <c r="N151" s="450"/>
      <c r="O151" s="63"/>
    </row>
    <row r="152" spans="1:27" s="50" customFormat="1" ht="16.2" thickBot="1">
      <c r="B152" s="666"/>
      <c r="C152" s="666"/>
      <c r="D152" s="1239">
        <f>IF(AND(COUNTIF(E161:E162,$R$3)&gt;0,COUNTIF(E163:E164,$R$3)&gt;0,COUNTIF(E165:E167,$R$3)&gt;0,E160&gt;=5,E168=$R$3),N157,IF(AND(COUNTIF(E161:E162,$R$3)&gt;0,COUNTIF(E163:E164,$R$3)&gt;0,COUNTIF(E165:E167,$R$3)&gt;0,E160&gt;=5),N156,IF(AND(COUNTIF(E161:E162,$R$3)&gt;0,COUNTIF(E163:E164,$R$3)&gt;0,COUNTIF(E165:E167,$R$3)&gt;0),N155,N153)))</f>
        <v>3</v>
      </c>
      <c r="E152" s="456" t="s">
        <v>1227</v>
      </c>
      <c r="F152" s="456"/>
      <c r="G152" s="456"/>
      <c r="H152" s="456"/>
      <c r="I152" s="456"/>
      <c r="J152" s="456"/>
      <c r="K152" s="456"/>
      <c r="L152" s="457"/>
      <c r="M152" s="63"/>
      <c r="N152" s="451" t="s">
        <v>335</v>
      </c>
      <c r="O152" s="451" t="s">
        <v>336</v>
      </c>
    </row>
    <row r="153" spans="1:27" s="50" customFormat="1" ht="15.6">
      <c r="B153" s="666"/>
      <c r="C153" s="666"/>
      <c r="D153" s="438" t="str">
        <f>IF(ROUNDDOWN(D152,0)=$N$2,$P$2,$O$2)</f>
        <v>　レベル　1</v>
      </c>
      <c r="E153" s="463" t="s">
        <v>472</v>
      </c>
      <c r="F153" s="464"/>
      <c r="G153" s="464"/>
      <c r="H153" s="464"/>
      <c r="I153" s="464"/>
      <c r="J153" s="464"/>
      <c r="K153" s="464"/>
      <c r="L153" s="465"/>
      <c r="M153" s="666"/>
      <c r="N153" s="452">
        <v>1</v>
      </c>
      <c r="O153" s="451"/>
    </row>
    <row r="154" spans="1:27" s="50" customFormat="1" ht="15.6">
      <c r="B154" s="666"/>
      <c r="C154" s="666"/>
      <c r="D154" s="439" t="str">
        <f>IF(ROUNDDOWN(D152,0)=$N$3,$P$3,$O$3)</f>
        <v>　レベル　2</v>
      </c>
      <c r="E154" s="466" t="s">
        <v>413</v>
      </c>
      <c r="F154" s="467"/>
      <c r="G154" s="467"/>
      <c r="H154" s="467"/>
      <c r="I154" s="467"/>
      <c r="J154" s="467"/>
      <c r="K154" s="467"/>
      <c r="L154" s="468"/>
      <c r="M154" s="63"/>
      <c r="N154" s="452" t="s">
        <v>311</v>
      </c>
      <c r="O154" s="451"/>
    </row>
    <row r="155" spans="1:27" s="50" customFormat="1" ht="15.6">
      <c r="B155" s="666"/>
      <c r="C155" s="666"/>
      <c r="D155" s="439" t="str">
        <f>IF(ROUNDDOWN(D152,0)=$N$4,$P$4,$O$4)</f>
        <v>■レベル　3</v>
      </c>
      <c r="E155" s="466" t="s">
        <v>473</v>
      </c>
      <c r="F155" s="467"/>
      <c r="G155" s="467"/>
      <c r="H155" s="467"/>
      <c r="I155" s="467"/>
      <c r="J155" s="467"/>
      <c r="K155" s="467"/>
      <c r="L155" s="468"/>
      <c r="M155" s="666"/>
      <c r="N155" s="452">
        <v>3</v>
      </c>
      <c r="O155" s="451"/>
    </row>
    <row r="156" spans="1:27" s="50" customFormat="1" ht="15.6">
      <c r="B156" s="666"/>
      <c r="C156" s="666"/>
      <c r="D156" s="439" t="str">
        <f>IF(ROUNDDOWN(D152,0)=$N$5,$P$5,$O$5)</f>
        <v>　レベル　4</v>
      </c>
      <c r="E156" s="469" t="s">
        <v>474</v>
      </c>
      <c r="F156" s="470"/>
      <c r="G156" s="470"/>
      <c r="H156" s="470"/>
      <c r="I156" s="470"/>
      <c r="J156" s="470"/>
      <c r="K156" s="470"/>
      <c r="L156" s="471"/>
      <c r="M156" s="63"/>
      <c r="N156" s="452">
        <v>4</v>
      </c>
      <c r="O156" s="451"/>
    </row>
    <row r="157" spans="1:27" s="50" customFormat="1" ht="15.6">
      <c r="B157" s="666"/>
      <c r="C157" s="666"/>
      <c r="D157" s="440" t="str">
        <f>IF(ROUNDDOWN(D152,0)=$N$6,$P$6,$O$6)</f>
        <v>　レベル　5</v>
      </c>
      <c r="E157" s="472" t="s">
        <v>1282</v>
      </c>
      <c r="F157" s="473"/>
      <c r="G157" s="473"/>
      <c r="H157" s="473"/>
      <c r="I157" s="473"/>
      <c r="J157" s="473"/>
      <c r="K157" s="473"/>
      <c r="L157" s="474"/>
      <c r="M157" s="666"/>
      <c r="N157" s="452">
        <v>5</v>
      </c>
      <c r="O157" s="451"/>
    </row>
    <row r="158" spans="1:27" s="50" customFormat="1" ht="15.6">
      <c r="B158" s="666"/>
      <c r="C158" s="666"/>
      <c r="D158" s="441" t="s">
        <v>340</v>
      </c>
      <c r="E158" s="1010"/>
      <c r="F158" s="497"/>
      <c r="G158" s="497"/>
      <c r="H158" s="681"/>
      <c r="I158"/>
      <c r="J158"/>
      <c r="K158"/>
      <c r="L158"/>
      <c r="M158" s="666"/>
      <c r="N158" s="452" t="s">
        <v>311</v>
      </c>
      <c r="O158" s="451"/>
    </row>
    <row r="159" spans="1:27" customFormat="1" ht="15">
      <c r="C159" s="671"/>
      <c r="D159" s="441" t="s">
        <v>383</v>
      </c>
      <c r="E159" s="450"/>
      <c r="F159" s="498"/>
      <c r="G159" s="498"/>
      <c r="H159" s="498"/>
      <c r="I159" s="498"/>
      <c r="J159" s="450"/>
      <c r="K159" s="450"/>
      <c r="L159" s="450"/>
      <c r="M159" s="450"/>
      <c r="N159" s="165"/>
      <c r="O159" s="165"/>
    </row>
    <row r="160" spans="1:27" s="165" customFormat="1" ht="15.6" thickBot="1">
      <c r="A160" s="97"/>
      <c r="B160" s="97"/>
      <c r="C160" s="121"/>
      <c r="D160" s="175" t="s">
        <v>384</v>
      </c>
      <c r="E160" s="475">
        <f>COUNTIF(E161:E167,$R$3)</f>
        <v>3</v>
      </c>
      <c r="F160" s="1859" t="s">
        <v>828</v>
      </c>
      <c r="G160" s="1860"/>
      <c r="H160" s="1861"/>
      <c r="I160" s="1859" t="s">
        <v>829</v>
      </c>
      <c r="J160" s="1860"/>
      <c r="K160" s="1860"/>
      <c r="L160" s="1861"/>
      <c r="M160" s="450"/>
      <c r="N160" s="450"/>
      <c r="O160" s="450"/>
      <c r="P160" s="141"/>
      <c r="Q160" s="141"/>
      <c r="R160" s="141"/>
      <c r="S160" s="141"/>
      <c r="T160" s="141"/>
      <c r="U160" s="141"/>
      <c r="V160" s="141"/>
      <c r="W160" s="141"/>
      <c r="X160" s="141"/>
      <c r="Y160" s="141"/>
      <c r="Z160" s="97"/>
      <c r="AA160" s="97"/>
    </row>
    <row r="161" spans="1:27" s="165" customFormat="1" ht="38.4" customHeight="1">
      <c r="A161" s="97"/>
      <c r="B161" s="97"/>
      <c r="C161" s="121"/>
      <c r="D161" s="442" t="s">
        <v>299</v>
      </c>
      <c r="E161" s="443" t="s">
        <v>389</v>
      </c>
      <c r="F161" s="479" t="s">
        <v>475</v>
      </c>
      <c r="G161" s="727" t="s">
        <v>476</v>
      </c>
      <c r="H161" s="476"/>
      <c r="I161" s="727" t="s">
        <v>477</v>
      </c>
      <c r="J161" s="476"/>
      <c r="K161" s="476"/>
      <c r="L161" s="480"/>
      <c r="M161" s="97"/>
      <c r="N161"/>
      <c r="O161"/>
      <c r="P161"/>
      <c r="Q161"/>
      <c r="R161" s="141"/>
      <c r="S161" s="141"/>
      <c r="T161" s="141"/>
      <c r="U161" s="141"/>
      <c r="V161" s="141"/>
      <c r="W161" s="141"/>
      <c r="X161" s="141"/>
      <c r="Y161" s="141"/>
      <c r="Z161" s="97"/>
      <c r="AA161" s="97"/>
    </row>
    <row r="162" spans="1:27" s="165" customFormat="1" ht="38.4" customHeight="1">
      <c r="A162" s="97"/>
      <c r="B162" s="97"/>
      <c r="C162" s="121"/>
      <c r="D162" s="442" t="s">
        <v>300</v>
      </c>
      <c r="E162" s="444"/>
      <c r="F162" s="481" t="str">
        <f>COUNTIF(E161:E162,$R$3)&amp;"項目"</f>
        <v>1項目</v>
      </c>
      <c r="G162" s="727" t="s">
        <v>478</v>
      </c>
      <c r="H162" s="476"/>
      <c r="I162" s="1875" t="s">
        <v>479</v>
      </c>
      <c r="J162" s="1876"/>
      <c r="K162" s="1876"/>
      <c r="L162" s="1877"/>
      <c r="M162" s="97"/>
      <c r="N162"/>
      <c r="O162"/>
      <c r="P162"/>
      <c r="Q162"/>
      <c r="R162" s="141"/>
      <c r="S162" s="141"/>
      <c r="T162" s="141"/>
      <c r="U162" s="141"/>
      <c r="V162" s="141"/>
      <c r="W162" s="141"/>
      <c r="X162" s="141"/>
      <c r="Y162" s="141"/>
      <c r="Z162" s="97"/>
      <c r="AA162" s="97"/>
    </row>
    <row r="163" spans="1:27" s="165" customFormat="1" ht="38.4" customHeight="1">
      <c r="A163" s="97"/>
      <c r="B163" s="97"/>
      <c r="C163" s="121"/>
      <c r="D163" s="442" t="s">
        <v>301</v>
      </c>
      <c r="E163" s="444"/>
      <c r="F163" s="479" t="s">
        <v>480</v>
      </c>
      <c r="G163" s="1878" t="s">
        <v>481</v>
      </c>
      <c r="H163" s="1879"/>
      <c r="I163" s="727" t="s">
        <v>482</v>
      </c>
      <c r="J163" s="476"/>
      <c r="K163" s="476"/>
      <c r="L163" s="480"/>
      <c r="M163" s="97"/>
      <c r="N163"/>
      <c r="O163"/>
      <c r="P163"/>
      <c r="Q163"/>
      <c r="R163" s="141"/>
      <c r="S163" s="141"/>
      <c r="T163" s="141"/>
      <c r="U163" s="141"/>
      <c r="V163" s="141"/>
      <c r="W163" s="141"/>
      <c r="X163" s="141"/>
      <c r="Y163" s="141"/>
      <c r="Z163" s="97"/>
      <c r="AA163" s="97"/>
    </row>
    <row r="164" spans="1:27" s="165" customFormat="1" ht="38.4" customHeight="1">
      <c r="A164" s="97"/>
      <c r="B164" s="97"/>
      <c r="C164" s="121"/>
      <c r="D164" s="442" t="s">
        <v>302</v>
      </c>
      <c r="E164" s="444" t="s">
        <v>389</v>
      </c>
      <c r="F164" s="481" t="str">
        <f>COUNTIF(E163:E164,$R$3)&amp;"項目"</f>
        <v>1項目</v>
      </c>
      <c r="G164" s="727" t="s">
        <v>483</v>
      </c>
      <c r="H164" s="476"/>
      <c r="I164" s="1875" t="s">
        <v>484</v>
      </c>
      <c r="J164" s="1876"/>
      <c r="K164" s="1876"/>
      <c r="L164" s="1877"/>
      <c r="M164" s="97"/>
      <c r="N164"/>
      <c r="O164"/>
      <c r="P164"/>
      <c r="Q164"/>
      <c r="R164" s="141"/>
      <c r="S164" s="141"/>
      <c r="T164" s="141"/>
      <c r="U164" s="141"/>
      <c r="V164" s="141"/>
      <c r="W164" s="141"/>
      <c r="X164" s="141"/>
      <c r="Y164" s="141"/>
      <c r="Z164" s="97"/>
      <c r="AA164" s="97"/>
    </row>
    <row r="165" spans="1:27" s="165" customFormat="1" ht="38.4" customHeight="1">
      <c r="A165" s="97"/>
      <c r="B165" s="97"/>
      <c r="C165" s="121"/>
      <c r="D165" s="442" t="s">
        <v>303</v>
      </c>
      <c r="E165" s="444" t="s">
        <v>389</v>
      </c>
      <c r="F165" s="479" t="s">
        <v>485</v>
      </c>
      <c r="G165" s="1878" t="s">
        <v>486</v>
      </c>
      <c r="H165" s="1879"/>
      <c r="I165" s="727" t="s">
        <v>482</v>
      </c>
      <c r="J165" s="476"/>
      <c r="K165" s="476"/>
      <c r="L165" s="480"/>
      <c r="M165" s="97"/>
      <c r="N165"/>
      <c r="O165"/>
      <c r="P165"/>
      <c r="Q165"/>
      <c r="R165" s="141"/>
      <c r="S165" s="141"/>
      <c r="T165" s="141"/>
      <c r="U165" s="141"/>
      <c r="V165" s="141"/>
      <c r="W165" s="141"/>
      <c r="X165" s="141"/>
      <c r="Y165" s="141"/>
      <c r="Z165" s="97"/>
      <c r="AA165" s="97"/>
    </row>
    <row r="166" spans="1:27" s="165" customFormat="1" ht="38.4" customHeight="1">
      <c r="A166" s="97"/>
      <c r="B166" s="97"/>
      <c r="C166" s="121"/>
      <c r="D166" s="442" t="s">
        <v>304</v>
      </c>
      <c r="E166" s="444"/>
      <c r="F166" s="482" t="str">
        <f>COUNTIF(E165:E167,$R$3)&amp;"項目"</f>
        <v>1項目</v>
      </c>
      <c r="G166" s="1878" t="s">
        <v>487</v>
      </c>
      <c r="H166" s="1879"/>
      <c r="I166" s="1875" t="s">
        <v>488</v>
      </c>
      <c r="J166" s="1876"/>
      <c r="K166" s="1876"/>
      <c r="L166" s="1877"/>
      <c r="M166" s="97"/>
      <c r="N166"/>
      <c r="O166"/>
      <c r="P166"/>
      <c r="Q166"/>
      <c r="R166" s="141"/>
      <c r="S166" s="141"/>
      <c r="T166" s="141"/>
      <c r="U166" s="141"/>
      <c r="V166" s="141"/>
      <c r="W166" s="141"/>
      <c r="X166" s="141"/>
      <c r="Y166" s="141"/>
      <c r="Z166" s="97"/>
      <c r="AA166" s="97"/>
    </row>
    <row r="167" spans="1:27" s="165" customFormat="1" ht="38.4" customHeight="1" thickBot="1">
      <c r="A167" s="97"/>
      <c r="B167" s="97"/>
      <c r="C167" s="121"/>
      <c r="D167" s="442" t="s">
        <v>305</v>
      </c>
      <c r="E167" s="445"/>
      <c r="F167" s="483"/>
      <c r="G167" s="727" t="s">
        <v>489</v>
      </c>
      <c r="H167" s="476"/>
      <c r="I167" s="1875" t="s">
        <v>490</v>
      </c>
      <c r="J167" s="1876"/>
      <c r="K167" s="1876"/>
      <c r="L167" s="1877"/>
      <c r="M167" s="97"/>
      <c r="N167"/>
      <c r="O167"/>
      <c r="P167"/>
      <c r="Q167"/>
      <c r="R167" s="141"/>
      <c r="S167" s="141"/>
      <c r="T167" s="141"/>
      <c r="U167" s="141"/>
      <c r="V167" s="141"/>
      <c r="W167" s="141"/>
      <c r="X167" s="141"/>
      <c r="Y167" s="141"/>
      <c r="Z167" s="97"/>
      <c r="AA167" s="97"/>
    </row>
    <row r="168" spans="1:27" s="165" customFormat="1" ht="15.6" thickBot="1">
      <c r="A168" s="97"/>
      <c r="B168" s="97"/>
      <c r="C168" s="121"/>
      <c r="D168" s="442" t="s">
        <v>306</v>
      </c>
      <c r="E168" s="484"/>
      <c r="F168" s="476" t="s">
        <v>1283</v>
      </c>
      <c r="G168" s="477"/>
      <c r="H168" s="477"/>
      <c r="I168" s="477"/>
      <c r="J168" s="477"/>
      <c r="K168" s="477"/>
      <c r="L168" s="478"/>
      <c r="M168" s="97"/>
      <c r="N168"/>
      <c r="O168"/>
      <c r="P168"/>
      <c r="Q168"/>
      <c r="R168" s="141"/>
      <c r="S168" s="141"/>
      <c r="T168" s="141"/>
      <c r="U168" s="141"/>
      <c r="V168" s="141"/>
      <c r="W168" s="141"/>
      <c r="X168" s="141"/>
      <c r="Y168" s="141"/>
      <c r="Z168" s="97"/>
      <c r="AA168" s="97"/>
    </row>
    <row r="169" spans="1:27" customFormat="1" ht="13.2">
      <c r="F169" s="307"/>
    </row>
    <row r="170" spans="1:27" s="50" customFormat="1" ht="16.2" thickBot="1">
      <c r="A170" s="666"/>
      <c r="B170" s="164"/>
      <c r="C170" s="670"/>
      <c r="D170" s="164" t="s">
        <v>491</v>
      </c>
      <c r="E170" s="450"/>
      <c r="F170" s="498"/>
      <c r="G170" s="498"/>
      <c r="H170" s="498"/>
      <c r="I170" s="462"/>
      <c r="J170" s="450"/>
      <c r="K170" s="450"/>
      <c r="L170" s="450"/>
      <c r="M170" s="450"/>
      <c r="N170" s="450"/>
      <c r="O170" s="63"/>
    </row>
    <row r="171" spans="1:27" s="50" customFormat="1" ht="16.2" thickBot="1">
      <c r="B171" s="666"/>
      <c r="C171" s="666"/>
      <c r="D171" s="1239">
        <f>IF(E179&gt;=O176,N176,IF(E179&gt;=O175,N175,IF(E179&gt;=O174,N174,IF(E179&gt;=O173,N173,N172))))</f>
        <v>3</v>
      </c>
      <c r="E171" s="456" t="s">
        <v>1227</v>
      </c>
      <c r="F171" s="456"/>
      <c r="G171" s="456"/>
      <c r="H171" s="456"/>
      <c r="I171" s="456"/>
      <c r="J171" s="456"/>
      <c r="K171" s="456"/>
      <c r="L171" s="457"/>
      <c r="M171" s="63"/>
      <c r="N171" s="451" t="s">
        <v>335</v>
      </c>
      <c r="O171" s="451" t="s">
        <v>336</v>
      </c>
    </row>
    <row r="172" spans="1:27" s="50" customFormat="1" ht="15.6">
      <c r="B172" s="666"/>
      <c r="C172" s="666"/>
      <c r="D172" s="438" t="str">
        <f>IF(ROUNDDOWN(D171,0)=$N$2,$P$2,$O$2)</f>
        <v>　レベル　1</v>
      </c>
      <c r="E172" s="463" t="s">
        <v>492</v>
      </c>
      <c r="F172" s="464"/>
      <c r="G172" s="464"/>
      <c r="H172" s="464"/>
      <c r="I172" s="464"/>
      <c r="J172" s="464"/>
      <c r="K172" s="464"/>
      <c r="L172" s="465"/>
      <c r="M172" s="666"/>
      <c r="N172" s="452">
        <v>1</v>
      </c>
      <c r="O172" s="451">
        <v>0</v>
      </c>
    </row>
    <row r="173" spans="1:27" s="50" customFormat="1" ht="15.6">
      <c r="B173" s="666"/>
      <c r="C173" s="666"/>
      <c r="D173" s="439" t="str">
        <f>IF(ROUNDDOWN(D171,0)=$N$3,$P$3,$O$3)</f>
        <v>　レベル　2</v>
      </c>
      <c r="E173" s="466" t="s">
        <v>493</v>
      </c>
      <c r="F173" s="467"/>
      <c r="G173" s="467"/>
      <c r="H173" s="467"/>
      <c r="I173" s="467"/>
      <c r="J173" s="467"/>
      <c r="K173" s="467"/>
      <c r="L173" s="468"/>
      <c r="M173" s="63"/>
      <c r="N173" s="452">
        <v>2</v>
      </c>
      <c r="O173" s="451">
        <v>2</v>
      </c>
    </row>
    <row r="174" spans="1:27" s="50" customFormat="1" ht="15.6">
      <c r="B174" s="666"/>
      <c r="C174" s="666"/>
      <c r="D174" s="439" t="str">
        <f>IF(ROUNDDOWN(D171,0)=$N$4,$P$4,$O$4)</f>
        <v>■レベル　3</v>
      </c>
      <c r="E174" s="466" t="s">
        <v>494</v>
      </c>
      <c r="F174" s="467"/>
      <c r="G174" s="467"/>
      <c r="H174" s="467"/>
      <c r="I174" s="467"/>
      <c r="J174" s="467"/>
      <c r="K174" s="467"/>
      <c r="L174" s="468"/>
      <c r="M174" s="666"/>
      <c r="N174" s="452">
        <v>3</v>
      </c>
      <c r="O174" s="451">
        <v>3</v>
      </c>
    </row>
    <row r="175" spans="1:27" s="50" customFormat="1" ht="15.6">
      <c r="B175" s="666"/>
      <c r="C175" s="666"/>
      <c r="D175" s="439" t="str">
        <f>IF(ROUNDDOWN(D171,0)=$N$5,$P$5,$O$5)</f>
        <v>　レベル　4</v>
      </c>
      <c r="E175" s="469" t="s">
        <v>495</v>
      </c>
      <c r="F175" s="470"/>
      <c r="G175" s="470"/>
      <c r="H175" s="470"/>
      <c r="I175" s="470"/>
      <c r="J175" s="470"/>
      <c r="K175" s="470"/>
      <c r="L175" s="471"/>
      <c r="M175" s="63"/>
      <c r="N175" s="452">
        <v>4</v>
      </c>
      <c r="O175" s="451">
        <v>4</v>
      </c>
    </row>
    <row r="176" spans="1:27" s="50" customFormat="1" ht="32.4" customHeight="1">
      <c r="B176" s="666"/>
      <c r="C176" s="666"/>
      <c r="D176" s="440" t="str">
        <f>IF(ROUNDDOWN(D171,0)=$N$6,$P$6,$O$6)</f>
        <v>　レベル　5</v>
      </c>
      <c r="E176" s="1844" t="s">
        <v>496</v>
      </c>
      <c r="F176" s="1845"/>
      <c r="G176" s="1845"/>
      <c r="H176" s="1845"/>
      <c r="I176" s="1845"/>
      <c r="J176" s="1845"/>
      <c r="K176" s="1845"/>
      <c r="L176" s="1846"/>
      <c r="M176" s="666"/>
      <c r="N176" s="452">
        <v>5</v>
      </c>
      <c r="O176" s="451">
        <v>5</v>
      </c>
    </row>
    <row r="177" spans="1:27" s="50" customFormat="1" ht="15.6">
      <c r="B177" s="666"/>
      <c r="C177" s="666"/>
      <c r="D177" s="441" t="s">
        <v>340</v>
      </c>
      <c r="E177" s="1010"/>
      <c r="F177" s="497"/>
      <c r="G177" s="497"/>
      <c r="H177" s="681"/>
      <c r="I177"/>
      <c r="J177"/>
      <c r="K177"/>
      <c r="L177"/>
      <c r="M177" s="666"/>
      <c r="N177" s="452" t="s">
        <v>311</v>
      </c>
      <c r="O177" s="451"/>
    </row>
    <row r="178" spans="1:27" customFormat="1" ht="15">
      <c r="C178" s="671"/>
      <c r="D178" s="441" t="s">
        <v>383</v>
      </c>
      <c r="E178" s="450"/>
      <c r="F178" s="498"/>
      <c r="G178" s="498"/>
      <c r="H178" s="498"/>
      <c r="I178" s="498"/>
      <c r="J178" s="450"/>
      <c r="K178" s="450"/>
      <c r="L178" s="450"/>
      <c r="M178" s="450"/>
      <c r="N178" s="165"/>
      <c r="O178" s="165"/>
    </row>
    <row r="179" spans="1:27" s="165" customFormat="1" ht="15.6" thickBot="1">
      <c r="A179" s="97"/>
      <c r="B179" s="97"/>
      <c r="C179" s="121"/>
      <c r="D179" s="175" t="s">
        <v>384</v>
      </c>
      <c r="E179" s="475">
        <f>COUNTIF(E180:E183,$R$3)+IF(COUNTIF(E180:E183,$R$3)=4,IF(E184=$R$3,1,0))</f>
        <v>3</v>
      </c>
      <c r="F179" s="1862" t="s">
        <v>828</v>
      </c>
      <c r="G179" s="1863"/>
      <c r="H179" s="1864"/>
      <c r="I179" s="1867" t="s">
        <v>829</v>
      </c>
      <c r="J179" s="1863"/>
      <c r="K179" s="1863"/>
      <c r="L179" s="1864"/>
      <c r="M179" s="450"/>
      <c r="N179" s="450"/>
      <c r="O179" s="450"/>
      <c r="P179" s="141"/>
      <c r="Q179" s="141"/>
      <c r="R179" s="141"/>
      <c r="S179" s="141"/>
      <c r="T179" s="141"/>
      <c r="U179" s="141"/>
      <c r="V179" s="141"/>
      <c r="W179" s="141"/>
      <c r="X179" s="141"/>
      <c r="Y179" s="97"/>
      <c r="Z179" s="97"/>
      <c r="AA179" s="141"/>
    </row>
    <row r="180" spans="1:27" s="165" customFormat="1" ht="30.6" customHeight="1">
      <c r="A180" s="97"/>
      <c r="B180" s="97"/>
      <c r="C180" s="121"/>
      <c r="D180" s="442" t="s">
        <v>299</v>
      </c>
      <c r="E180" s="443" t="s">
        <v>389</v>
      </c>
      <c r="F180" s="476" t="s">
        <v>497</v>
      </c>
      <c r="G180" s="477"/>
      <c r="H180" s="477"/>
      <c r="I180" s="1875" t="s">
        <v>498</v>
      </c>
      <c r="J180" s="1876"/>
      <c r="K180" s="1876"/>
      <c r="L180" s="1877"/>
      <c r="M180" s="97"/>
      <c r="N180"/>
      <c r="O180"/>
      <c r="P180"/>
      <c r="Q180" s="141"/>
      <c r="R180" s="141"/>
      <c r="S180" s="141"/>
      <c r="T180" s="141"/>
      <c r="U180" s="141"/>
      <c r="V180" s="141"/>
      <c r="W180" s="141"/>
      <c r="X180" s="141"/>
      <c r="Y180" s="97"/>
      <c r="Z180" s="97"/>
      <c r="AA180" s="141"/>
    </row>
    <row r="181" spans="1:27" s="165" customFormat="1" ht="30.6" customHeight="1">
      <c r="A181" s="97"/>
      <c r="B181" s="97"/>
      <c r="C181" s="121"/>
      <c r="D181" s="442" t="s">
        <v>300</v>
      </c>
      <c r="E181" s="444" t="s">
        <v>389</v>
      </c>
      <c r="F181" s="476" t="s">
        <v>499</v>
      </c>
      <c r="G181" s="477"/>
      <c r="H181" s="477"/>
      <c r="I181" s="1875" t="s">
        <v>500</v>
      </c>
      <c r="J181" s="1876"/>
      <c r="K181" s="1876"/>
      <c r="L181" s="1877"/>
      <c r="M181" s="97"/>
      <c r="N181"/>
      <c r="O181"/>
      <c r="P181"/>
      <c r="Q181" s="141"/>
      <c r="R181" s="141"/>
      <c r="S181" s="141"/>
      <c r="T181" s="141"/>
      <c r="U181" s="141"/>
      <c r="V181" s="141"/>
      <c r="W181" s="141"/>
      <c r="X181" s="141"/>
      <c r="Y181" s="97"/>
      <c r="Z181" s="97"/>
      <c r="AA181" s="141"/>
    </row>
    <row r="182" spans="1:27" s="165" customFormat="1" ht="30.6" customHeight="1">
      <c r="A182" s="97"/>
      <c r="B182" s="97"/>
      <c r="C182" s="121"/>
      <c r="D182" s="442" t="s">
        <v>301</v>
      </c>
      <c r="E182" s="444"/>
      <c r="F182" s="476" t="s">
        <v>501</v>
      </c>
      <c r="G182" s="477"/>
      <c r="H182" s="477"/>
      <c r="I182" s="727" t="s">
        <v>502</v>
      </c>
      <c r="J182" s="477"/>
      <c r="K182" s="477"/>
      <c r="L182" s="478"/>
      <c r="M182" s="97"/>
      <c r="N182"/>
      <c r="O182"/>
      <c r="P182"/>
      <c r="Q182" s="141"/>
      <c r="R182" s="141"/>
      <c r="S182" s="141"/>
      <c r="T182" s="141"/>
      <c r="U182" s="141"/>
      <c r="V182" s="141"/>
      <c r="W182" s="141"/>
      <c r="X182" s="141"/>
      <c r="Y182" s="97"/>
      <c r="Z182" s="97"/>
      <c r="AA182" s="141"/>
    </row>
    <row r="183" spans="1:27" ht="30.6" customHeight="1" thickBot="1">
      <c r="C183" s="121"/>
      <c r="D183" s="442" t="s">
        <v>302</v>
      </c>
      <c r="E183" s="445" t="s">
        <v>389</v>
      </c>
      <c r="F183" s="1875" t="s">
        <v>503</v>
      </c>
      <c r="G183" s="1876"/>
      <c r="H183" s="1876"/>
      <c r="I183" s="1875" t="s">
        <v>504</v>
      </c>
      <c r="J183" s="1876"/>
      <c r="K183" s="1876"/>
      <c r="L183" s="1877"/>
      <c r="N183"/>
      <c r="O183"/>
      <c r="P183"/>
      <c r="Q183" s="141"/>
      <c r="R183" s="141"/>
      <c r="S183" s="141"/>
      <c r="T183" s="141"/>
      <c r="U183" s="141"/>
      <c r="V183" s="141"/>
      <c r="W183" s="141"/>
      <c r="X183" s="141"/>
      <c r="Y183" s="141"/>
    </row>
    <row r="184" spans="1:27" ht="15.6" thickBot="1">
      <c r="C184" s="121"/>
      <c r="D184" s="442" t="s">
        <v>303</v>
      </c>
      <c r="E184" s="445"/>
      <c r="F184" s="476" t="s">
        <v>505</v>
      </c>
      <c r="G184" s="477"/>
      <c r="H184" s="477"/>
      <c r="I184" s="485"/>
      <c r="J184" s="477"/>
      <c r="K184" s="477"/>
      <c r="L184" s="478"/>
      <c r="N184"/>
      <c r="O184"/>
      <c r="P184"/>
      <c r="Q184" s="141"/>
      <c r="R184" s="141"/>
      <c r="S184" s="141"/>
      <c r="T184" s="141"/>
      <c r="U184" s="141"/>
      <c r="V184" s="141"/>
      <c r="W184" s="141"/>
      <c r="X184" s="141"/>
      <c r="Y184" s="141"/>
    </row>
    <row r="185" spans="1:27" customFormat="1" ht="13.2">
      <c r="F185" s="307"/>
    </row>
    <row r="186" spans="1:27" s="50" customFormat="1" ht="16.2" thickBot="1">
      <c r="A186" s="666"/>
      <c r="B186" s="164"/>
      <c r="C186" s="670" t="s">
        <v>506</v>
      </c>
      <c r="D186" s="164"/>
      <c r="E186" s="666"/>
      <c r="F186" s="677"/>
      <c r="G186" s="677"/>
      <c r="H186" s="677"/>
      <c r="I186" s="462"/>
      <c r="J186" s="666"/>
      <c r="K186" s="666"/>
      <c r="L186" s="678"/>
      <c r="M186" s="666"/>
      <c r="N186" s="63"/>
      <c r="O186" s="63"/>
    </row>
    <row r="187" spans="1:27" s="50" customFormat="1" ht="16.2" thickBot="1">
      <c r="B187" s="666"/>
      <c r="C187" s="666"/>
      <c r="D187" s="437">
        <v>3</v>
      </c>
      <c r="E187" s="456" t="s">
        <v>1227</v>
      </c>
      <c r="F187" s="456"/>
      <c r="G187" s="456"/>
      <c r="H187" s="456"/>
      <c r="I187" s="456"/>
      <c r="J187" s="456"/>
      <c r="K187" s="456"/>
      <c r="L187" s="457"/>
      <c r="M187" s="63"/>
      <c r="N187" s="451" t="s">
        <v>335</v>
      </c>
      <c r="O187" s="451" t="s">
        <v>336</v>
      </c>
    </row>
    <row r="188" spans="1:27" s="50" customFormat="1" ht="15.6">
      <c r="B188" s="666"/>
      <c r="C188" s="666"/>
      <c r="D188" s="438" t="str">
        <f>IF(ROUNDDOWN(D187,0)=$N$2,$P$2,$O$2)</f>
        <v>　レベル　1</v>
      </c>
      <c r="E188" s="463" t="s">
        <v>507</v>
      </c>
      <c r="F188" s="503"/>
      <c r="G188" s="503"/>
      <c r="H188" s="503"/>
      <c r="I188" s="503"/>
      <c r="J188" s="503"/>
      <c r="K188" s="503"/>
      <c r="L188" s="510"/>
      <c r="M188" s="666"/>
      <c r="N188" s="452">
        <v>1</v>
      </c>
      <c r="O188" s="453"/>
    </row>
    <row r="189" spans="1:27" s="50" customFormat="1" ht="15.6">
      <c r="B189" s="666"/>
      <c r="C189" s="666"/>
      <c r="D189" s="439" t="str">
        <f>IF(ROUNDDOWN(D187,0)=$N$3,$P$3,$O$3)</f>
        <v>　レベル　2</v>
      </c>
      <c r="E189" s="466" t="s">
        <v>508</v>
      </c>
      <c r="F189" s="504"/>
      <c r="G189" s="504"/>
      <c r="H189" s="504"/>
      <c r="I189" s="504"/>
      <c r="J189" s="504"/>
      <c r="K189" s="504"/>
      <c r="L189" s="511"/>
      <c r="M189" s="63"/>
      <c r="N189" s="452">
        <v>2</v>
      </c>
      <c r="O189" s="453"/>
    </row>
    <row r="190" spans="1:27" s="50" customFormat="1" ht="28.2" customHeight="1">
      <c r="B190" s="666"/>
      <c r="C190" s="666"/>
      <c r="D190" s="439" t="str">
        <f>IF(ROUNDDOWN(D187,0)=$N$4,$P$4,$O$4)</f>
        <v>■レベル　3</v>
      </c>
      <c r="E190" s="1880" t="s">
        <v>509</v>
      </c>
      <c r="F190" s="1881"/>
      <c r="G190" s="1881"/>
      <c r="H190" s="1881"/>
      <c r="I190" s="1881"/>
      <c r="J190" s="1881"/>
      <c r="K190" s="1881"/>
      <c r="L190" s="1882"/>
      <c r="M190" s="666"/>
      <c r="N190" s="452">
        <v>3</v>
      </c>
      <c r="O190" s="453"/>
    </row>
    <row r="191" spans="1:27" s="50" customFormat="1" ht="28.2" customHeight="1">
      <c r="B191" s="666"/>
      <c r="C191" s="666"/>
      <c r="D191" s="439" t="str">
        <f>IF(ROUNDDOWN(D187,0)=$N$5,$P$5,$O$5)</f>
        <v>　レベル　4</v>
      </c>
      <c r="E191" s="1883" t="s">
        <v>510</v>
      </c>
      <c r="F191" s="1884"/>
      <c r="G191" s="1884"/>
      <c r="H191" s="1884"/>
      <c r="I191" s="1884"/>
      <c r="J191" s="1884"/>
      <c r="K191" s="1884"/>
      <c r="L191" s="1885"/>
      <c r="M191" s="63"/>
      <c r="N191" s="452">
        <v>4</v>
      </c>
      <c r="O191" s="453"/>
    </row>
    <row r="192" spans="1:27" s="50" customFormat="1" ht="28.2" customHeight="1">
      <c r="B192" s="666"/>
      <c r="C192" s="666"/>
      <c r="D192" s="440" t="str">
        <f>IF(ROUNDDOWN(D187,0)=$N$6,$P$6,$O$6)</f>
        <v>　レベル　5</v>
      </c>
      <c r="E192" s="1844" t="s">
        <v>511</v>
      </c>
      <c r="F192" s="1873"/>
      <c r="G192" s="1873"/>
      <c r="H192" s="1873"/>
      <c r="I192" s="1873"/>
      <c r="J192" s="1873"/>
      <c r="K192" s="1873"/>
      <c r="L192" s="1874"/>
      <c r="M192" s="666"/>
      <c r="N192" s="452">
        <v>5</v>
      </c>
      <c r="O192" s="453"/>
    </row>
    <row r="193" spans="1:27" s="165" customFormat="1" ht="15">
      <c r="A193" s="97"/>
      <c r="B193" s="97"/>
      <c r="C193" s="121"/>
      <c r="D193" s="441" t="s">
        <v>340</v>
      </c>
      <c r="E193" s="1010"/>
      <c r="F193" s="497"/>
      <c r="G193" s="497"/>
      <c r="H193" s="681"/>
      <c r="I193"/>
      <c r="J193"/>
      <c r="K193"/>
      <c r="L193"/>
      <c r="M193" s="63"/>
      <c r="N193" s="452" t="s">
        <v>311</v>
      </c>
      <c r="O193" s="455"/>
      <c r="P193" s="141"/>
      <c r="Q193" s="141"/>
      <c r="R193" s="141"/>
      <c r="S193" s="141"/>
      <c r="T193" s="141"/>
      <c r="U193" s="141"/>
      <c r="V193" s="141"/>
      <c r="W193" s="141"/>
      <c r="X193" s="141"/>
      <c r="Y193" s="141"/>
      <c r="Z193" s="97"/>
      <c r="AA193" s="97"/>
    </row>
    <row r="194" spans="1:27" customFormat="1" ht="13.2">
      <c r="F194" s="307"/>
    </row>
    <row r="195" spans="1:27" s="51" customFormat="1" ht="16.2" thickBot="1">
      <c r="B195" s="668"/>
      <c r="C195" s="670" t="s">
        <v>994</v>
      </c>
      <c r="D195" s="164"/>
      <c r="E195" s="666"/>
      <c r="F195" s="677"/>
      <c r="G195" s="677"/>
      <c r="H195" s="677"/>
      <c r="I195" s="462"/>
      <c r="J195" s="666"/>
      <c r="K195" s="666"/>
      <c r="L195" s="678"/>
      <c r="M195" s="666"/>
      <c r="N195" s="63"/>
      <c r="O195" s="63"/>
    </row>
    <row r="196" spans="1:27" s="50" customFormat="1" ht="16.2" thickBot="1">
      <c r="B196" s="666"/>
      <c r="C196" s="666"/>
      <c r="D196" s="437">
        <v>3</v>
      </c>
      <c r="E196" s="456" t="s">
        <v>1227</v>
      </c>
      <c r="F196" s="456"/>
      <c r="G196" s="456"/>
      <c r="H196" s="456"/>
      <c r="I196" s="456"/>
      <c r="J196" s="456"/>
      <c r="K196" s="456"/>
      <c r="L196" s="457"/>
      <c r="M196" s="63"/>
      <c r="N196" s="451" t="s">
        <v>335</v>
      </c>
      <c r="O196" s="451" t="s">
        <v>336</v>
      </c>
    </row>
    <row r="197" spans="1:27" s="50" customFormat="1" ht="15.6">
      <c r="B197" s="666"/>
      <c r="C197" s="666"/>
      <c r="D197" s="438" t="str">
        <f>IF(ROUNDDOWN(D196,0)=$N$2,$P$2,$O$2)</f>
        <v>　レベル　1</v>
      </c>
      <c r="E197" s="463" t="s">
        <v>507</v>
      </c>
      <c r="F197" s="503"/>
      <c r="G197" s="503"/>
      <c r="H197" s="503"/>
      <c r="I197" s="503"/>
      <c r="J197" s="503"/>
      <c r="K197" s="503"/>
      <c r="L197" s="510"/>
      <c r="M197" s="666"/>
      <c r="N197" s="452">
        <v>1</v>
      </c>
      <c r="O197" s="453"/>
    </row>
    <row r="198" spans="1:27" s="50" customFormat="1" ht="15.6">
      <c r="B198" s="666"/>
      <c r="C198" s="666"/>
      <c r="D198" s="439" t="str">
        <f>IF(ROUNDDOWN(D196,0)=$N$3,$P$3,$O$3)</f>
        <v>　レベル　2</v>
      </c>
      <c r="E198" s="466" t="s">
        <v>413</v>
      </c>
      <c r="F198" s="504"/>
      <c r="G198" s="504"/>
      <c r="H198" s="504"/>
      <c r="I198" s="504"/>
      <c r="J198" s="504"/>
      <c r="K198" s="504"/>
      <c r="L198" s="511"/>
      <c r="M198" s="63"/>
      <c r="N198" s="452" t="s">
        <v>311</v>
      </c>
      <c r="O198" s="453"/>
    </row>
    <row r="199" spans="1:27" s="50" customFormat="1" ht="15.6">
      <c r="B199" s="666"/>
      <c r="C199" s="666"/>
      <c r="D199" s="439" t="str">
        <f>IF(ROUNDDOWN(D196,0)=$N$4,$P$4,$O$4)</f>
        <v>■レベル　3</v>
      </c>
      <c r="E199" s="466" t="s">
        <v>512</v>
      </c>
      <c r="F199" s="504"/>
      <c r="G199" s="504"/>
      <c r="H199" s="504"/>
      <c r="I199" s="504"/>
      <c r="J199" s="504"/>
      <c r="K199" s="504"/>
      <c r="L199" s="511"/>
      <c r="M199" s="666"/>
      <c r="N199" s="452">
        <v>3</v>
      </c>
      <c r="O199" s="453"/>
    </row>
    <row r="200" spans="1:27" s="50" customFormat="1" ht="15.6">
      <c r="B200" s="666"/>
      <c r="C200" s="666"/>
      <c r="D200" s="439" t="str">
        <f>IF(ROUNDDOWN(D196,0)=$N$5,$P$5,$O$5)</f>
        <v>　レベル　4</v>
      </c>
      <c r="E200" s="469" t="s">
        <v>413</v>
      </c>
      <c r="F200" s="505"/>
      <c r="G200" s="505"/>
      <c r="H200" s="505"/>
      <c r="I200" s="505"/>
      <c r="J200" s="505"/>
      <c r="K200" s="505"/>
      <c r="L200" s="512"/>
      <c r="M200" s="63"/>
      <c r="N200" s="452" t="s">
        <v>311</v>
      </c>
      <c r="O200" s="453"/>
    </row>
    <row r="201" spans="1:27" s="50" customFormat="1" ht="15.6">
      <c r="B201" s="666"/>
      <c r="C201" s="666"/>
      <c r="D201" s="440" t="str">
        <f>IF(ROUNDDOWN(D196,0)=$N$6,$P$6,$O$6)</f>
        <v>　レベル　5</v>
      </c>
      <c r="E201" s="472" t="s">
        <v>513</v>
      </c>
      <c r="F201" s="483"/>
      <c r="G201" s="483"/>
      <c r="H201" s="483"/>
      <c r="I201" s="483"/>
      <c r="J201" s="483"/>
      <c r="K201" s="483"/>
      <c r="L201" s="513"/>
      <c r="M201" s="666"/>
      <c r="N201" s="452">
        <v>5</v>
      </c>
      <c r="O201" s="453"/>
    </row>
    <row r="202" spans="1:27" s="50" customFormat="1" ht="15.6">
      <c r="B202" s="666"/>
      <c r="C202" s="666"/>
      <c r="D202" s="441" t="s">
        <v>340</v>
      </c>
      <c r="E202" s="1010"/>
      <c r="F202" s="497"/>
      <c r="G202" s="497"/>
      <c r="H202" s="681"/>
      <c r="I202"/>
      <c r="J202"/>
      <c r="K202"/>
      <c r="L202"/>
      <c r="M202" s="63"/>
      <c r="N202" s="452" t="s">
        <v>311</v>
      </c>
      <c r="O202" s="455"/>
    </row>
    <row r="203" spans="1:27" customFormat="1" ht="13.2">
      <c r="F203" s="307"/>
    </row>
    <row r="204" spans="1:27" s="50" customFormat="1" ht="16.2" thickBot="1">
      <c r="A204" s="666"/>
      <c r="B204" s="164"/>
      <c r="C204" s="670" t="s">
        <v>995</v>
      </c>
      <c r="D204" s="164"/>
      <c r="E204" s="450"/>
      <c r="F204" s="498"/>
      <c r="G204" s="498"/>
      <c r="H204" s="498"/>
      <c r="I204" s="462"/>
      <c r="J204" s="450"/>
      <c r="K204" s="450"/>
      <c r="L204" s="450"/>
      <c r="M204" s="450"/>
      <c r="N204" s="450"/>
      <c r="O204" s="63"/>
    </row>
    <row r="205" spans="1:27" s="50" customFormat="1" ht="16.2" thickBot="1">
      <c r="B205" s="666"/>
      <c r="C205" s="666"/>
      <c r="D205" s="1239">
        <f>IF(E213&gt;=O210,N210,IF(E213&gt;=O209,N209,IF(E213&gt;=O208,N208,IF(E213&gt;=O207,N207,N206))))</f>
        <v>3</v>
      </c>
      <c r="E205" s="456" t="s">
        <v>1227</v>
      </c>
      <c r="F205" s="456"/>
      <c r="G205" s="456"/>
      <c r="H205" s="456"/>
      <c r="I205" s="456"/>
      <c r="J205" s="456"/>
      <c r="K205" s="456"/>
      <c r="L205" s="457"/>
      <c r="M205" s="63"/>
      <c r="N205" s="451" t="s">
        <v>335</v>
      </c>
      <c r="O205" s="451" t="s">
        <v>336</v>
      </c>
    </row>
    <row r="206" spans="1:27" s="50" customFormat="1" ht="15.6">
      <c r="B206" s="666"/>
      <c r="C206" s="666"/>
      <c r="D206" s="438" t="str">
        <f>IF(ROUNDDOWN(D205,0)=$N$2,$P$2,$O$2)</f>
        <v>　レベル　1</v>
      </c>
      <c r="E206" s="463" t="s">
        <v>492</v>
      </c>
      <c r="F206" s="464"/>
      <c r="G206" s="464"/>
      <c r="H206" s="464"/>
      <c r="I206" s="464"/>
      <c r="J206" s="464"/>
      <c r="K206" s="464"/>
      <c r="L206" s="465"/>
      <c r="M206" s="666"/>
      <c r="N206" s="452">
        <v>1</v>
      </c>
      <c r="O206" s="451">
        <v>1</v>
      </c>
    </row>
    <row r="207" spans="1:27" s="50" customFormat="1" ht="15.6">
      <c r="B207" s="666"/>
      <c r="C207" s="666"/>
      <c r="D207" s="439" t="str">
        <f>IF(ROUNDDOWN(D205,0)=$N$3,$P$3,$O$3)</f>
        <v>　レベル　2</v>
      </c>
      <c r="E207" s="466" t="s">
        <v>514</v>
      </c>
      <c r="F207" s="467"/>
      <c r="G207" s="467"/>
      <c r="H207" s="467"/>
      <c r="I207" s="467"/>
      <c r="J207" s="467"/>
      <c r="K207" s="467"/>
      <c r="L207" s="468"/>
      <c r="M207" s="63"/>
      <c r="N207" s="452">
        <v>2</v>
      </c>
      <c r="O207" s="451">
        <v>2</v>
      </c>
    </row>
    <row r="208" spans="1:27" s="50" customFormat="1" ht="15.6">
      <c r="B208" s="666"/>
      <c r="C208" s="666"/>
      <c r="D208" s="439" t="str">
        <f>IF(ROUNDDOWN(D205,0)=$N$4,$P$4,$O$4)</f>
        <v>■レベル　3</v>
      </c>
      <c r="E208" s="466" t="s">
        <v>515</v>
      </c>
      <c r="F208" s="467"/>
      <c r="G208" s="467"/>
      <c r="H208" s="467"/>
      <c r="I208" s="467"/>
      <c r="J208" s="467"/>
      <c r="K208" s="467"/>
      <c r="L208" s="468"/>
      <c r="M208" s="666"/>
      <c r="N208" s="452">
        <v>3</v>
      </c>
      <c r="O208" s="451">
        <v>3</v>
      </c>
    </row>
    <row r="209" spans="1:26" s="50" customFormat="1" ht="15.6">
      <c r="B209" s="666"/>
      <c r="C209" s="666"/>
      <c r="D209" s="439" t="str">
        <f>IF(ROUNDDOWN(D205,0)=$N$5,$P$5,$O$5)</f>
        <v>　レベル　4</v>
      </c>
      <c r="E209" s="469" t="s">
        <v>516</v>
      </c>
      <c r="F209" s="470"/>
      <c r="G209" s="470"/>
      <c r="H209" s="470"/>
      <c r="I209" s="470"/>
      <c r="J209" s="470"/>
      <c r="K209" s="470"/>
      <c r="L209" s="471"/>
      <c r="M209" s="63"/>
      <c r="N209" s="452">
        <v>4</v>
      </c>
      <c r="O209" s="451">
        <v>4</v>
      </c>
    </row>
    <row r="210" spans="1:26" s="50" customFormat="1" ht="15.6">
      <c r="B210" s="666"/>
      <c r="C210" s="666"/>
      <c r="D210" s="440" t="str">
        <f>IF(ROUNDDOWN(D205,0)=$N$6,$P$6,$O$6)</f>
        <v>　レベル　5</v>
      </c>
      <c r="E210" s="472" t="s">
        <v>517</v>
      </c>
      <c r="F210" s="473"/>
      <c r="G210" s="473"/>
      <c r="H210" s="473"/>
      <c r="I210" s="473"/>
      <c r="J210" s="473"/>
      <c r="K210" s="473"/>
      <c r="L210" s="474"/>
      <c r="M210" s="666"/>
      <c r="N210" s="452">
        <v>5</v>
      </c>
      <c r="O210" s="451">
        <v>5</v>
      </c>
    </row>
    <row r="211" spans="1:26" s="50" customFormat="1" ht="15.6">
      <c r="B211" s="666"/>
      <c r="C211" s="666"/>
      <c r="D211" s="441" t="s">
        <v>340</v>
      </c>
      <c r="E211" s="1010"/>
      <c r="F211" s="497"/>
      <c r="G211" s="497"/>
      <c r="H211" s="681"/>
      <c r="I211"/>
      <c r="J211"/>
      <c r="K211"/>
      <c r="L211"/>
      <c r="M211" s="666"/>
      <c r="N211" s="452" t="s">
        <v>311</v>
      </c>
      <c r="O211" s="451"/>
    </row>
    <row r="212" spans="1:26" customFormat="1" ht="15">
      <c r="C212" s="671"/>
      <c r="D212" s="441" t="s">
        <v>383</v>
      </c>
      <c r="E212" s="450"/>
      <c r="F212" s="498"/>
      <c r="G212" s="498"/>
      <c r="H212" s="498"/>
      <c r="I212" s="682"/>
      <c r="J212" s="683"/>
      <c r="K212" s="450"/>
      <c r="L212" s="450"/>
      <c r="M212" s="450"/>
      <c r="N212" s="165"/>
      <c r="O212" s="165"/>
    </row>
    <row r="213" spans="1:26" s="165" customFormat="1" ht="15.6" thickBot="1">
      <c r="A213" s="97"/>
      <c r="B213" s="97"/>
      <c r="C213" s="121"/>
      <c r="D213" s="175" t="s">
        <v>384</v>
      </c>
      <c r="E213" s="475">
        <f>COUNTIF(E214:E217,$R$3)+IF(COUNTIF(E214:E217,$R$3)=4,IF(E218=$R$3,1,0))</f>
        <v>3</v>
      </c>
      <c r="F213" s="1859" t="s">
        <v>828</v>
      </c>
      <c r="G213" s="1864"/>
      <c r="H213" s="1867" t="s">
        <v>829</v>
      </c>
      <c r="I213" s="1863"/>
      <c r="J213" s="1863"/>
      <c r="K213" s="1863"/>
      <c r="L213" s="1864"/>
      <c r="M213" s="450"/>
      <c r="N213" s="450"/>
      <c r="O213" s="450"/>
      <c r="P213" s="141"/>
      <c r="Q213" s="141"/>
      <c r="R213" s="141"/>
      <c r="S213" s="141"/>
      <c r="T213" s="141"/>
      <c r="U213" s="141"/>
      <c r="V213" s="141"/>
      <c r="W213" s="141"/>
      <c r="X213" s="141"/>
      <c r="Y213" s="97"/>
      <c r="Z213" s="97"/>
    </row>
    <row r="214" spans="1:26" s="165" customFormat="1" ht="15">
      <c r="A214" s="97"/>
      <c r="B214" s="97"/>
      <c r="C214" s="121"/>
      <c r="D214" s="442" t="s">
        <v>299</v>
      </c>
      <c r="E214" s="443" t="s">
        <v>389</v>
      </c>
      <c r="F214" s="1886" t="s">
        <v>846</v>
      </c>
      <c r="G214" s="1877"/>
      <c r="H214" s="1887" t="s">
        <v>847</v>
      </c>
      <c r="I214" s="1887"/>
      <c r="J214" s="1887"/>
      <c r="K214" s="1887"/>
      <c r="L214" s="1888"/>
      <c r="M214" s="97"/>
      <c r="N214"/>
      <c r="O214"/>
      <c r="P214"/>
      <c r="Q214" s="141"/>
      <c r="R214" s="141"/>
      <c r="S214" s="141"/>
      <c r="T214" s="141"/>
      <c r="U214" s="141"/>
      <c r="V214" s="141"/>
      <c r="W214" s="141"/>
      <c r="X214" s="141"/>
      <c r="Y214" s="97"/>
      <c r="Z214" s="97"/>
    </row>
    <row r="215" spans="1:26" s="165" customFormat="1" ht="28.2" customHeight="1">
      <c r="A215" s="97"/>
      <c r="B215" s="97"/>
      <c r="C215" s="121"/>
      <c r="D215" s="442" t="s">
        <v>300</v>
      </c>
      <c r="E215" s="444" t="s">
        <v>389</v>
      </c>
      <c r="F215" s="1886" t="s">
        <v>848</v>
      </c>
      <c r="G215" s="1877"/>
      <c r="H215" s="1889" t="s">
        <v>849</v>
      </c>
      <c r="I215" s="1889"/>
      <c r="J215" s="1889"/>
      <c r="K215" s="1889"/>
      <c r="L215" s="1890"/>
      <c r="M215" s="97"/>
      <c r="N215"/>
      <c r="O215"/>
      <c r="P215"/>
      <c r="Q215" s="141"/>
      <c r="R215" s="141"/>
      <c r="S215" s="141"/>
      <c r="T215" s="141"/>
      <c r="U215" s="141"/>
      <c r="V215" s="141"/>
      <c r="W215" s="141"/>
      <c r="X215" s="141"/>
      <c r="Y215" s="97"/>
      <c r="Z215" s="97"/>
    </row>
    <row r="216" spans="1:26" s="165" customFormat="1" ht="15">
      <c r="A216" s="97"/>
      <c r="B216" s="97"/>
      <c r="C216" s="121"/>
      <c r="D216" s="442" t="s">
        <v>301</v>
      </c>
      <c r="E216" s="444" t="s">
        <v>389</v>
      </c>
      <c r="F216" s="1891" t="s">
        <v>850</v>
      </c>
      <c r="G216" s="1890"/>
      <c r="H216" s="1887" t="s">
        <v>851</v>
      </c>
      <c r="I216" s="1887"/>
      <c r="J216" s="1887"/>
      <c r="K216" s="1887"/>
      <c r="L216" s="1888"/>
      <c r="M216" s="97"/>
      <c r="N216"/>
      <c r="O216"/>
      <c r="P216"/>
      <c r="Q216" s="141"/>
      <c r="R216" s="141"/>
      <c r="S216" s="141"/>
      <c r="T216" s="141"/>
      <c r="U216" s="141"/>
      <c r="V216" s="141"/>
      <c r="W216" s="141"/>
      <c r="X216" s="141"/>
      <c r="Y216" s="97"/>
      <c r="Z216" s="97"/>
    </row>
    <row r="217" spans="1:26" ht="15.6" thickBot="1">
      <c r="C217" s="121"/>
      <c r="D217" s="442" t="s">
        <v>302</v>
      </c>
      <c r="E217" s="445"/>
      <c r="F217" s="1891" t="s">
        <v>852</v>
      </c>
      <c r="G217" s="1890"/>
      <c r="H217" s="1887" t="s">
        <v>853</v>
      </c>
      <c r="I217" s="1887"/>
      <c r="J217" s="1887"/>
      <c r="K217" s="1887"/>
      <c r="L217" s="1888"/>
      <c r="N217"/>
      <c r="O217"/>
      <c r="P217"/>
      <c r="Q217" s="141"/>
      <c r="R217" s="141"/>
      <c r="S217" s="141"/>
      <c r="T217" s="141"/>
      <c r="U217" s="141"/>
      <c r="V217" s="141"/>
      <c r="W217" s="141"/>
      <c r="X217" s="141"/>
      <c r="Y217" s="141"/>
    </row>
    <row r="218" spans="1:26" ht="15.6" thickBot="1">
      <c r="C218" s="121"/>
      <c r="D218" s="442" t="s">
        <v>303</v>
      </c>
      <c r="E218" s="484"/>
      <c r="F218" s="803" t="s">
        <v>518</v>
      </c>
      <c r="G218" s="436"/>
      <c r="H218" s="436"/>
      <c r="I218" s="436"/>
      <c r="J218" s="436"/>
      <c r="K218" s="436"/>
      <c r="L218" s="802"/>
      <c r="N218"/>
      <c r="O218"/>
      <c r="P218"/>
      <c r="Q218" s="141"/>
      <c r="R218" s="141"/>
      <c r="S218" s="141"/>
      <c r="T218" s="141"/>
      <c r="U218" s="141"/>
      <c r="V218" s="141"/>
      <c r="W218" s="141"/>
      <c r="X218" s="141"/>
      <c r="Y218" s="141"/>
    </row>
    <row r="219" spans="1:26" customFormat="1" ht="13.2">
      <c r="F219" s="307"/>
    </row>
    <row r="220" spans="1:26" s="51" customFormat="1" ht="15.6">
      <c r="B220" s="668" t="s">
        <v>996</v>
      </c>
      <c r="C220" s="668"/>
      <c r="D220" s="674"/>
      <c r="F220" s="138"/>
      <c r="H220" s="679"/>
      <c r="I220" s="97"/>
      <c r="J220" s="97"/>
      <c r="K220" s="97"/>
      <c r="L220" s="97"/>
      <c r="M220" s="97"/>
    </row>
    <row r="221" spans="1:26" s="50" customFormat="1" ht="16.2" thickBot="1">
      <c r="A221" s="666"/>
      <c r="B221" s="164"/>
      <c r="C221" s="670" t="s">
        <v>997</v>
      </c>
      <c r="D221" s="164"/>
      <c r="E221" s="450"/>
      <c r="F221" s="498"/>
      <c r="G221" s="498"/>
      <c r="H221" s="498"/>
      <c r="I221" s="462"/>
      <c r="J221" s="450"/>
      <c r="K221" s="450"/>
      <c r="L221" s="450"/>
      <c r="M221" s="450"/>
      <c r="N221" s="450"/>
      <c r="O221" s="63"/>
    </row>
    <row r="222" spans="1:26" s="50" customFormat="1" ht="16.2" thickBot="1">
      <c r="B222" s="666"/>
      <c r="C222" s="666"/>
      <c r="D222" s="1239">
        <f>IF(E230&gt;=O227,N227,IF(E230&gt;=O226,N226,IF(E230&gt;=O225,N225,IF(E230&gt;=O224,N224,N223))))</f>
        <v>3</v>
      </c>
      <c r="E222" s="456" t="s">
        <v>1227</v>
      </c>
      <c r="F222" s="456"/>
      <c r="G222" s="456"/>
      <c r="H222" s="456"/>
      <c r="I222" s="456"/>
      <c r="J222" s="456"/>
      <c r="K222" s="456"/>
      <c r="L222" s="457"/>
      <c r="M222" s="63"/>
      <c r="N222" s="451" t="s">
        <v>335</v>
      </c>
      <c r="O222" s="451" t="s">
        <v>336</v>
      </c>
    </row>
    <row r="223" spans="1:26" s="50" customFormat="1" ht="15.6">
      <c r="B223" s="666"/>
      <c r="C223" s="666"/>
      <c r="D223" s="438" t="str">
        <f>IF(ROUNDDOWN(D222,0)=$N$2,$P$2,$O$2)</f>
        <v>　レベル　1</v>
      </c>
      <c r="E223" s="463" t="s">
        <v>472</v>
      </c>
      <c r="F223" s="464"/>
      <c r="G223" s="464"/>
      <c r="H223" s="464"/>
      <c r="I223" s="464"/>
      <c r="J223" s="464"/>
      <c r="K223" s="464"/>
      <c r="L223" s="465"/>
      <c r="M223" s="666"/>
      <c r="N223" s="452">
        <v>1</v>
      </c>
      <c r="O223" s="451">
        <v>0</v>
      </c>
    </row>
    <row r="224" spans="1:26" s="50" customFormat="1" ht="15.6">
      <c r="B224" s="666"/>
      <c r="C224" s="666"/>
      <c r="D224" s="439" t="str">
        <f>IF(ROUNDDOWN(D222,0)=$N$3,$P$3,$O$3)</f>
        <v>　レベル　2</v>
      </c>
      <c r="E224" s="466" t="s">
        <v>413</v>
      </c>
      <c r="F224" s="467"/>
      <c r="G224" s="467"/>
      <c r="H224" s="467"/>
      <c r="I224" s="467"/>
      <c r="J224" s="467"/>
      <c r="K224" s="467"/>
      <c r="L224" s="468"/>
      <c r="M224" s="63"/>
      <c r="N224" s="452" t="s">
        <v>311</v>
      </c>
      <c r="O224" s="451" t="s">
        <v>311</v>
      </c>
    </row>
    <row r="225" spans="1:26" s="50" customFormat="1" ht="15.6">
      <c r="B225" s="666"/>
      <c r="C225" s="666"/>
      <c r="D225" s="439" t="str">
        <f>IF(ROUNDDOWN(D222,0)=$N$4,$P$4,$O$4)</f>
        <v>■レベル　3</v>
      </c>
      <c r="E225" s="466" t="s">
        <v>519</v>
      </c>
      <c r="F225" s="467"/>
      <c r="G225" s="467"/>
      <c r="H225" s="467"/>
      <c r="I225" s="467"/>
      <c r="J225" s="467"/>
      <c r="K225" s="467"/>
      <c r="L225" s="468"/>
      <c r="M225" s="666"/>
      <c r="N225" s="452">
        <v>3</v>
      </c>
      <c r="O225" s="451">
        <v>1</v>
      </c>
    </row>
    <row r="226" spans="1:26" s="50" customFormat="1" ht="15.6">
      <c r="B226" s="666"/>
      <c r="C226" s="666"/>
      <c r="D226" s="439" t="str">
        <f>IF(ROUNDDOWN(D222,0)=$N$5,$P$5,$O$5)</f>
        <v>　レベル　4</v>
      </c>
      <c r="E226" s="469" t="s">
        <v>514</v>
      </c>
      <c r="F226" s="470"/>
      <c r="G226" s="470"/>
      <c r="H226" s="470"/>
      <c r="I226" s="470"/>
      <c r="J226" s="470"/>
      <c r="K226" s="470"/>
      <c r="L226" s="471"/>
      <c r="M226" s="63"/>
      <c r="N226" s="452">
        <v>4</v>
      </c>
      <c r="O226" s="451">
        <v>2</v>
      </c>
    </row>
    <row r="227" spans="1:26" s="50" customFormat="1" ht="15.6">
      <c r="B227" s="666"/>
      <c r="C227" s="666"/>
      <c r="D227" s="440" t="str">
        <f>IF(ROUNDDOWN(D222,0)=$N$6,$P$6,$O$6)</f>
        <v>　レベル　5</v>
      </c>
      <c r="E227" s="472" t="s">
        <v>515</v>
      </c>
      <c r="F227" s="473"/>
      <c r="G227" s="473"/>
      <c r="H227" s="473"/>
      <c r="I227" s="473"/>
      <c r="J227" s="473"/>
      <c r="K227" s="473"/>
      <c r="L227" s="474"/>
      <c r="M227" s="666"/>
      <c r="N227" s="452">
        <v>5</v>
      </c>
      <c r="O227" s="451">
        <v>3</v>
      </c>
    </row>
    <row r="228" spans="1:26" s="50" customFormat="1" ht="15.6">
      <c r="B228" s="666"/>
      <c r="C228" s="666"/>
      <c r="D228" s="441" t="s">
        <v>340</v>
      </c>
      <c r="E228" s="1010"/>
      <c r="F228" s="497"/>
      <c r="G228" s="497"/>
      <c r="H228" s="681"/>
      <c r="I228"/>
      <c r="J228"/>
      <c r="K228"/>
      <c r="L228"/>
      <c r="M228" s="666"/>
      <c r="N228" s="452" t="s">
        <v>311</v>
      </c>
      <c r="O228" s="451"/>
    </row>
    <row r="229" spans="1:26" s="50" customFormat="1" ht="15.6">
      <c r="B229" s="666"/>
      <c r="C229" s="666"/>
      <c r="D229" s="441" t="s">
        <v>383</v>
      </c>
      <c r="E229" s="450"/>
      <c r="F229" s="498"/>
      <c r="G229" s="498"/>
      <c r="H229" s="498"/>
      <c r="I229" s="498"/>
      <c r="J229" s="450"/>
      <c r="K229" s="450"/>
      <c r="L229" s="450"/>
      <c r="M229" s="450"/>
    </row>
    <row r="230" spans="1:26" s="165" customFormat="1" ht="15.6" thickBot="1">
      <c r="A230" s="97"/>
      <c r="B230" s="97"/>
      <c r="C230" s="121"/>
      <c r="D230" s="175" t="s">
        <v>384</v>
      </c>
      <c r="E230" s="475">
        <f>COUNTIF(E231:E233,$R$3)</f>
        <v>1</v>
      </c>
      <c r="F230" s="1859" t="s">
        <v>828</v>
      </c>
      <c r="G230" s="1860"/>
      <c r="H230" s="1861"/>
      <c r="I230" s="1867" t="s">
        <v>829</v>
      </c>
      <c r="J230" s="1863"/>
      <c r="K230" s="1863"/>
      <c r="L230" s="1864"/>
      <c r="M230" s="450"/>
      <c r="N230" s="450"/>
      <c r="O230" s="450"/>
      <c r="P230" s="141"/>
      <c r="Q230" s="141"/>
      <c r="R230" s="141"/>
      <c r="S230" s="141"/>
      <c r="T230" s="141"/>
      <c r="U230" s="141"/>
      <c r="V230" s="141"/>
      <c r="W230" s="141"/>
      <c r="X230" s="141"/>
      <c r="Y230" s="97"/>
      <c r="Z230" s="97"/>
    </row>
    <row r="231" spans="1:26" s="165" customFormat="1" ht="15">
      <c r="A231" s="97"/>
      <c r="B231" s="97"/>
      <c r="C231" s="121"/>
      <c r="D231" s="442" t="s">
        <v>299</v>
      </c>
      <c r="E231" s="443" t="s">
        <v>389</v>
      </c>
      <c r="F231" s="1892" t="s">
        <v>854</v>
      </c>
      <c r="G231" s="1887"/>
      <c r="H231" s="1888"/>
      <c r="I231" s="1889" t="s">
        <v>855</v>
      </c>
      <c r="J231" s="1889"/>
      <c r="K231" s="1889"/>
      <c r="L231" s="1890"/>
      <c r="M231" s="97"/>
      <c r="N231"/>
      <c r="O231"/>
      <c r="P231"/>
      <c r="Q231" s="141"/>
      <c r="R231" s="141"/>
      <c r="S231" s="141"/>
      <c r="T231" s="141"/>
      <c r="U231" s="141"/>
      <c r="V231" s="141"/>
      <c r="W231" s="141"/>
      <c r="X231" s="141"/>
      <c r="Y231" s="97"/>
      <c r="Z231" s="97"/>
    </row>
    <row r="232" spans="1:26" s="165" customFormat="1" ht="15">
      <c r="A232" s="97"/>
      <c r="B232" s="97"/>
      <c r="C232" s="121"/>
      <c r="D232" s="442" t="s">
        <v>300</v>
      </c>
      <c r="E232" s="444"/>
      <c r="F232" s="1892" t="s">
        <v>856</v>
      </c>
      <c r="G232" s="1887"/>
      <c r="H232" s="1888"/>
      <c r="I232" s="1889" t="s">
        <v>857</v>
      </c>
      <c r="J232" s="1889"/>
      <c r="K232" s="1889"/>
      <c r="L232" s="1890"/>
      <c r="M232" s="97"/>
      <c r="N232"/>
      <c r="O232"/>
      <c r="P232"/>
      <c r="Q232" s="141"/>
      <c r="R232" s="141"/>
      <c r="S232" s="141"/>
      <c r="T232" s="141"/>
      <c r="U232" s="141"/>
      <c r="V232" s="141"/>
      <c r="W232" s="141"/>
      <c r="X232" s="141"/>
      <c r="Y232" s="97"/>
      <c r="Z232" s="97"/>
    </row>
    <row r="233" spans="1:26" s="165" customFormat="1" ht="15.6" thickBot="1">
      <c r="A233" s="97"/>
      <c r="B233" s="97"/>
      <c r="C233" s="121"/>
      <c r="D233" s="442" t="s">
        <v>301</v>
      </c>
      <c r="E233" s="445"/>
      <c r="F233" s="1892" t="s">
        <v>858</v>
      </c>
      <c r="G233" s="1887"/>
      <c r="H233" s="1888"/>
      <c r="I233" s="1889" t="s">
        <v>859</v>
      </c>
      <c r="J233" s="1889"/>
      <c r="K233" s="1889"/>
      <c r="L233" s="1890"/>
      <c r="M233" s="97"/>
      <c r="N233"/>
      <c r="O233"/>
      <c r="P233"/>
      <c r="Q233" s="141"/>
      <c r="R233" s="141"/>
      <c r="S233" s="141"/>
      <c r="T233" s="141"/>
      <c r="U233" s="141"/>
      <c r="V233" s="141"/>
      <c r="W233" s="141"/>
      <c r="X233" s="141"/>
      <c r="Y233" s="97"/>
      <c r="Z233" s="97"/>
    </row>
    <row r="234" spans="1:26" customFormat="1" ht="13.2">
      <c r="F234" s="307"/>
    </row>
    <row r="235" spans="1:26" s="50" customFormat="1" ht="16.2" thickBot="1">
      <c r="A235" s="666"/>
      <c r="B235" s="164"/>
      <c r="C235" s="670" t="s">
        <v>998</v>
      </c>
      <c r="D235" s="164"/>
      <c r="E235" s="666"/>
      <c r="F235" s="677"/>
      <c r="G235" s="677"/>
      <c r="H235" s="677"/>
      <c r="I235" s="462"/>
      <c r="J235" s="666"/>
      <c r="K235" s="666"/>
      <c r="L235" s="752" t="s">
        <v>1317</v>
      </c>
      <c r="M235" s="666"/>
      <c r="N235" s="63"/>
      <c r="O235" s="63"/>
    </row>
    <row r="236" spans="1:26" s="50" customFormat="1" ht="16.2" thickBot="1">
      <c r="B236" s="666"/>
      <c r="C236" s="666"/>
      <c r="D236" s="437">
        <v>3</v>
      </c>
      <c r="E236" s="456" t="s">
        <v>1227</v>
      </c>
      <c r="F236" s="456"/>
      <c r="G236" s="456"/>
      <c r="H236" s="456"/>
      <c r="I236" s="456"/>
      <c r="J236" s="456"/>
      <c r="K236" s="456"/>
      <c r="L236" s="457"/>
      <c r="M236" s="63"/>
      <c r="N236" s="451" t="s">
        <v>335</v>
      </c>
      <c r="O236" s="451" t="s">
        <v>336</v>
      </c>
    </row>
    <row r="237" spans="1:26" s="50" customFormat="1" ht="15.6">
      <c r="B237" s="666"/>
      <c r="C237" s="666"/>
      <c r="D237" s="438" t="str">
        <f>IF(ROUNDDOWN(D236,0)=$N$2,$P$2,$O$2)</f>
        <v>　レベル　1</v>
      </c>
      <c r="E237" s="463" t="s">
        <v>413</v>
      </c>
      <c r="F237" s="503"/>
      <c r="G237" s="503"/>
      <c r="H237" s="503"/>
      <c r="I237" s="503"/>
      <c r="J237" s="503"/>
      <c r="K237" s="503"/>
      <c r="L237" s="510"/>
      <c r="M237" s="666"/>
      <c r="N237" s="452" t="s">
        <v>311</v>
      </c>
      <c r="O237" s="453"/>
    </row>
    <row r="238" spans="1:26" s="50" customFormat="1" ht="15.6">
      <c r="B238" s="666"/>
      <c r="C238" s="666"/>
      <c r="D238" s="439" t="str">
        <f>IF(ROUNDDOWN(D236,0)=$N$3,$P$3,$O$3)</f>
        <v>　レベル　2</v>
      </c>
      <c r="E238" s="466" t="s">
        <v>520</v>
      </c>
      <c r="F238" s="504"/>
      <c r="G238" s="504"/>
      <c r="H238" s="504"/>
      <c r="I238" s="504"/>
      <c r="J238" s="504"/>
      <c r="K238" s="504"/>
      <c r="L238" s="511"/>
      <c r="M238" s="63"/>
      <c r="N238" s="452">
        <v>2</v>
      </c>
      <c r="O238" s="453"/>
    </row>
    <row r="239" spans="1:26" s="50" customFormat="1" ht="15.6">
      <c r="B239" s="666"/>
      <c r="C239" s="666"/>
      <c r="D239" s="439" t="str">
        <f>IF(ROUNDDOWN(D236,0)=$N$4,$P$4,$O$4)</f>
        <v>■レベル　3</v>
      </c>
      <c r="E239" s="466" t="s">
        <v>521</v>
      </c>
      <c r="F239" s="504"/>
      <c r="G239" s="504"/>
      <c r="H239" s="504"/>
      <c r="I239" s="504"/>
      <c r="J239" s="504"/>
      <c r="K239" s="504"/>
      <c r="L239" s="511"/>
      <c r="M239" s="666"/>
      <c r="N239" s="452">
        <v>3</v>
      </c>
      <c r="O239" s="453"/>
    </row>
    <row r="240" spans="1:26" s="50" customFormat="1" ht="15.6">
      <c r="B240" s="666"/>
      <c r="C240" s="666"/>
      <c r="D240" s="439" t="str">
        <f>IF(ROUNDDOWN(D236,0)=$N$5,$P$5,$O$5)</f>
        <v>　レベル　4</v>
      </c>
      <c r="E240" s="469" t="s">
        <v>413</v>
      </c>
      <c r="F240" s="505"/>
      <c r="G240" s="505"/>
      <c r="H240" s="505"/>
      <c r="I240" s="505"/>
      <c r="J240" s="505"/>
      <c r="K240" s="505"/>
      <c r="L240" s="512"/>
      <c r="M240" s="63"/>
      <c r="N240" s="452" t="s">
        <v>311</v>
      </c>
      <c r="O240" s="453"/>
    </row>
    <row r="241" spans="1:15" s="50" customFormat="1" ht="15.6">
      <c r="B241" s="666"/>
      <c r="C241" s="666"/>
      <c r="D241" s="440" t="str">
        <f>IF(ROUNDDOWN(D236,0)=$N$6,$P$6,$O$6)</f>
        <v>　レベル　5</v>
      </c>
      <c r="E241" s="472" t="s">
        <v>522</v>
      </c>
      <c r="F241" s="483"/>
      <c r="G241" s="483"/>
      <c r="H241" s="483"/>
      <c r="I241" s="483"/>
      <c r="J241" s="483"/>
      <c r="K241" s="483"/>
      <c r="L241" s="513"/>
      <c r="M241" s="666"/>
      <c r="N241" s="452">
        <v>5</v>
      </c>
      <c r="O241" s="453"/>
    </row>
    <row r="242" spans="1:15" s="50" customFormat="1" ht="15.6">
      <c r="B242" s="666"/>
      <c r="C242" s="666"/>
      <c r="D242" s="441" t="s">
        <v>340</v>
      </c>
      <c r="E242" s="1010"/>
      <c r="F242" s="497"/>
      <c r="G242" s="497"/>
      <c r="H242" s="681"/>
      <c r="I242" s="751" t="s">
        <v>713</v>
      </c>
      <c r="J242"/>
      <c r="K242"/>
      <c r="L242"/>
      <c r="M242" s="63"/>
      <c r="N242" s="454">
        <v>0</v>
      </c>
      <c r="O242" s="455"/>
    </row>
    <row r="243" spans="1:15" customFormat="1" ht="13.2">
      <c r="F243" s="307"/>
    </row>
    <row r="244" spans="1:15" s="50" customFormat="1" ht="16.2" thickBot="1">
      <c r="A244" s="666"/>
      <c r="B244" s="164"/>
      <c r="C244" s="670" t="s">
        <v>999</v>
      </c>
      <c r="D244" s="164"/>
      <c r="E244" s="666"/>
      <c r="F244" s="677"/>
      <c r="G244" s="677"/>
      <c r="H244" s="677"/>
      <c r="I244" s="462"/>
      <c r="J244" s="666"/>
      <c r="K244" s="666"/>
      <c r="L244" s="678"/>
      <c r="M244" s="666"/>
      <c r="N244" s="63"/>
      <c r="O244" s="63"/>
    </row>
    <row r="245" spans="1:15" s="50" customFormat="1" ht="16.2" thickBot="1">
      <c r="B245" s="666"/>
      <c r="C245" s="666"/>
      <c r="D245" s="437">
        <v>3</v>
      </c>
      <c r="E245" s="456" t="s">
        <v>1227</v>
      </c>
      <c r="F245" s="456"/>
      <c r="G245" s="456"/>
      <c r="H245" s="456"/>
      <c r="I245" s="456"/>
      <c r="J245" s="456"/>
      <c r="K245" s="456"/>
      <c r="L245" s="457"/>
      <c r="M245" s="63"/>
      <c r="N245" s="451" t="s">
        <v>335</v>
      </c>
      <c r="O245" s="451" t="s">
        <v>336</v>
      </c>
    </row>
    <row r="246" spans="1:15" s="50" customFormat="1" ht="15.6">
      <c r="B246" s="666"/>
      <c r="C246" s="666"/>
      <c r="D246" s="438" t="str">
        <f>IF(ROUNDDOWN(D245,0)=$N$2,$P$2,$O$2)</f>
        <v>　レベル　1</v>
      </c>
      <c r="E246" s="463" t="s">
        <v>507</v>
      </c>
      <c r="F246" s="503"/>
      <c r="G246" s="503"/>
      <c r="H246" s="503"/>
      <c r="I246" s="503"/>
      <c r="J246" s="503"/>
      <c r="K246" s="503"/>
      <c r="L246" s="510"/>
      <c r="M246" s="666"/>
      <c r="N246" s="452">
        <v>1</v>
      </c>
      <c r="O246" s="453"/>
    </row>
    <row r="247" spans="1:15" s="50" customFormat="1" ht="15.6">
      <c r="B247" s="666"/>
      <c r="C247" s="666"/>
      <c r="D247" s="439" t="str">
        <f>IF(ROUNDDOWN(D245,0)=$N$3,$P$3,$O$3)</f>
        <v>　レベル　2</v>
      </c>
      <c r="E247" s="466" t="s">
        <v>413</v>
      </c>
      <c r="F247" s="504"/>
      <c r="G247" s="504"/>
      <c r="H247" s="504"/>
      <c r="I247" s="504"/>
      <c r="J247" s="504"/>
      <c r="K247" s="504"/>
      <c r="L247" s="511"/>
      <c r="M247" s="63"/>
      <c r="N247" s="452" t="s">
        <v>311</v>
      </c>
      <c r="O247" s="453"/>
    </row>
    <row r="248" spans="1:15" s="50" customFormat="1" ht="15.6">
      <c r="B248" s="666"/>
      <c r="C248" s="666"/>
      <c r="D248" s="439" t="str">
        <f>IF(ROUNDDOWN(D245,0)=$N$4,$P$4,$O$4)</f>
        <v>■レベル　3</v>
      </c>
      <c r="E248" s="466" t="s">
        <v>523</v>
      </c>
      <c r="F248" s="504"/>
      <c r="G248" s="504"/>
      <c r="H248" s="504"/>
      <c r="I248" s="504"/>
      <c r="J248" s="504"/>
      <c r="K248" s="504"/>
      <c r="L248" s="511"/>
      <c r="M248" s="666"/>
      <c r="N248" s="452">
        <v>3</v>
      </c>
      <c r="O248" s="453"/>
    </row>
    <row r="249" spans="1:15" s="50" customFormat="1" ht="15.6">
      <c r="B249" s="666"/>
      <c r="C249" s="666"/>
      <c r="D249" s="439" t="str">
        <f>IF(ROUNDDOWN(D245,0)=$N$5,$P$5,$O$5)</f>
        <v>　レベル　4</v>
      </c>
      <c r="E249" s="469" t="s">
        <v>524</v>
      </c>
      <c r="F249" s="505"/>
      <c r="G249" s="505"/>
      <c r="H249" s="505"/>
      <c r="I249" s="505"/>
      <c r="J249" s="505"/>
      <c r="K249" s="505"/>
      <c r="L249" s="512"/>
      <c r="M249" s="63"/>
      <c r="N249" s="452">
        <v>4</v>
      </c>
      <c r="O249" s="453"/>
    </row>
    <row r="250" spans="1:15" s="50" customFormat="1" ht="15.6">
      <c r="B250" s="666"/>
      <c r="C250" s="666"/>
      <c r="D250" s="440" t="str">
        <f>IF(ROUNDDOWN(D245,0)=$N$6,$P$6,$O$6)</f>
        <v>　レベル　5</v>
      </c>
      <c r="E250" s="472" t="s">
        <v>1284</v>
      </c>
      <c r="F250" s="483"/>
      <c r="G250" s="483"/>
      <c r="H250" s="483"/>
      <c r="I250" s="483"/>
      <c r="J250" s="483"/>
      <c r="K250" s="483"/>
      <c r="L250" s="513"/>
      <c r="M250" s="666"/>
      <c r="N250" s="452">
        <v>5</v>
      </c>
      <c r="O250" s="453"/>
    </row>
    <row r="251" spans="1:15" s="50" customFormat="1" ht="15.6">
      <c r="B251" s="666"/>
      <c r="C251" s="666"/>
      <c r="D251" s="441" t="s">
        <v>340</v>
      </c>
      <c r="E251" s="1010"/>
      <c r="F251" s="497"/>
      <c r="G251" s="497"/>
      <c r="H251" s="681"/>
      <c r="I251"/>
      <c r="J251"/>
      <c r="K251"/>
      <c r="L251"/>
      <c r="M251" s="63"/>
      <c r="N251" s="452" t="s">
        <v>311</v>
      </c>
      <c r="O251" s="455"/>
    </row>
    <row r="252" spans="1:15" customFormat="1" ht="13.2">
      <c r="F252" s="307"/>
    </row>
    <row r="253" spans="1:15" s="50" customFormat="1" ht="16.2" thickBot="1">
      <c r="A253" s="666"/>
      <c r="B253" s="670" t="s">
        <v>1000</v>
      </c>
      <c r="C253" s="670"/>
      <c r="D253" s="164"/>
      <c r="E253" s="666"/>
      <c r="F253" s="677"/>
      <c r="G253" s="666"/>
      <c r="H253" s="666"/>
      <c r="I253" s="666"/>
      <c r="J253" s="666"/>
      <c r="K253" s="666"/>
      <c r="L253" s="175"/>
      <c r="M253" s="666"/>
      <c r="N253" s="97"/>
    </row>
    <row r="254" spans="1:15" s="50" customFormat="1" ht="16.2" hidden="1" thickBot="1">
      <c r="A254" s="666"/>
      <c r="B254" s="164"/>
      <c r="C254" s="670"/>
      <c r="D254" s="164"/>
      <c r="E254" s="450"/>
      <c r="F254" s="498"/>
      <c r="G254" s="498"/>
      <c r="H254" s="498"/>
      <c r="I254" s="462"/>
      <c r="J254" s="450"/>
      <c r="K254" s="450"/>
      <c r="L254" s="450"/>
      <c r="M254" s="450"/>
      <c r="N254" s="450"/>
      <c r="O254" s="63"/>
    </row>
    <row r="255" spans="1:15" s="50" customFormat="1" ht="16.2" thickBot="1">
      <c r="B255" s="666"/>
      <c r="C255" s="666"/>
      <c r="D255" s="1239">
        <f>IF(G262=O262,0,IF(E263&gt;=O260,N260,IF(E263&gt;=O259,N259,IF(E263&gt;=O258,N258,IF(E263&gt;=O257,N257,N256)))))</f>
        <v>3</v>
      </c>
      <c r="E255" s="456" t="s">
        <v>1227</v>
      </c>
      <c r="F255" s="456"/>
      <c r="G255" s="456"/>
      <c r="H255" s="456"/>
      <c r="I255" s="456"/>
      <c r="J255" s="456"/>
      <c r="K255" s="456"/>
      <c r="L255" s="457"/>
      <c r="M255" s="63"/>
      <c r="N255" s="451" t="s">
        <v>335</v>
      </c>
      <c r="O255" s="451" t="s">
        <v>336</v>
      </c>
    </row>
    <row r="256" spans="1:15" s="50" customFormat="1" ht="15.6">
      <c r="B256" s="666"/>
      <c r="C256" s="666"/>
      <c r="D256" s="438" t="str">
        <f>IF(ROUNDDOWN(D255,0)=$N$2,$P$2,$O$2)</f>
        <v>　レベル　1</v>
      </c>
      <c r="E256" s="463" t="s">
        <v>472</v>
      </c>
      <c r="F256" s="464"/>
      <c r="G256" s="464"/>
      <c r="H256" s="464"/>
      <c r="I256" s="464"/>
      <c r="J256" s="464"/>
      <c r="K256" s="464"/>
      <c r="L256" s="465"/>
      <c r="M256" s="666"/>
      <c r="N256" s="452">
        <v>1</v>
      </c>
      <c r="O256" s="451">
        <v>0</v>
      </c>
    </row>
    <row r="257" spans="1:26" s="50" customFormat="1" ht="15.6">
      <c r="B257" s="666"/>
      <c r="C257" s="666"/>
      <c r="D257" s="439" t="str">
        <f>IF(ROUNDDOWN(D255,0)=$N$3,$P$3,$O$3)</f>
        <v>　レベル　2</v>
      </c>
      <c r="E257" s="466" t="s">
        <v>519</v>
      </c>
      <c r="F257" s="467"/>
      <c r="G257" s="467"/>
      <c r="H257" s="467"/>
      <c r="I257" s="467"/>
      <c r="J257" s="467"/>
      <c r="K257" s="467"/>
      <c r="L257" s="468"/>
      <c r="M257" s="63"/>
      <c r="N257" s="452">
        <v>2</v>
      </c>
      <c r="O257" s="451">
        <v>1</v>
      </c>
    </row>
    <row r="258" spans="1:26" s="50" customFormat="1" ht="15.6">
      <c r="B258" s="666"/>
      <c r="C258" s="666"/>
      <c r="D258" s="439" t="str">
        <f>IF(ROUNDDOWN(D255,0)=$N$4,$P$4,$O$4)</f>
        <v>■レベル　3</v>
      </c>
      <c r="E258" s="466" t="s">
        <v>514</v>
      </c>
      <c r="F258" s="467"/>
      <c r="G258" s="467"/>
      <c r="H258" s="467"/>
      <c r="I258" s="467"/>
      <c r="J258" s="467"/>
      <c r="K258" s="467"/>
      <c r="L258" s="468"/>
      <c r="M258" s="666"/>
      <c r="N258" s="452">
        <v>3</v>
      </c>
      <c r="O258" s="451">
        <v>2</v>
      </c>
    </row>
    <row r="259" spans="1:26" s="50" customFormat="1" ht="15.6">
      <c r="B259" s="666"/>
      <c r="C259" s="666"/>
      <c r="D259" s="439" t="str">
        <f>IF(ROUNDDOWN(D255,0)=$N$5,$P$5,$O$5)</f>
        <v>　レベル　4</v>
      </c>
      <c r="E259" s="469" t="s">
        <v>515</v>
      </c>
      <c r="F259" s="470"/>
      <c r="G259" s="470"/>
      <c r="H259" s="470"/>
      <c r="I259" s="470"/>
      <c r="J259" s="470"/>
      <c r="K259" s="470"/>
      <c r="L259" s="471"/>
      <c r="M259" s="63"/>
      <c r="N259" s="452">
        <v>4</v>
      </c>
      <c r="O259" s="451">
        <v>3</v>
      </c>
    </row>
    <row r="260" spans="1:26" s="50" customFormat="1" ht="15.6">
      <c r="B260" s="666"/>
      <c r="C260" s="666"/>
      <c r="D260" s="440" t="str">
        <f>IF(ROUNDDOWN(D255,0)=$N$6,$P$6,$O$6)</f>
        <v>　レベル　5</v>
      </c>
      <c r="E260" s="472" t="s">
        <v>525</v>
      </c>
      <c r="F260" s="473"/>
      <c r="G260" s="473"/>
      <c r="H260" s="473"/>
      <c r="I260" s="473"/>
      <c r="J260" s="473"/>
      <c r="K260" s="473"/>
      <c r="L260" s="474"/>
      <c r="M260" s="666"/>
      <c r="N260" s="452">
        <v>5</v>
      </c>
      <c r="O260" s="451">
        <v>4</v>
      </c>
    </row>
    <row r="261" spans="1:26" s="50" customFormat="1" ht="15.6">
      <c r="B261" s="666"/>
      <c r="C261" s="666"/>
      <c r="D261" s="441" t="s">
        <v>340</v>
      </c>
      <c r="E261" s="1010"/>
      <c r="F261" s="497"/>
      <c r="G261" s="497"/>
      <c r="H261" s="681"/>
      <c r="I261" s="751"/>
      <c r="J261"/>
      <c r="K261"/>
      <c r="L261"/>
      <c r="M261" s="666"/>
      <c r="N261" s="452" t="s">
        <v>311</v>
      </c>
      <c r="O261" s="451"/>
    </row>
    <row r="262" spans="1:26" s="50" customFormat="1" ht="15.6">
      <c r="B262" s="666"/>
      <c r="C262" s="666"/>
      <c r="D262" s="441" t="s">
        <v>383</v>
      </c>
      <c r="E262"/>
      <c r="F262"/>
      <c r="G262"/>
      <c r="H262"/>
      <c r="I262"/>
      <c r="J262"/>
      <c r="K262"/>
      <c r="L262"/>
      <c r="M262" s="97"/>
      <c r="N262" s="813"/>
      <c r="O262" s="813" t="s">
        <v>969</v>
      </c>
    </row>
    <row r="263" spans="1:26" s="165" customFormat="1" ht="15.6" thickBot="1">
      <c r="A263" s="97"/>
      <c r="B263" s="97"/>
      <c r="C263" s="121"/>
      <c r="D263" s="175" t="s">
        <v>384</v>
      </c>
      <c r="E263" s="475">
        <f>COUNTIF(E264:E269,$R$3)</f>
        <v>2</v>
      </c>
      <c r="F263" s="804" t="s">
        <v>828</v>
      </c>
      <c r="G263" s="1867" t="s">
        <v>829</v>
      </c>
      <c r="H263" s="1863"/>
      <c r="I263" s="1863"/>
      <c r="J263" s="1863"/>
      <c r="K263" s="1863"/>
      <c r="L263" s="1864"/>
      <c r="M263" s="450"/>
      <c r="N263"/>
      <c r="O263"/>
      <c r="P263" s="141"/>
      <c r="Q263" s="141"/>
      <c r="R263" s="141"/>
      <c r="S263" s="141"/>
      <c r="T263" s="141"/>
      <c r="U263" s="141"/>
      <c r="V263" s="141"/>
      <c r="W263" s="141"/>
      <c r="X263" s="141"/>
      <c r="Y263" s="97"/>
      <c r="Z263" s="97"/>
    </row>
    <row r="264" spans="1:26" s="165" customFormat="1" ht="40.950000000000003" customHeight="1">
      <c r="A264" s="97"/>
      <c r="B264" s="97"/>
      <c r="C264" s="121"/>
      <c r="D264" s="442" t="s">
        <v>299</v>
      </c>
      <c r="E264" s="443"/>
      <c r="F264" s="801" t="s">
        <v>838</v>
      </c>
      <c r="G264" s="1889" t="s">
        <v>860</v>
      </c>
      <c r="H264" s="1889"/>
      <c r="I264" s="1889"/>
      <c r="J264" s="1889"/>
      <c r="K264" s="1889"/>
      <c r="L264" s="1890"/>
      <c r="M264" s="97"/>
      <c r="N264"/>
      <c r="O264"/>
      <c r="P264"/>
      <c r="Q264"/>
      <c r="R264" s="141"/>
      <c r="S264" s="141"/>
      <c r="T264" s="141"/>
      <c r="U264" s="141"/>
      <c r="V264" s="141"/>
      <c r="W264" s="141"/>
      <c r="X264" s="141"/>
      <c r="Y264" s="97"/>
      <c r="Z264" s="97"/>
    </row>
    <row r="265" spans="1:26" s="165" customFormat="1" ht="28.2" customHeight="1">
      <c r="A265" s="97"/>
      <c r="B265" s="97"/>
      <c r="C265" s="121"/>
      <c r="D265" s="442" t="s">
        <v>300</v>
      </c>
      <c r="E265" s="444" t="s">
        <v>389</v>
      </c>
      <c r="F265" s="801" t="s">
        <v>840</v>
      </c>
      <c r="G265" s="1889" t="s">
        <v>861</v>
      </c>
      <c r="H265" s="1889"/>
      <c r="I265" s="1889"/>
      <c r="J265" s="1889"/>
      <c r="K265" s="1889"/>
      <c r="L265" s="1890"/>
      <c r="M265" s="97"/>
      <c r="N265"/>
      <c r="O265"/>
      <c r="P265"/>
      <c r="Q265"/>
      <c r="R265" s="141"/>
      <c r="S265" s="141"/>
      <c r="T265" s="141"/>
      <c r="U265" s="141"/>
      <c r="V265" s="141"/>
      <c r="W265" s="141"/>
      <c r="X265" s="141"/>
      <c r="Y265" s="97"/>
      <c r="Z265" s="97"/>
    </row>
    <row r="266" spans="1:26" s="165" customFormat="1" ht="28.2" customHeight="1">
      <c r="A266" s="97"/>
      <c r="B266" s="97"/>
      <c r="C266" s="121"/>
      <c r="D266" s="442" t="s">
        <v>301</v>
      </c>
      <c r="E266" s="444"/>
      <c r="F266" s="801" t="s">
        <v>842</v>
      </c>
      <c r="G266" s="1889" t="s">
        <v>862</v>
      </c>
      <c r="H266" s="1889"/>
      <c r="I266" s="1889"/>
      <c r="J266" s="1889"/>
      <c r="K266" s="1889"/>
      <c r="L266" s="1890"/>
      <c r="M266" s="97"/>
      <c r="N266"/>
      <c r="O266"/>
      <c r="P266"/>
      <c r="Q266"/>
      <c r="R266" s="141"/>
      <c r="S266" s="141"/>
      <c r="T266" s="141"/>
      <c r="U266" s="141"/>
      <c r="V266" s="141"/>
      <c r="W266" s="141"/>
      <c r="X266" s="141"/>
      <c r="Y266" s="97"/>
      <c r="Z266" s="97"/>
    </row>
    <row r="267" spans="1:26" s="165" customFormat="1" ht="28.2" customHeight="1">
      <c r="A267" s="97"/>
      <c r="B267" s="97"/>
      <c r="C267" s="121"/>
      <c r="D267" s="442" t="s">
        <v>302</v>
      </c>
      <c r="E267" s="444"/>
      <c r="F267" s="801" t="s">
        <v>844</v>
      </c>
      <c r="G267" s="1889" t="s">
        <v>863</v>
      </c>
      <c r="H267" s="1889"/>
      <c r="I267" s="1889"/>
      <c r="J267" s="1889"/>
      <c r="K267" s="1889"/>
      <c r="L267" s="1890"/>
      <c r="M267" s="97"/>
      <c r="N267"/>
      <c r="O267"/>
      <c r="P267"/>
      <c r="Q267"/>
      <c r="R267" s="141"/>
      <c r="S267" s="141"/>
      <c r="T267" s="141"/>
      <c r="U267" s="141"/>
      <c r="V267" s="141"/>
      <c r="W267" s="141"/>
      <c r="X267" s="141"/>
      <c r="Y267" s="97"/>
      <c r="Z267" s="97"/>
    </row>
    <row r="268" spans="1:26" s="165" customFormat="1" ht="28.2" customHeight="1">
      <c r="A268" s="97"/>
      <c r="B268" s="97"/>
      <c r="C268" s="121"/>
      <c r="D268" s="442" t="s">
        <v>303</v>
      </c>
      <c r="E268" s="444"/>
      <c r="F268" s="801" t="s">
        <v>864</v>
      </c>
      <c r="G268" s="1889" t="s">
        <v>865</v>
      </c>
      <c r="H268" s="1889"/>
      <c r="I268" s="1889"/>
      <c r="J268" s="1889"/>
      <c r="K268" s="1889"/>
      <c r="L268" s="1890"/>
      <c r="M268" s="97"/>
      <c r="N268"/>
      <c r="O268"/>
      <c r="P268"/>
      <c r="Q268"/>
      <c r="R268" s="141"/>
      <c r="S268" s="141"/>
      <c r="T268" s="141"/>
      <c r="U268" s="141"/>
      <c r="V268" s="141"/>
      <c r="W268" s="141"/>
      <c r="X268" s="141"/>
      <c r="Y268" s="97"/>
      <c r="Z268" s="97"/>
    </row>
    <row r="269" spans="1:26" s="165" customFormat="1" ht="15.6" thickBot="1">
      <c r="A269" s="97"/>
      <c r="B269" s="97"/>
      <c r="C269" s="121"/>
      <c r="D269" s="442" t="s">
        <v>304</v>
      </c>
      <c r="E269" s="445" t="s">
        <v>389</v>
      </c>
      <c r="F269" s="805" t="s">
        <v>866</v>
      </c>
      <c r="G269" s="1887" t="s">
        <v>867</v>
      </c>
      <c r="H269" s="1887"/>
      <c r="I269" s="1887"/>
      <c r="J269" s="1887"/>
      <c r="K269" s="1887"/>
      <c r="L269" s="1888"/>
      <c r="M269" s="97"/>
      <c r="N269"/>
      <c r="O269"/>
      <c r="P269"/>
      <c r="Q269"/>
      <c r="R269" s="141"/>
      <c r="S269" s="141"/>
      <c r="T269" s="141"/>
      <c r="U269" s="141"/>
      <c r="V269" s="141"/>
      <c r="W269" s="141"/>
      <c r="X269" s="141"/>
      <c r="Y269" s="97"/>
      <c r="Z269" s="97"/>
    </row>
    <row r="270" spans="1:26" customFormat="1" ht="13.2"/>
    <row r="271" spans="1:26" s="50" customFormat="1" ht="15.6">
      <c r="B271" s="666"/>
      <c r="C271" s="666"/>
      <c r="D271"/>
      <c r="E271"/>
      <c r="F271"/>
      <c r="G271"/>
      <c r="H271"/>
      <c r="I271"/>
      <c r="J271"/>
      <c r="K271"/>
      <c r="L271"/>
      <c r="M271"/>
      <c r="N271"/>
      <c r="O271"/>
    </row>
    <row r="272" spans="1:26" s="50" customFormat="1" ht="15.6">
      <c r="B272" s="666"/>
      <c r="C272" s="666"/>
      <c r="D272"/>
      <c r="E272"/>
      <c r="F272"/>
      <c r="G272"/>
      <c r="H272"/>
      <c r="I272"/>
      <c r="J272"/>
      <c r="K272"/>
      <c r="L272"/>
      <c r="M272"/>
      <c r="N272"/>
      <c r="O272"/>
    </row>
    <row r="273" spans="4:25">
      <c r="D273"/>
      <c r="E273"/>
      <c r="F273"/>
      <c r="G273"/>
      <c r="H273"/>
      <c r="I273"/>
      <c r="J273"/>
      <c r="K273"/>
      <c r="L273"/>
      <c r="M273"/>
      <c r="N273"/>
      <c r="O273"/>
      <c r="P273" s="141"/>
      <c r="Q273" s="141"/>
      <c r="R273" s="141"/>
      <c r="S273" s="141"/>
      <c r="T273" s="141"/>
      <c r="U273" s="141"/>
      <c r="V273" s="141"/>
      <c r="W273" s="141"/>
      <c r="X273" s="141"/>
      <c r="Y273" s="141"/>
    </row>
    <row r="274" spans="4:25">
      <c r="D274"/>
      <c r="E274"/>
      <c r="F274"/>
      <c r="G274"/>
      <c r="H274"/>
      <c r="I274"/>
      <c r="J274"/>
      <c r="K274"/>
      <c r="L274"/>
      <c r="M274"/>
      <c r="N274"/>
      <c r="O274"/>
      <c r="P274" s="141"/>
      <c r="Q274" s="141"/>
      <c r="R274" s="141"/>
      <c r="S274" s="141"/>
      <c r="T274" s="141"/>
      <c r="U274" s="141"/>
      <c r="V274" s="141"/>
      <c r="W274" s="141"/>
      <c r="X274" s="141"/>
      <c r="Y274" s="141"/>
    </row>
    <row r="275" spans="4:25">
      <c r="D275"/>
      <c r="E275"/>
      <c r="F275"/>
      <c r="G275"/>
      <c r="H275"/>
      <c r="I275"/>
      <c r="J275"/>
      <c r="K275"/>
      <c r="L275"/>
      <c r="M275"/>
      <c r="N275"/>
      <c r="O275"/>
      <c r="P275" s="141"/>
      <c r="Q275" s="141"/>
      <c r="R275" s="141"/>
      <c r="S275" s="141"/>
      <c r="T275" s="141"/>
      <c r="U275" s="141"/>
      <c r="V275" s="141"/>
      <c r="W275" s="141"/>
      <c r="X275" s="141"/>
      <c r="Y275" s="141"/>
    </row>
  </sheetData>
  <sheetProtection algorithmName="SHA-512" hashValue="G1dqEp86GPcHr6k/XyK6WAFFIesc6fTvo4YRKUatY0pZaXXvVLhKTIgJtM+PgDhzJ12SZVkVQmpVb5vxG8GUMw==" saltValue="yy2zcdDGt7vzI1fTu0Yeyg==" spinCount="100000" sheet="1" objects="1" formatCells="0"/>
  <mergeCells count="49">
    <mergeCell ref="G269:L269"/>
    <mergeCell ref="G263:L263"/>
    <mergeCell ref="G264:L264"/>
    <mergeCell ref="G265:L265"/>
    <mergeCell ref="G266:L266"/>
    <mergeCell ref="G267:L267"/>
    <mergeCell ref="G268:L268"/>
    <mergeCell ref="F231:H231"/>
    <mergeCell ref="I231:L231"/>
    <mergeCell ref="F232:H232"/>
    <mergeCell ref="I232:L232"/>
    <mergeCell ref="F233:H233"/>
    <mergeCell ref="I233:L233"/>
    <mergeCell ref="F216:G216"/>
    <mergeCell ref="H216:L216"/>
    <mergeCell ref="F217:G217"/>
    <mergeCell ref="H217:L217"/>
    <mergeCell ref="F230:H230"/>
    <mergeCell ref="I230:L230"/>
    <mergeCell ref="F213:G213"/>
    <mergeCell ref="H213:L213"/>
    <mergeCell ref="F214:G214"/>
    <mergeCell ref="H214:L214"/>
    <mergeCell ref="F215:G215"/>
    <mergeCell ref="H215:L215"/>
    <mergeCell ref="F41:G41"/>
    <mergeCell ref="H41:L41"/>
    <mergeCell ref="F160:H160"/>
    <mergeCell ref="I160:L160"/>
    <mergeCell ref="F179:H179"/>
    <mergeCell ref="I179:L179"/>
    <mergeCell ref="H42:L42"/>
    <mergeCell ref="E63:L63"/>
    <mergeCell ref="E146:L146"/>
    <mergeCell ref="I162:L162"/>
    <mergeCell ref="E192:L192"/>
    <mergeCell ref="I167:L167"/>
    <mergeCell ref="G163:H163"/>
    <mergeCell ref="G166:H166"/>
    <mergeCell ref="G165:H165"/>
    <mergeCell ref="E176:L176"/>
    <mergeCell ref="I180:L180"/>
    <mergeCell ref="I166:L166"/>
    <mergeCell ref="I181:L181"/>
    <mergeCell ref="I183:L183"/>
    <mergeCell ref="F183:H183"/>
    <mergeCell ref="E190:L190"/>
    <mergeCell ref="E191:L191"/>
    <mergeCell ref="I164:L164"/>
  </mergeCells>
  <phoneticPr fontId="3"/>
  <conditionalFormatting sqref="D14">
    <cfRule type="expression" dxfId="105" priority="58" stopIfTrue="1">
      <formula>AND(OR(D14&lt;1,D14&gt;5),D14&lt;&gt;0)</formula>
    </cfRule>
  </conditionalFormatting>
  <conditionalFormatting sqref="D24">
    <cfRule type="expression" dxfId="104" priority="17" stopIfTrue="1">
      <formula>AND(OR(D24&lt;1,D24&gt;5),D24&lt;&gt;0)</formula>
    </cfRule>
  </conditionalFormatting>
  <conditionalFormatting sqref="D33">
    <cfRule type="expression" dxfId="103" priority="23" stopIfTrue="1">
      <formula>AND(OR(D33&lt;1,D33&gt;5),D33&lt;&gt;0)</formula>
    </cfRule>
  </conditionalFormatting>
  <conditionalFormatting sqref="D50">
    <cfRule type="expression" dxfId="102" priority="16" stopIfTrue="1">
      <formula>AND(OR(D50&lt;1,D50&gt;5),D50&lt;&gt;0)</formula>
    </cfRule>
  </conditionalFormatting>
  <conditionalFormatting sqref="D58">
    <cfRule type="expression" dxfId="101" priority="15" stopIfTrue="1">
      <formula>AND(OR(D58&lt;1,D58&gt;5),D58&lt;&gt;0)</formula>
    </cfRule>
  </conditionalFormatting>
  <conditionalFormatting sqref="D68">
    <cfRule type="expression" dxfId="100" priority="14" stopIfTrue="1">
      <formula>AND(OR(D68&lt;1,D68&gt;5),D68&lt;&gt;0)</formula>
    </cfRule>
  </conditionalFormatting>
  <conditionalFormatting sqref="D77">
    <cfRule type="expression" dxfId="99" priority="13" stopIfTrue="1">
      <formula>AND(OR(D77&lt;1,D77&gt;5),D77&lt;&gt;0)</formula>
    </cfRule>
  </conditionalFormatting>
  <conditionalFormatting sqref="D86">
    <cfRule type="expression" dxfId="98" priority="12" stopIfTrue="1">
      <formula>AND(OR(D86&lt;1,D86&gt;5),D86&lt;&gt;0)</formula>
    </cfRule>
  </conditionalFormatting>
  <conditionalFormatting sqref="D95">
    <cfRule type="expression" dxfId="97" priority="11" stopIfTrue="1">
      <formula>AND(OR(D95&lt;1,D95&gt;5),D95&lt;&gt;0)</formula>
    </cfRule>
  </conditionalFormatting>
  <conditionalFormatting sqref="D105">
    <cfRule type="expression" dxfId="96" priority="10" stopIfTrue="1">
      <formula>AND(OR(D105&lt;1,D105&gt;5),D105&lt;&gt;0)</formula>
    </cfRule>
  </conditionalFormatting>
  <conditionalFormatting sqref="D114">
    <cfRule type="expression" dxfId="95" priority="9" stopIfTrue="1">
      <formula>AND(OR(D114&lt;1,D114&gt;5),D114&lt;&gt;0)</formula>
    </cfRule>
  </conditionalFormatting>
  <conditionalFormatting sqref="D123">
    <cfRule type="expression" dxfId="94" priority="8" stopIfTrue="1">
      <formula>AND(OR(D123&lt;1,D123&gt;5),D123&lt;&gt;0)</formula>
    </cfRule>
  </conditionalFormatting>
  <conditionalFormatting sqref="D132">
    <cfRule type="expression" dxfId="93" priority="7" stopIfTrue="1">
      <formula>AND(OR(D132&lt;1,D132&gt;5),D132&lt;&gt;0)</formula>
    </cfRule>
  </conditionalFormatting>
  <conditionalFormatting sqref="D143">
    <cfRule type="expression" dxfId="92" priority="6" stopIfTrue="1">
      <formula>AND(OR(D143&lt;1,D143&gt;5),D143&lt;&gt;0)</formula>
    </cfRule>
  </conditionalFormatting>
  <conditionalFormatting sqref="D152">
    <cfRule type="expression" dxfId="91" priority="22" stopIfTrue="1">
      <formula>AND(OR(D152&lt;1,D152&gt;5),D152&lt;&gt;0)</formula>
    </cfRule>
  </conditionalFormatting>
  <conditionalFormatting sqref="D171">
    <cfRule type="expression" dxfId="90" priority="21" stopIfTrue="1">
      <formula>AND(OR(D171&lt;1,D171&gt;5),D171&lt;&gt;0)</formula>
    </cfRule>
  </conditionalFormatting>
  <conditionalFormatting sqref="D187">
    <cfRule type="expression" dxfId="89" priority="5" stopIfTrue="1">
      <formula>AND(OR(D187&lt;1,D187&gt;5),D187&lt;&gt;0)</formula>
    </cfRule>
  </conditionalFormatting>
  <conditionalFormatting sqref="D196">
    <cfRule type="expression" dxfId="88" priority="4" stopIfTrue="1">
      <formula>AND(OR(D196&lt;1,D196&gt;5),D196&lt;&gt;0)</formula>
    </cfRule>
  </conditionalFormatting>
  <conditionalFormatting sqref="D205">
    <cfRule type="expression" dxfId="87" priority="20" stopIfTrue="1">
      <formula>AND(OR(D205&lt;1,D205&gt;5),D205&lt;&gt;0)</formula>
    </cfRule>
  </conditionalFormatting>
  <conditionalFormatting sqref="D222">
    <cfRule type="expression" dxfId="86" priority="19" stopIfTrue="1">
      <formula>AND(OR(D222&lt;1,D222&gt;5),D222&lt;&gt;0)</formula>
    </cfRule>
  </conditionalFormatting>
  <conditionalFormatting sqref="D236">
    <cfRule type="expression" dxfId="85" priority="3" stopIfTrue="1">
      <formula>AND(OR(D236&lt;1,D236&gt;5),D236&lt;&gt;0)</formula>
    </cfRule>
  </conditionalFormatting>
  <conditionalFormatting sqref="D245">
    <cfRule type="expression" dxfId="84" priority="2" stopIfTrue="1">
      <formula>AND(OR(D245&lt;1,D245&gt;5),D245&lt;&gt;0)</formula>
    </cfRule>
  </conditionalFormatting>
  <conditionalFormatting sqref="D255">
    <cfRule type="expression" dxfId="83" priority="1" stopIfTrue="1">
      <formula>AND(OR(D255&lt;1,D255&gt;5),D255&lt;&gt;0)</formula>
    </cfRule>
  </conditionalFormatting>
  <conditionalFormatting sqref="E42:E46 E264:E269">
    <cfRule type="expression" dxfId="82" priority="199" stopIfTrue="1">
      <formula>$D$263="対象外"</formula>
    </cfRule>
  </conditionalFormatting>
  <conditionalFormatting sqref="E161:E167">
    <cfRule type="expression" dxfId="81" priority="200" stopIfTrue="1">
      <formula>$D$160="対象外"</formula>
    </cfRule>
  </conditionalFormatting>
  <conditionalFormatting sqref="E168">
    <cfRule type="expression" dxfId="80" priority="104" stopIfTrue="1">
      <formula>$D$263="対象外"</formula>
    </cfRule>
  </conditionalFormatting>
  <conditionalFormatting sqref="E180:E184">
    <cfRule type="expression" dxfId="79" priority="105" stopIfTrue="1">
      <formula>$D$263="対象外"</formula>
    </cfRule>
  </conditionalFormatting>
  <conditionalFormatting sqref="E214:E218">
    <cfRule type="expression" dxfId="78" priority="161" stopIfTrue="1">
      <formula>$D$263="対象外"</formula>
    </cfRule>
  </conditionalFormatting>
  <conditionalFormatting sqref="E231:E233">
    <cfRule type="expression" dxfId="77" priority="198" stopIfTrue="1">
      <formula>$D$230="対象外"</formula>
    </cfRule>
  </conditionalFormatting>
  <dataValidations count="4">
    <dataValidation type="list" allowBlank="1" showInputMessage="1" showErrorMessage="1" sqref="N124" xr:uid="{00000000-0002-0000-0500-00000C000000}">
      <formula1>$N$124:$N$128</formula1>
    </dataValidation>
    <dataValidation type="list" allowBlank="1" showInputMessage="1" showErrorMessage="1" sqref="E214:E218 E42:E46 E180:E184 E264:E269 E231:E233 E161:E168" xr:uid="{00000000-0002-0000-0500-000006000000}">
      <formula1>$R$2:$R$4</formula1>
    </dataValidation>
    <dataValidation type="list" allowBlank="1" showInputMessage="1" sqref="D14 D196 D245 D50 D58 D68 D77 D86 D95 D105 D114 D123 D132 D143 D236 D187 D24" xr:uid="{78EB15F8-5F17-4066-9407-95989769840E}">
      <formula1>N15:N20</formula1>
    </dataValidation>
    <dataValidation allowBlank="1" showInputMessage="1" sqref="D33 D152 D171 D205 D222 D255" xr:uid="{061C5527-FDE9-4E2F-AE7D-E8FD0107C53C}"/>
  </dataValidations>
  <pageMargins left="0.78740157480314965" right="0.59055118110236227" top="0.78740157480314965" bottom="0.78740157480314965" header="0.51181102362204722" footer="0.51181102362204722"/>
  <pageSetup paperSize="9" scale="81" fitToHeight="0" orientation="portrait" horizontalDpi="4294967293" verticalDpi="4294967293" r:id="rId1"/>
  <headerFooter alignWithMargins="0">
    <oddHeader>&amp;L&amp;F&amp;C&amp;A</oddHeader>
    <oddFooter>&amp;P / &amp;N ページ</oddFooter>
  </headerFooter>
  <rowBreaks count="2" manualBreakCount="2">
    <brk id="65" max="12" man="1"/>
    <brk id="2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結果 (2)</vt:lpstr>
      <vt:lpstr>メイン</vt:lpstr>
      <vt:lpstr>結果(2-3ﾚｰﾀﾞｰ)</vt:lpstr>
      <vt:lpstr>旧結果</vt:lpstr>
      <vt:lpstr>結果(2-3SDGs)</vt:lpstr>
      <vt:lpstr>スコア</vt:lpstr>
      <vt:lpstr>配慮</vt:lpstr>
      <vt:lpstr>採点Q1</vt:lpstr>
      <vt:lpstr>採点Q2</vt:lpstr>
      <vt:lpstr>採点Q3</vt:lpstr>
      <vt:lpstr>採点LR1</vt:lpstr>
      <vt:lpstr>採点LR2</vt:lpstr>
      <vt:lpstr>採点LR3</vt:lpstr>
      <vt:lpstr>街区環境SDGsチェックリスト</vt:lpstr>
      <vt:lpstr>オフィス水計算シート</vt:lpstr>
      <vt:lpstr>店舗水計算シート</vt:lpstr>
      <vt:lpstr>クレジット</vt:lpstr>
      <vt:lpstr>オフィス水計算シート!Print_Area</vt:lpstr>
      <vt:lpstr>スコア!Print_Area</vt:lpstr>
      <vt:lpstr>メイン!Print_Area</vt:lpstr>
      <vt:lpstr>街区環境SDGsチェックリスト!Print_Area</vt:lpstr>
      <vt:lpstr>旧結果!Print_Area</vt:lpstr>
      <vt:lpstr>'結果 (2)'!Print_Area</vt:lpstr>
      <vt:lpstr>'結果(2-3SDGs)'!Print_Area</vt:lpstr>
      <vt:lpstr>'結果(2-3ﾚｰﾀﾞｰ)'!Print_Area</vt:lpstr>
      <vt:lpstr>採点LR1!Print_Area</vt:lpstr>
      <vt:lpstr>採点LR2!Print_Area</vt:lpstr>
      <vt:lpstr>採点LR3!Print_Area</vt:lpstr>
      <vt:lpstr>採点Q1!Print_Area</vt:lpstr>
      <vt:lpstr>採点Q2!Print_Area</vt:lpstr>
      <vt:lpstr>採点Q3!Print_Area</vt:lpstr>
      <vt:lpstr>店舗水計算シート!Print_Area</vt:lpstr>
      <vt:lpstr>街区環境SDGsチェックリスト!Print_Titles</vt:lpstr>
    </vt:vector>
  </TitlesOfParts>
  <Manager>IBEC</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CASBEE-UD_2022v1..0</dc:title>
  <dc:subject/>
  <dc:creator>JSBC</dc:creator>
  <cp:keywords/>
  <dc:description/>
  <cp:lastModifiedBy>Junko ENDO</cp:lastModifiedBy>
  <cp:revision/>
  <cp:lastPrinted>2024-08-05T02:29:56Z</cp:lastPrinted>
  <dcterms:created xsi:type="dcterms:W3CDTF">2003-08-12T12:24:47Z</dcterms:created>
  <dcterms:modified xsi:type="dcterms:W3CDTF">2024-08-05T02:34:25Z</dcterms:modified>
  <cp:category/>
  <cp:contentStatus/>
</cp:coreProperties>
</file>