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ibecsv2\jsbc研究開発部\02_LCCM住宅研究・開発委員会\1_LCCM評価ツール\＜低層共同住宅判定ツール＞\V2.0_低層共同住宅判定ツール\"/>
    </mc:Choice>
  </mc:AlternateContent>
  <xr:revisionPtr revIDLastSave="0" documentId="13_ncr:1_{34F35D12-765B-4C4E-94C3-8C8FF7CCA7BE}" xr6:coauthVersionLast="47" xr6:coauthVersionMax="47" xr10:uidLastSave="{00000000-0000-0000-0000-000000000000}"/>
  <workbookProtection workbookAlgorithmName="SHA-512" workbookHashValue="/3fx5zPAmt8sJ8YjRWQ2StLWoVWjekkSZA4zlSRwu40XDhI5Ts22u8DpIPWggV9P6+mJYOs3ygN6uiDIvEyFcw==" workbookSaltValue="1pXXXvm8wVNlf+LespNj9w==" workbookSpinCount="100000" lockStructure="1"/>
  <bookViews>
    <workbookView xWindow="3405" yWindow="945" windowWidth="21180" windowHeight="14100" tabRatio="835" firstSheet="1" activeTab="1" xr2:uid="{00000000-000D-0000-FFFF-FFFF00000000}"/>
  </bookViews>
  <sheets>
    <sheet name="CO2計算 (旧)" sheetId="34" state="hidden" r:id="rId1"/>
    <sheet name="判定" sheetId="36" r:id="rId2"/>
    <sheet name="CO2計算" sheetId="22" r:id="rId3"/>
    <sheet name="CO2データ_㎡" sheetId="30" r:id="rId4"/>
    <sheet name="CO2データ_戸" sheetId="38" r:id="rId5"/>
    <sheet name="クレジット" sheetId="37" r:id="rId6"/>
    <sheet name="電気排出係数" sheetId="31" state="hidden" r:id="rId7"/>
  </sheets>
  <definedNames>
    <definedName name="_xlnm.Print_Area" localSheetId="3">CO2データ_㎡!$A$1:$R$319</definedName>
    <definedName name="_xlnm.Print_Area" localSheetId="4">CO2データ_戸!$A$1:$R$276</definedName>
    <definedName name="_xlnm.Print_Area" localSheetId="2">CO2計算!$A$1:$Q$83</definedName>
    <definedName name="_xlnm.Print_Area" localSheetId="0">'CO2計算 (旧)'!$A$1:$Q$82</definedName>
    <definedName name="_xlnm.Print_Area" localSheetId="5">クレジット!$A$1:$S$37</definedName>
    <definedName name="_xlnm.Print_Area" localSheetId="1">判定!$A$1:$L$84</definedName>
    <definedName name="_xlnm.Print_Titles" localSheetId="2">CO2計算!$1:$4</definedName>
    <definedName name="_xlnm.Print_Titles" localSheetId="0">'CO2計算 (旧)'!$1:$4</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2" l="1"/>
  <c r="F11" i="22"/>
  <c r="I56" i="22" l="1"/>
  <c r="J56" i="22"/>
  <c r="G29" i="36" l="1"/>
  <c r="G28" i="36"/>
  <c r="N27" i="36"/>
  <c r="J25" i="36" s="1"/>
  <c r="G27" i="36"/>
  <c r="I71" i="22" l="1"/>
  <c r="J74" i="22" s="1"/>
  <c r="N105" i="30"/>
  <c r="M105" i="30"/>
  <c r="L105" i="30"/>
  <c r="N104" i="30"/>
  <c r="M104" i="30"/>
  <c r="L104" i="30"/>
  <c r="N103" i="30"/>
  <c r="M103" i="30"/>
  <c r="L103" i="30"/>
  <c r="N102" i="30"/>
  <c r="M102" i="30"/>
  <c r="L102" i="30"/>
  <c r="N101" i="30"/>
  <c r="M101" i="30"/>
  <c r="L101" i="30"/>
  <c r="N100" i="30"/>
  <c r="M100" i="30"/>
  <c r="L100" i="30"/>
  <c r="N99" i="30"/>
  <c r="M99" i="30"/>
  <c r="L99" i="30"/>
  <c r="N98" i="30"/>
  <c r="M98" i="30"/>
  <c r="L98" i="30"/>
  <c r="N97" i="30"/>
  <c r="M97" i="30"/>
  <c r="L97" i="30"/>
  <c r="N96" i="30"/>
  <c r="M96" i="30"/>
  <c r="L96" i="30"/>
  <c r="N95" i="30"/>
  <c r="M95" i="30"/>
  <c r="L95" i="30"/>
  <c r="N94" i="30"/>
  <c r="M94" i="30"/>
  <c r="L94" i="30"/>
  <c r="N93" i="30"/>
  <c r="M93" i="30"/>
  <c r="L93" i="30"/>
  <c r="N92" i="30"/>
  <c r="M92" i="30"/>
  <c r="L92" i="30"/>
  <c r="N91" i="30"/>
  <c r="M91" i="30"/>
  <c r="L91" i="30"/>
  <c r="N90" i="30"/>
  <c r="M90" i="30"/>
  <c r="L90" i="30"/>
  <c r="N89" i="30"/>
  <c r="M89" i="30"/>
  <c r="L89" i="30"/>
  <c r="N88" i="30"/>
  <c r="M88" i="30"/>
  <c r="L88" i="30"/>
  <c r="N87" i="30"/>
  <c r="M87" i="30"/>
  <c r="L87" i="30"/>
  <c r="N86" i="30"/>
  <c r="M86" i="30"/>
  <c r="L86" i="30"/>
  <c r="N85" i="30"/>
  <c r="M85" i="30"/>
  <c r="L85" i="30"/>
  <c r="N84" i="30"/>
  <c r="M84" i="30"/>
  <c r="L84" i="30"/>
  <c r="N83" i="30"/>
  <c r="M83" i="30"/>
  <c r="L83" i="30"/>
  <c r="N82" i="30"/>
  <c r="M82" i="30"/>
  <c r="L82" i="30"/>
  <c r="N81" i="30"/>
  <c r="M81" i="30"/>
  <c r="L81" i="30"/>
  <c r="N80" i="30"/>
  <c r="M80" i="30"/>
  <c r="L80" i="30"/>
  <c r="N79" i="30"/>
  <c r="M79" i="30"/>
  <c r="L79" i="30"/>
  <c r="N78" i="30"/>
  <c r="M78" i="30"/>
  <c r="L78" i="30"/>
  <c r="N77" i="30"/>
  <c r="M77" i="30"/>
  <c r="L77" i="30"/>
  <c r="N76" i="30"/>
  <c r="M76" i="30"/>
  <c r="L76" i="30"/>
  <c r="N75" i="30"/>
  <c r="M75" i="30"/>
  <c r="L75" i="30"/>
  <c r="N74" i="30"/>
  <c r="M74" i="30"/>
  <c r="L74" i="30"/>
  <c r="N73" i="30"/>
  <c r="M73" i="30"/>
  <c r="L73" i="30"/>
  <c r="N72" i="30"/>
  <c r="M72" i="30"/>
  <c r="L72" i="30"/>
  <c r="N71" i="30"/>
  <c r="M71" i="30"/>
  <c r="L71" i="30"/>
  <c r="N70" i="30"/>
  <c r="M70" i="30"/>
  <c r="L70" i="30"/>
  <c r="N69" i="30"/>
  <c r="M69" i="30"/>
  <c r="L69" i="30"/>
  <c r="N68" i="30"/>
  <c r="M68" i="30"/>
  <c r="L68" i="30"/>
  <c r="N67" i="30"/>
  <c r="M67" i="30"/>
  <c r="L67" i="30"/>
  <c r="N66" i="30"/>
  <c r="M66" i="30"/>
  <c r="L66" i="30"/>
  <c r="N65" i="30"/>
  <c r="M65" i="30"/>
  <c r="L65" i="30"/>
  <c r="N64" i="30"/>
  <c r="M64" i="30"/>
  <c r="L64" i="30"/>
  <c r="N63" i="30"/>
  <c r="M63" i="30"/>
  <c r="L63" i="30"/>
  <c r="N62" i="30"/>
  <c r="M62" i="30"/>
  <c r="L62" i="30"/>
  <c r="N61" i="30"/>
  <c r="M61" i="30"/>
  <c r="L61" i="30"/>
  <c r="N60" i="30"/>
  <c r="M60" i="30"/>
  <c r="L60" i="30"/>
  <c r="N59" i="30"/>
  <c r="M59" i="30"/>
  <c r="L59" i="30"/>
  <c r="N58" i="30"/>
  <c r="M58" i="30"/>
  <c r="L58" i="30"/>
  <c r="P39" i="22" l="1"/>
  <c r="P13" i="22"/>
  <c r="P12" i="22"/>
  <c r="P11" i="22"/>
  <c r="F259" i="38" l="1"/>
  <c r="E259" i="38"/>
  <c r="D259" i="38"/>
  <c r="G259" i="38" s="1"/>
  <c r="H259" i="38" s="1"/>
  <c r="AA242" i="38"/>
  <c r="Z242" i="38"/>
  <c r="Y242" i="38"/>
  <c r="X242" i="38"/>
  <c r="W242" i="38"/>
  <c r="V242" i="38"/>
  <c r="U242" i="38"/>
  <c r="T242" i="38"/>
  <c r="AA241" i="38"/>
  <c r="Z241" i="38"/>
  <c r="Y241" i="38"/>
  <c r="X241" i="38"/>
  <c r="W241" i="38"/>
  <c r="V241" i="38"/>
  <c r="U241" i="38"/>
  <c r="T241" i="38"/>
  <c r="I240" i="38"/>
  <c r="I255" i="38" s="1"/>
  <c r="K234" i="38"/>
  <c r="K233" i="38"/>
  <c r="K232" i="38"/>
  <c r="K231" i="38"/>
  <c r="K230" i="38"/>
  <c r="K229" i="38"/>
  <c r="M2" i="36"/>
  <c r="I259" i="38" l="1"/>
  <c r="G260" i="38"/>
  <c r="H260" i="38" s="1"/>
  <c r="I260" i="38" s="1"/>
  <c r="I244" i="38"/>
  <c r="I252" i="38"/>
  <c r="I241" i="38"/>
  <c r="I245" i="38"/>
  <c r="I249" i="38"/>
  <c r="I253" i="38"/>
  <c r="I257" i="38"/>
  <c r="I248" i="38"/>
  <c r="I256" i="38"/>
  <c r="I242" i="38"/>
  <c r="I246" i="38"/>
  <c r="I250" i="38"/>
  <c r="I254" i="38"/>
  <c r="I258" i="38"/>
  <c r="I243" i="38"/>
  <c r="I247" i="38"/>
  <c r="I251" i="38"/>
  <c r="F26" i="22" l="1"/>
  <c r="M1" i="36" l="1"/>
  <c r="R64" i="36" l="1"/>
  <c r="P65" i="36"/>
  <c r="Q80" i="36"/>
  <c r="P64" i="36"/>
  <c r="Q79" i="36" s="1"/>
  <c r="P63" i="36"/>
  <c r="N31" i="36" l="1"/>
  <c r="O31" i="36"/>
  <c r="P31" i="36"/>
  <c r="B2" i="22" l="1"/>
  <c r="Q82" i="36" l="1"/>
  <c r="R65" i="36"/>
  <c r="Q81" i="36"/>
  <c r="Q83" i="36" s="1"/>
  <c r="R63" i="36"/>
  <c r="O20" i="36"/>
  <c r="M20" i="36" s="1"/>
  <c r="F13" i="22" l="1"/>
  <c r="F12" i="22"/>
  <c r="R70" i="36"/>
  <c r="D69" i="36" s="1"/>
  <c r="R57" i="36"/>
  <c r="D56" i="36" s="1"/>
  <c r="O56" i="36" s="1"/>
  <c r="M56" i="36" s="1"/>
  <c r="R55" i="36"/>
  <c r="R54" i="36"/>
  <c r="R53" i="36"/>
  <c r="R49" i="36"/>
  <c r="P52" i="36"/>
  <c r="P49" i="36"/>
  <c r="O69" i="36" l="1"/>
  <c r="M69" i="36" s="1"/>
  <c r="R52" i="36"/>
  <c r="D51" i="36" s="1"/>
  <c r="O51" i="36" s="1"/>
  <c r="M51" i="36" s="1"/>
  <c r="D48" i="36"/>
  <c r="O48" i="36" s="1"/>
  <c r="M48" i="36" s="1"/>
  <c r="G11" i="22" l="1"/>
  <c r="G13" i="22"/>
  <c r="G12" i="22"/>
  <c r="D10" i="36" l="1"/>
  <c r="J10" i="36" s="1"/>
  <c r="E92" i="36"/>
  <c r="D92" i="36"/>
  <c r="P75" i="36"/>
  <c r="N20" i="36"/>
  <c r="L38" i="22" s="1"/>
  <c r="G56" i="22"/>
  <c r="P13" i="36"/>
  <c r="P12" i="36"/>
  <c r="P11" i="36"/>
  <c r="J11" i="36"/>
  <c r="M11" i="36" s="1"/>
  <c r="P10" i="36"/>
  <c r="P9" i="36"/>
  <c r="P6" i="36"/>
  <c r="B3" i="22"/>
  <c r="P5" i="36"/>
  <c r="P3" i="36"/>
  <c r="P2" i="36"/>
  <c r="F21" i="22" l="1"/>
  <c r="P65" i="22"/>
  <c r="B5" i="31"/>
  <c r="K218" i="38" s="1"/>
  <c r="M22" i="36"/>
  <c r="K26" i="22" s="1"/>
  <c r="C23" i="36" l="1"/>
  <c r="M10" i="36"/>
  <c r="F92" i="36" s="1"/>
  <c r="Q84" i="36"/>
  <c r="P87" i="36" s="1"/>
  <c r="P88" i="36"/>
  <c r="J27" i="22"/>
  <c r="E93" i="36" l="1"/>
  <c r="R88" i="36"/>
  <c r="F94" i="36" s="1"/>
  <c r="R87" i="36"/>
  <c r="E94" i="36"/>
  <c r="R90" i="36" l="1"/>
  <c r="F93" i="36"/>
  <c r="D91" i="36" s="1"/>
  <c r="K234" i="30" l="1"/>
  <c r="I58" i="30"/>
  <c r="J58" i="30"/>
  <c r="K58" i="30"/>
  <c r="O58" i="30"/>
  <c r="P58" i="30"/>
  <c r="Q58" i="30"/>
  <c r="I59" i="30"/>
  <c r="J59" i="30"/>
  <c r="K59" i="30"/>
  <c r="O59" i="30"/>
  <c r="P59" i="30"/>
  <c r="Q59" i="30"/>
  <c r="I60" i="30"/>
  <c r="J60" i="30"/>
  <c r="K60" i="30"/>
  <c r="O60" i="30"/>
  <c r="P60" i="30"/>
  <c r="Q60" i="30"/>
  <c r="I61" i="30"/>
  <c r="J61" i="30"/>
  <c r="K61" i="30"/>
  <c r="O61" i="30"/>
  <c r="P61" i="30"/>
  <c r="Q61" i="30"/>
  <c r="I62" i="30"/>
  <c r="J62" i="30"/>
  <c r="K62" i="30"/>
  <c r="O62" i="30"/>
  <c r="P62" i="30"/>
  <c r="Q62" i="30"/>
  <c r="I63" i="30"/>
  <c r="J63" i="30"/>
  <c r="K63" i="30"/>
  <c r="O63" i="30"/>
  <c r="P63" i="30"/>
  <c r="Q63" i="30"/>
  <c r="I64" i="30"/>
  <c r="J64" i="30"/>
  <c r="K64" i="30"/>
  <c r="O64" i="30"/>
  <c r="P64" i="30"/>
  <c r="Q64" i="30"/>
  <c r="I65" i="30"/>
  <c r="J65" i="30"/>
  <c r="K65" i="30"/>
  <c r="O65" i="30"/>
  <c r="P65" i="30"/>
  <c r="Q65" i="30"/>
  <c r="I66" i="30"/>
  <c r="J66" i="30"/>
  <c r="K66" i="30"/>
  <c r="O66" i="30"/>
  <c r="P66" i="30"/>
  <c r="Q66" i="30"/>
  <c r="I67" i="30"/>
  <c r="J67" i="30"/>
  <c r="K67" i="30"/>
  <c r="O67" i="30"/>
  <c r="P67" i="30"/>
  <c r="Q67" i="30"/>
  <c r="I68" i="30"/>
  <c r="J68" i="30"/>
  <c r="K68" i="30"/>
  <c r="O68" i="30"/>
  <c r="P68" i="30"/>
  <c r="Q68" i="30"/>
  <c r="I69" i="30"/>
  <c r="J69" i="30"/>
  <c r="K69" i="30"/>
  <c r="O69" i="30"/>
  <c r="P69" i="30"/>
  <c r="Q69" i="30"/>
  <c r="I70" i="30"/>
  <c r="J70" i="30"/>
  <c r="K70" i="30"/>
  <c r="O70" i="30"/>
  <c r="P70" i="30"/>
  <c r="Q70" i="30"/>
  <c r="I71" i="30"/>
  <c r="J71" i="30"/>
  <c r="K71" i="30"/>
  <c r="O71" i="30"/>
  <c r="P71" i="30"/>
  <c r="Q71" i="30"/>
  <c r="I72" i="30"/>
  <c r="J72" i="30"/>
  <c r="K72" i="30"/>
  <c r="O72" i="30"/>
  <c r="P72" i="30"/>
  <c r="Q72" i="30"/>
  <c r="I73" i="30"/>
  <c r="J73" i="30"/>
  <c r="K73" i="30"/>
  <c r="O73" i="30"/>
  <c r="P73" i="30"/>
  <c r="Q73" i="30"/>
  <c r="I74" i="30"/>
  <c r="J74" i="30"/>
  <c r="K74" i="30"/>
  <c r="O74" i="30"/>
  <c r="P74" i="30"/>
  <c r="Q74" i="30"/>
  <c r="I75" i="30"/>
  <c r="J75" i="30"/>
  <c r="K75" i="30"/>
  <c r="O75" i="30"/>
  <c r="P75" i="30"/>
  <c r="Q75" i="30"/>
  <c r="I76" i="30"/>
  <c r="J76" i="30"/>
  <c r="K76" i="30"/>
  <c r="O76" i="30"/>
  <c r="P76" i="30"/>
  <c r="Q76" i="30"/>
  <c r="I77" i="30"/>
  <c r="J77" i="30"/>
  <c r="K77" i="30"/>
  <c r="O77" i="30"/>
  <c r="P77" i="30"/>
  <c r="Q77" i="30"/>
  <c r="I78" i="30"/>
  <c r="J78" i="30"/>
  <c r="K78" i="30"/>
  <c r="O78" i="30"/>
  <c r="P78" i="30"/>
  <c r="Q78" i="30"/>
  <c r="I79" i="30"/>
  <c r="J79" i="30"/>
  <c r="K79" i="30"/>
  <c r="O79" i="30"/>
  <c r="P79" i="30"/>
  <c r="Q79" i="30"/>
  <c r="I80" i="30"/>
  <c r="J80" i="30"/>
  <c r="K80" i="30"/>
  <c r="O80" i="30"/>
  <c r="P80" i="30"/>
  <c r="Q80" i="30"/>
  <c r="I81" i="30"/>
  <c r="J81" i="30"/>
  <c r="K81" i="30"/>
  <c r="O81" i="30"/>
  <c r="P81" i="30"/>
  <c r="Q81" i="30"/>
  <c r="I82" i="30"/>
  <c r="J82" i="30"/>
  <c r="K82" i="30"/>
  <c r="O82" i="30"/>
  <c r="P82" i="30"/>
  <c r="Q82" i="30"/>
  <c r="I83" i="30"/>
  <c r="J83" i="30"/>
  <c r="K83" i="30"/>
  <c r="O83" i="30"/>
  <c r="P83" i="30"/>
  <c r="Q83" i="30"/>
  <c r="I84" i="30"/>
  <c r="J84" i="30"/>
  <c r="K84" i="30"/>
  <c r="O84" i="30"/>
  <c r="P84" i="30"/>
  <c r="Q84" i="30"/>
  <c r="I85" i="30"/>
  <c r="J85" i="30"/>
  <c r="K85" i="30"/>
  <c r="O85" i="30"/>
  <c r="P85" i="30"/>
  <c r="Q85" i="30"/>
  <c r="I86" i="30"/>
  <c r="J86" i="30"/>
  <c r="K86" i="30"/>
  <c r="O86" i="30"/>
  <c r="P86" i="30"/>
  <c r="Q86" i="30"/>
  <c r="I87" i="30"/>
  <c r="J87" i="30"/>
  <c r="K87" i="30"/>
  <c r="O87" i="30"/>
  <c r="P87" i="30"/>
  <c r="Q87" i="30"/>
  <c r="I88" i="30"/>
  <c r="P38" i="22" s="1"/>
  <c r="J88" i="30"/>
  <c r="K88" i="30"/>
  <c r="O88" i="30"/>
  <c r="P40" i="22" s="1"/>
  <c r="P88" i="30"/>
  <c r="Q88" i="30"/>
  <c r="I89" i="30"/>
  <c r="J89" i="30"/>
  <c r="K89" i="30"/>
  <c r="O89" i="30"/>
  <c r="P89" i="30"/>
  <c r="Q89" i="30"/>
  <c r="I90" i="30"/>
  <c r="J90" i="30"/>
  <c r="K90" i="30"/>
  <c r="O90" i="30"/>
  <c r="P90" i="30"/>
  <c r="Q90" i="30"/>
  <c r="I91" i="30"/>
  <c r="J91" i="30"/>
  <c r="K91" i="30"/>
  <c r="O91" i="30"/>
  <c r="P91" i="30"/>
  <c r="Q91" i="30"/>
  <c r="I92" i="30"/>
  <c r="J92" i="30"/>
  <c r="K92" i="30"/>
  <c r="O92" i="30"/>
  <c r="P92" i="30"/>
  <c r="Q92" i="30"/>
  <c r="I93" i="30"/>
  <c r="J93" i="30"/>
  <c r="K93" i="30"/>
  <c r="O93" i="30"/>
  <c r="P93" i="30"/>
  <c r="Q93" i="30"/>
  <c r="I94" i="30"/>
  <c r="J94" i="30"/>
  <c r="K94" i="30"/>
  <c r="O94" i="30"/>
  <c r="P94" i="30"/>
  <c r="Q94" i="30"/>
  <c r="I95" i="30"/>
  <c r="J95" i="30"/>
  <c r="K95" i="30"/>
  <c r="O95" i="30"/>
  <c r="P95" i="30"/>
  <c r="Q95" i="30"/>
  <c r="I96" i="30"/>
  <c r="J96" i="30"/>
  <c r="K96" i="30"/>
  <c r="O96" i="30"/>
  <c r="P96" i="30"/>
  <c r="Q96" i="30"/>
  <c r="I97" i="30"/>
  <c r="J97" i="30"/>
  <c r="K97" i="30"/>
  <c r="O97" i="30"/>
  <c r="P97" i="30"/>
  <c r="Q97" i="30"/>
  <c r="I98" i="30"/>
  <c r="J98" i="30"/>
  <c r="K98" i="30"/>
  <c r="O98" i="30"/>
  <c r="P98" i="30"/>
  <c r="Q98" i="30"/>
  <c r="I99" i="30"/>
  <c r="J99" i="30"/>
  <c r="K99" i="30"/>
  <c r="O99" i="30"/>
  <c r="P99" i="30"/>
  <c r="Q99" i="30"/>
  <c r="I100" i="30"/>
  <c r="J100" i="30"/>
  <c r="K100" i="30"/>
  <c r="O100" i="30"/>
  <c r="P100" i="30"/>
  <c r="Q100" i="30"/>
  <c r="I101" i="30"/>
  <c r="J101" i="30"/>
  <c r="K101" i="30"/>
  <c r="O101" i="30"/>
  <c r="P101" i="30"/>
  <c r="Q101" i="30"/>
  <c r="I102" i="30"/>
  <c r="J102" i="30"/>
  <c r="K102" i="30"/>
  <c r="O102" i="30"/>
  <c r="P102" i="30"/>
  <c r="Q102" i="30"/>
  <c r="I103" i="30"/>
  <c r="J103" i="30"/>
  <c r="K103" i="30"/>
  <c r="O103" i="30"/>
  <c r="P103" i="30"/>
  <c r="Q103" i="30"/>
  <c r="I104" i="30"/>
  <c r="J104" i="30"/>
  <c r="K104" i="30"/>
  <c r="O104" i="30"/>
  <c r="P104" i="30"/>
  <c r="Q104" i="30"/>
  <c r="I105" i="30"/>
  <c r="J105" i="30"/>
  <c r="K105" i="30"/>
  <c r="O105" i="30"/>
  <c r="P105" i="30"/>
  <c r="Q105" i="30"/>
  <c r="B22" i="31" l="1"/>
  <c r="D14" i="36" s="1"/>
  <c r="D22" i="31"/>
  <c r="I70" i="34" l="1"/>
  <c r="M67" i="34"/>
  <c r="P64" i="34"/>
  <c r="J55" i="34"/>
  <c r="I55" i="34"/>
  <c r="G55" i="34"/>
  <c r="G73" i="34" s="1"/>
  <c r="I47" i="34"/>
  <c r="F47" i="34"/>
  <c r="I46" i="34"/>
  <c r="F46" i="34"/>
  <c r="I45" i="34"/>
  <c r="F45" i="34"/>
  <c r="I44" i="34"/>
  <c r="F44" i="34"/>
  <c r="F42" i="34"/>
  <c r="P39" i="34"/>
  <c r="P38" i="34"/>
  <c r="P37" i="34"/>
  <c r="P32" i="34"/>
  <c r="K32" i="34"/>
  <c r="J32" i="34"/>
  <c r="I32" i="34"/>
  <c r="I28" i="34"/>
  <c r="F28" i="34"/>
  <c r="I27" i="34"/>
  <c r="F27" i="34"/>
  <c r="I26" i="34"/>
  <c r="F26" i="34"/>
  <c r="I25" i="34"/>
  <c r="F25" i="34"/>
  <c r="F23" i="34"/>
  <c r="K22" i="34"/>
  <c r="J22" i="34"/>
  <c r="I22" i="34"/>
  <c r="P13" i="34"/>
  <c r="G13" i="34"/>
  <c r="G39" i="34" s="1"/>
  <c r="P12" i="34"/>
  <c r="G12" i="34"/>
  <c r="G38" i="34" s="1"/>
  <c r="P11" i="34"/>
  <c r="G11" i="34"/>
  <c r="G37" i="34" s="1"/>
  <c r="N3" i="34"/>
  <c r="B3" i="34"/>
  <c r="N2" i="34"/>
  <c r="B2" i="34"/>
  <c r="P30" i="34" l="1"/>
  <c r="P77" i="34" s="1"/>
  <c r="P49" i="34"/>
  <c r="P78" i="34" s="1"/>
  <c r="F259" i="30" l="1"/>
  <c r="AA242" i="30" l="1"/>
  <c r="Z242" i="30"/>
  <c r="Y242" i="30"/>
  <c r="X242" i="30"/>
  <c r="W242" i="30"/>
  <c r="V242" i="30"/>
  <c r="U242" i="30"/>
  <c r="T242" i="30"/>
  <c r="U241" i="30"/>
  <c r="V241" i="30"/>
  <c r="W241" i="30"/>
  <c r="X241" i="30"/>
  <c r="Y241" i="30"/>
  <c r="Z241" i="30"/>
  <c r="AA241" i="30"/>
  <c r="T241" i="30"/>
  <c r="J28" i="22" l="1"/>
  <c r="J29" i="22"/>
  <c r="I46" i="22"/>
  <c r="I47" i="22"/>
  <c r="I48" i="22"/>
  <c r="I45" i="22"/>
  <c r="F43" i="22"/>
  <c r="J23" i="22"/>
  <c r="K23" i="22"/>
  <c r="I23" i="22"/>
  <c r="G74" i="22" l="1"/>
  <c r="E259" i="30"/>
  <c r="D259" i="30"/>
  <c r="I240" i="30"/>
  <c r="G259" i="30" l="1"/>
  <c r="H259" i="30" s="1"/>
  <c r="I259" i="30" s="1"/>
  <c r="J59" i="34" s="1"/>
  <c r="J73" i="34" s="1"/>
  <c r="I242" i="30"/>
  <c r="I253" i="30"/>
  <c r="I252" i="30"/>
  <c r="I245" i="30"/>
  <c r="I244" i="30"/>
  <c r="I257" i="30"/>
  <c r="I249" i="30"/>
  <c r="I256" i="30"/>
  <c r="I248" i="30"/>
  <c r="G260" i="30"/>
  <c r="H260" i="30" s="1"/>
  <c r="I241" i="30"/>
  <c r="I255" i="30"/>
  <c r="I251" i="30"/>
  <c r="I247" i="30"/>
  <c r="I243" i="30"/>
  <c r="I258" i="30"/>
  <c r="I254" i="30"/>
  <c r="I250" i="30"/>
  <c r="I246" i="30"/>
  <c r="I260" i="30" l="1"/>
  <c r="J60" i="22"/>
  <c r="K229" i="30"/>
  <c r="K230" i="30"/>
  <c r="K231" i="30"/>
  <c r="K232" i="30"/>
  <c r="K233" i="30"/>
  <c r="I60" i="22" l="1"/>
  <c r="I59" i="34"/>
  <c r="E18" i="31"/>
  <c r="D18" i="31"/>
  <c r="E17" i="31"/>
  <c r="D17" i="31"/>
  <c r="E16" i="31"/>
  <c r="D16" i="31"/>
  <c r="E15" i="31"/>
  <c r="D15" i="31"/>
  <c r="E14" i="31"/>
  <c r="D14" i="31"/>
  <c r="E13" i="31"/>
  <c r="D13" i="31"/>
  <c r="E12" i="31"/>
  <c r="D12" i="31"/>
  <c r="E11" i="31"/>
  <c r="D11" i="31"/>
  <c r="E10" i="31"/>
  <c r="D10" i="31"/>
  <c r="D9" i="31"/>
  <c r="E9" i="31"/>
  <c r="M68" i="22"/>
  <c r="G38" i="22"/>
  <c r="G39" i="22"/>
  <c r="G40" i="22"/>
  <c r="E19" i="31"/>
  <c r="D19" i="31"/>
  <c r="P33" i="22"/>
  <c r="K33" i="22"/>
  <c r="J33" i="22"/>
  <c r="I33" i="22"/>
  <c r="N48" i="36"/>
  <c r="L14" i="22" s="1"/>
  <c r="N51" i="36"/>
  <c r="L15" i="22" s="1"/>
  <c r="N56" i="36"/>
  <c r="L17" i="22" s="1"/>
  <c r="N69" i="36" l="1"/>
  <c r="L63" i="22" s="1"/>
  <c r="R38" i="22"/>
  <c r="L37" i="34"/>
  <c r="D5" i="31"/>
  <c r="J218" i="38" s="1"/>
  <c r="J219" i="38" s="1"/>
  <c r="K228" i="38" s="1"/>
  <c r="K236" i="38" s="1"/>
  <c r="P50" i="22"/>
  <c r="P79" i="22" s="1"/>
  <c r="J79" i="36" s="1"/>
  <c r="E5" i="31"/>
  <c r="O218" i="38" s="1"/>
  <c r="K218" i="30"/>
  <c r="L15" i="34"/>
  <c r="L33" i="22"/>
  <c r="M33" i="22" s="1"/>
  <c r="L11" i="22"/>
  <c r="L13" i="22" s="1"/>
  <c r="L39" i="22"/>
  <c r="L40" i="22"/>
  <c r="L14" i="34"/>
  <c r="L17" i="34"/>
  <c r="P31" i="22"/>
  <c r="P78" i="22" s="1"/>
  <c r="J78" i="36" s="1"/>
  <c r="I38" i="22" l="1"/>
  <c r="J38" i="22"/>
  <c r="K38" i="22"/>
  <c r="E14" i="36"/>
  <c r="R37" i="34"/>
  <c r="R11" i="34" s="1"/>
  <c r="L23" i="22"/>
  <c r="M23" i="22" s="1"/>
  <c r="J45" i="22" s="1"/>
  <c r="S72" i="34"/>
  <c r="L39" i="34"/>
  <c r="L11" i="34"/>
  <c r="L32" i="34"/>
  <c r="M32" i="34" s="1"/>
  <c r="L38" i="34"/>
  <c r="J218" i="30"/>
  <c r="J219" i="30" s="1"/>
  <c r="K228" i="30" s="1"/>
  <c r="K236" i="30" s="1"/>
  <c r="S73" i="22"/>
  <c r="O218" i="30"/>
  <c r="L62" i="34"/>
  <c r="M62" i="34" s="1"/>
  <c r="M64" i="34" s="1"/>
  <c r="L12" i="22"/>
  <c r="K45" i="22" l="1"/>
  <c r="M45" i="22" s="1"/>
  <c r="R38" i="34"/>
  <c r="R39" i="34" s="1"/>
  <c r="J37" i="34"/>
  <c r="I37" i="34"/>
  <c r="K37" i="34"/>
  <c r="J46" i="22"/>
  <c r="K46" i="22" s="1"/>
  <c r="M46" i="22" s="1"/>
  <c r="R13" i="34"/>
  <c r="I11" i="34"/>
  <c r="R12" i="34"/>
  <c r="J11" i="34"/>
  <c r="K11" i="34"/>
  <c r="J47" i="22"/>
  <c r="K47" i="22" s="1"/>
  <c r="M47" i="22" s="1"/>
  <c r="J48" i="22"/>
  <c r="K48" i="22" s="1"/>
  <c r="M48" i="22" s="1"/>
  <c r="K55" i="34"/>
  <c r="K73" i="34" s="1"/>
  <c r="M73" i="34" s="1"/>
  <c r="M69" i="34" s="1"/>
  <c r="M79" i="34" s="1"/>
  <c r="I26" i="22"/>
  <c r="K56" i="22"/>
  <c r="L22" i="34"/>
  <c r="M22" i="34" s="1"/>
  <c r="L13" i="34"/>
  <c r="L12" i="34"/>
  <c r="M63" i="22"/>
  <c r="M65" i="22" s="1"/>
  <c r="K74" i="22" l="1"/>
  <c r="M74" i="22" s="1"/>
  <c r="M70" i="22" s="1"/>
  <c r="M80" i="22" s="1"/>
  <c r="I80" i="36" s="1"/>
  <c r="P56" i="22"/>
  <c r="P53" i="22" s="1"/>
  <c r="M56" i="22"/>
  <c r="M53" i="22" s="1"/>
  <c r="J26" i="22"/>
  <c r="M26" i="22" s="1"/>
  <c r="I38" i="34"/>
  <c r="K38" i="34"/>
  <c r="J38" i="34"/>
  <c r="M11" i="34"/>
  <c r="M37" i="34"/>
  <c r="M38" i="34"/>
  <c r="K60" i="22"/>
  <c r="P60" i="22" s="1"/>
  <c r="P55" i="34"/>
  <c r="P52" i="34" s="1"/>
  <c r="P79" i="34" s="1"/>
  <c r="P80" i="34" s="1"/>
  <c r="K59" i="34"/>
  <c r="M59" i="34" s="1"/>
  <c r="M55" i="34"/>
  <c r="J39" i="34"/>
  <c r="K39" i="34"/>
  <c r="I39" i="34"/>
  <c r="J13" i="34"/>
  <c r="I13" i="34"/>
  <c r="K13" i="34"/>
  <c r="M13" i="34" s="1"/>
  <c r="K12" i="34"/>
  <c r="M12" i="34" s="1"/>
  <c r="J12" i="34"/>
  <c r="I12" i="34"/>
  <c r="M28" i="34"/>
  <c r="M25" i="34"/>
  <c r="M27" i="34"/>
  <c r="J44" i="34"/>
  <c r="K44" i="34" s="1"/>
  <c r="M44" i="34" s="1"/>
  <c r="J46" i="34"/>
  <c r="K46" i="34" s="1"/>
  <c r="M46" i="34" s="1"/>
  <c r="J45" i="34"/>
  <c r="K45" i="34" s="1"/>
  <c r="M45" i="34" s="1"/>
  <c r="J47" i="34"/>
  <c r="K47" i="34" s="1"/>
  <c r="M47" i="34" s="1"/>
  <c r="M26" i="34"/>
  <c r="R11" i="22"/>
  <c r="R39" i="22"/>
  <c r="J39" i="22" l="1"/>
  <c r="I39" i="22"/>
  <c r="K39" i="22"/>
  <c r="K11" i="22"/>
  <c r="J11" i="22"/>
  <c r="I11" i="22"/>
  <c r="M39" i="34"/>
  <c r="M49" i="34" s="1"/>
  <c r="M78" i="34" s="1"/>
  <c r="M38" i="22"/>
  <c r="P59" i="34"/>
  <c r="M60" i="22"/>
  <c r="M52" i="34"/>
  <c r="M30" i="34"/>
  <c r="M77" i="34" s="1"/>
  <c r="P80" i="22"/>
  <c r="J80" i="36" s="1"/>
  <c r="R12" i="22"/>
  <c r="R13" i="22"/>
  <c r="R40" i="22"/>
  <c r="J40" i="22" s="1"/>
  <c r="K40" i="22" l="1"/>
  <c r="I40" i="22"/>
  <c r="I13" i="22"/>
  <c r="J13" i="22"/>
  <c r="K13" i="22"/>
  <c r="K12" i="22"/>
  <c r="J12" i="22"/>
  <c r="M80" i="34"/>
  <c r="M11" i="22"/>
  <c r="M39" i="22"/>
  <c r="P81" i="22"/>
  <c r="J81" i="36" s="1"/>
  <c r="M13" i="22" l="1"/>
  <c r="M12" i="22"/>
  <c r="M40" i="22"/>
  <c r="M50" i="22" s="1"/>
  <c r="M31" i="22" l="1"/>
  <c r="M79" i="22"/>
  <c r="I79" i="36" s="1"/>
  <c r="M78" i="22" l="1"/>
  <c r="I78" i="36" s="1"/>
  <c r="M30" i="22"/>
  <c r="M81" i="22" l="1"/>
  <c r="I81" i="36" s="1"/>
  <c r="I82" i="36" l="1"/>
  <c r="P76" i="36" s="1"/>
  <c r="P77" i="36" s="1"/>
  <c r="B77"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s>
  <commentList>
    <comment ref="H13" authorId="0" shapeId="0" xr:uid="{00000000-0006-0000-0100-000001000000}">
      <text>
        <r>
          <rPr>
            <sz val="9"/>
            <color indexed="81"/>
            <rFont val="ＭＳ Ｐゴシック"/>
            <family val="3"/>
            <charset val="128"/>
          </rPr>
          <t>2010/7/29等と入力して下さい。2010年7月29日と表示されます。</t>
        </r>
      </text>
    </comment>
  </commentList>
</comments>
</file>

<file path=xl/sharedStrings.xml><?xml version="1.0" encoding="utf-8"?>
<sst xmlns="http://schemas.openxmlformats.org/spreadsheetml/2006/main" count="1562" uniqueCount="406">
  <si>
    <t>■使用評価マニュアル：</t>
    <rPh sb="1" eb="3">
      <t>シヨウ</t>
    </rPh>
    <rPh sb="3" eb="5">
      <t>ヒョウカ</t>
    </rPh>
    <phoneticPr fontId="4"/>
  </si>
  <si>
    <t>■評価ソフト：</t>
    <rPh sb="1" eb="3">
      <t>ヒョウカ</t>
    </rPh>
    <phoneticPr fontId="4"/>
  </si>
  <si>
    <r>
      <t>ライフサイクルCO</t>
    </r>
    <r>
      <rPr>
        <b/>
        <vertAlign val="subscript"/>
        <sz val="12"/>
        <color indexed="9"/>
        <rFont val="ＭＳ Ｐゴシック"/>
        <family val="3"/>
        <charset val="128"/>
      </rPr>
      <t>2</t>
    </r>
    <r>
      <rPr>
        <b/>
        <sz val="12"/>
        <color indexed="9"/>
        <rFont val="ＭＳ Ｐゴシック"/>
        <family val="3"/>
        <charset val="128"/>
      </rPr>
      <t>計算シート（戸建標準計算用）</t>
    </r>
    <rPh sb="10" eb="12">
      <t>ケイサン</t>
    </rPh>
    <rPh sb="16" eb="18">
      <t>コダテ</t>
    </rPh>
    <rPh sb="18" eb="20">
      <t>ヒョウジュン</t>
    </rPh>
    <rPh sb="20" eb="22">
      <t>ケイサン</t>
    </rPh>
    <rPh sb="22" eb="23">
      <t>ヨウ</t>
    </rPh>
    <phoneticPr fontId="4"/>
  </si>
  <si>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</si>
  <si>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</si>
  <si>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4"/>
  </si>
  <si>
    <r>
      <t>Q</t>
    </r>
    <r>
      <rPr>
        <vertAlign val="subscript"/>
        <sz val="10"/>
        <rFont val="ＭＳ Ｐゴシック"/>
        <family val="3"/>
        <charset val="128"/>
      </rPr>
      <t>H</t>
    </r>
    <r>
      <rPr>
        <sz val="10"/>
        <rFont val="ＭＳ Ｐゴシック"/>
        <family val="3"/>
        <charset val="128"/>
      </rPr>
      <t>2</t>
    </r>
    <phoneticPr fontId="4"/>
  </si>
  <si>
    <t>長く使い続ける</t>
  </si>
  <si>
    <t>評価対象</t>
    <rPh sb="0" eb="2">
      <t>ヒョウカ</t>
    </rPh>
    <rPh sb="2" eb="4">
      <t>タイショウ</t>
    </rPh>
    <phoneticPr fontId="4"/>
  </si>
  <si>
    <t>参照値</t>
    <rPh sb="0" eb="2">
      <t>サンショウ</t>
    </rPh>
    <rPh sb="2" eb="3">
      <t>チ</t>
    </rPh>
    <phoneticPr fontId="4"/>
  </si>
  <si>
    <t>長寿命に対する基本性能</t>
  </si>
  <si>
    <t>構造の比率</t>
    <rPh sb="0" eb="2">
      <t>コウゾウ</t>
    </rPh>
    <rPh sb="3" eb="5">
      <t>ヒリツ</t>
    </rPh>
    <phoneticPr fontId="4"/>
  </si>
  <si>
    <t>ﾚﾍﾞﾙ３</t>
  </si>
  <si>
    <t>ﾚﾍﾞﾙ４</t>
  </si>
  <si>
    <t>ﾚﾍﾞﾙ５</t>
  </si>
  <si>
    <t>採点結果</t>
    <rPh sb="0" eb="2">
      <t>サイテン</t>
    </rPh>
    <rPh sb="2" eb="4">
      <t>ケッカ</t>
    </rPh>
    <phoneticPr fontId="4"/>
  </si>
  <si>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4"/>
  </si>
  <si>
    <t>躯体</t>
  </si>
  <si>
    <t>木質系</t>
    <rPh sb="0" eb="2">
      <t>モクシツ</t>
    </rPh>
    <rPh sb="2" eb="3">
      <t>ケイ</t>
    </rPh>
    <phoneticPr fontId="4"/>
  </si>
  <si>
    <t>鉄骨系</t>
    <rPh sb="0" eb="2">
      <t>テッコツ</t>
    </rPh>
    <rPh sb="2" eb="3">
      <t>ケイ</t>
    </rPh>
    <phoneticPr fontId="4"/>
  </si>
  <si>
    <t>コンクリート系</t>
    <rPh sb="6" eb="7">
      <t>ケイ</t>
    </rPh>
    <phoneticPr fontId="4"/>
  </si>
  <si>
    <t>外壁材</t>
  </si>
  <si>
    <t>屋根材、陸屋根</t>
    <phoneticPr fontId="4"/>
  </si>
  <si>
    <t>維持管理</t>
  </si>
  <si>
    <t>維持管理の計画・体制</t>
    <rPh sb="5" eb="7">
      <t>ケイカク</t>
    </rPh>
    <phoneticPr fontId="4"/>
  </si>
  <si>
    <t>1-2.　導入設備に係るCO2排出量</t>
    <rPh sb="5" eb="7">
      <t>ドウニュウ</t>
    </rPh>
    <rPh sb="7" eb="9">
      <t>セツビ</t>
    </rPh>
    <rPh sb="10" eb="11">
      <t>カカ</t>
    </rPh>
    <rPh sb="15" eb="17">
      <t>ハイシュツ</t>
    </rPh>
    <rPh sb="17" eb="18">
      <t>リョウ</t>
    </rPh>
    <phoneticPr fontId="4"/>
  </si>
  <si>
    <t>寿命</t>
    <rPh sb="0" eb="2">
      <t>ジュミョウ</t>
    </rPh>
    <phoneticPr fontId="4"/>
  </si>
  <si>
    <t>躯体・基礎の寿命（年）</t>
    <rPh sb="0" eb="2">
      <t>クタイ</t>
    </rPh>
    <rPh sb="3" eb="5">
      <t>キソ</t>
    </rPh>
    <rPh sb="6" eb="8">
      <t>ジュミョウ</t>
    </rPh>
    <rPh sb="9" eb="10">
      <t>ネン</t>
    </rPh>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</si>
  <si>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4"/>
  </si>
  <si>
    <t>床面積</t>
    <rPh sb="0" eb="3">
      <t>ユカメンセキ</t>
    </rPh>
    <phoneticPr fontId="4"/>
  </si>
  <si>
    <t>㎡</t>
    <phoneticPr fontId="4"/>
  </si>
  <si>
    <t>導入重量　kg</t>
    <rPh sb="0" eb="2">
      <t>ドウニュウ</t>
    </rPh>
    <rPh sb="2" eb="4">
      <t>ジュウリョウ</t>
    </rPh>
    <phoneticPr fontId="4"/>
  </si>
  <si>
    <t>CO2原単位　kg-CO2/kg</t>
    <rPh sb="3" eb="6">
      <t>ゲンタンイ</t>
    </rPh>
    <phoneticPr fontId="4"/>
  </si>
  <si>
    <t>太陽光パネル</t>
    <rPh sb="0" eb="3">
      <t>タイヨウコウ</t>
    </rPh>
    <phoneticPr fontId="4"/>
  </si>
  <si>
    <t>太陽熱給湯器</t>
    <rPh sb="0" eb="3">
      <t>タイヨウネツ</t>
    </rPh>
    <rPh sb="3" eb="6">
      <t>キュウトウキ</t>
    </rPh>
    <phoneticPr fontId="4"/>
  </si>
  <si>
    <t>燃料電池</t>
    <rPh sb="0" eb="2">
      <t>ネンリョウ</t>
    </rPh>
    <rPh sb="2" eb="4">
      <t>デンチ</t>
    </rPh>
    <phoneticPr fontId="4"/>
  </si>
  <si>
    <t>エコキュート</t>
  </si>
  <si>
    <t>1-2.　合計の計算</t>
    <rPh sb="5" eb="7">
      <t>ゴウケイ</t>
    </rPh>
    <rPh sb="8" eb="10">
      <t>ケイサン</t>
    </rPh>
    <phoneticPr fontId="4"/>
  </si>
  <si>
    <t>建物寿命</t>
    <rPh sb="0" eb="2">
      <t>タテモノ</t>
    </rPh>
    <rPh sb="2" eb="4">
      <t>ジュミョウ</t>
    </rPh>
    <phoneticPr fontId="4"/>
  </si>
  <si>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</si>
  <si>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</si>
  <si>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t>2-2.　導入設備に係るCO2排出量</t>
    <rPh sb="5" eb="7">
      <t>ドウニュウ</t>
    </rPh>
    <rPh sb="7" eb="9">
      <t>セツビ</t>
    </rPh>
    <rPh sb="10" eb="11">
      <t>カカ</t>
    </rPh>
    <rPh sb="15" eb="17">
      <t>ハイシュツ</t>
    </rPh>
    <rPh sb="17" eb="18">
      <t>リョウ</t>
    </rPh>
    <phoneticPr fontId="4"/>
  </si>
  <si>
    <t>設備の更新周期</t>
    <rPh sb="0" eb="2">
      <t>セツビ</t>
    </rPh>
    <rPh sb="3" eb="5">
      <t>コウシン</t>
    </rPh>
    <rPh sb="5" eb="7">
      <t>シュウキ</t>
    </rPh>
    <phoneticPr fontId="4"/>
  </si>
  <si>
    <t>年</t>
    <rPh sb="0" eb="1">
      <t>ネン</t>
    </rPh>
    <phoneticPr fontId="4"/>
  </si>
  <si>
    <t>kg-CO2/kg</t>
  </si>
  <si>
    <t>更新回数</t>
    <rPh sb="0" eb="2">
      <t>コウシン</t>
    </rPh>
    <rPh sb="2" eb="4">
      <t>カイスウ</t>
    </rPh>
    <phoneticPr fontId="4"/>
  </si>
  <si>
    <t>更新に伴うCO2排出量</t>
    <rPh sb="0" eb="2">
      <t>コウシン</t>
    </rPh>
    <rPh sb="3" eb="4">
      <t>トモナ</t>
    </rPh>
    <rPh sb="8" eb="10">
      <t>ハイシュツ</t>
    </rPh>
    <rPh sb="10" eb="11">
      <t>リョウ</t>
    </rPh>
    <phoneticPr fontId="4"/>
  </si>
  <si>
    <t>kg-CO2</t>
    <phoneticPr fontId="4"/>
  </si>
  <si>
    <t>2-2.　合計の計算</t>
    <rPh sb="5" eb="7">
      <t>ゴウケイ</t>
    </rPh>
    <rPh sb="8" eb="10">
      <t>ケイサン</t>
    </rPh>
    <phoneticPr fontId="4"/>
  </si>
  <si>
    <r>
      <t>3.　居住時のエネルギーに係るCO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カカ</t>
    </rPh>
    <rPh sb="18" eb="20">
      <t>ハイシュツ</t>
    </rPh>
    <rPh sb="20" eb="21">
      <t>リョウ</t>
    </rPh>
    <phoneticPr fontId="4"/>
  </si>
  <si>
    <t>3-1.　建築物の取組み（②）</t>
    <phoneticPr fontId="4"/>
  </si>
  <si>
    <t>評価対象（②）</t>
    <phoneticPr fontId="4"/>
  </si>
  <si>
    <t>参照値（①）</t>
    <phoneticPr fontId="4"/>
  </si>
  <si>
    <t>一次エネ消費量　MJ/年</t>
    <phoneticPr fontId="4"/>
  </si>
  <si>
    <r>
      <t>CO</t>
    </r>
    <r>
      <rPr>
        <vertAlign val="subscript"/>
        <sz val="10"/>
        <rFont val="ＭＳ Ｐゴシック"/>
        <family val="3"/>
        <charset val="128"/>
      </rPr>
      <t>2</t>
    </r>
    <r>
      <rPr>
        <sz val="10"/>
        <rFont val="ＭＳ Ｐゴシック"/>
        <family val="3"/>
        <charset val="128"/>
      </rPr>
      <t>換算係数</t>
    </r>
    <rPh sb="3" eb="5">
      <t>カンサン</t>
    </rPh>
    <rPh sb="5" eb="7">
      <t>ケイスウ</t>
    </rPh>
    <phoneticPr fontId="4"/>
  </si>
  <si>
    <r>
      <t>m</t>
    </r>
    <r>
      <rPr>
        <vertAlign val="superscript"/>
        <sz val="10"/>
        <rFont val="ＭＳ Ｐゴシック"/>
        <family val="3"/>
        <charset val="128"/>
      </rPr>
      <t>2</t>
    </r>
    <phoneticPr fontId="4"/>
  </si>
  <si>
    <t>参照建物①</t>
    <rPh sb="0" eb="2">
      <t>サンショウ</t>
    </rPh>
    <rPh sb="2" eb="4">
      <t>タテモノ</t>
    </rPh>
    <phoneticPr fontId="4"/>
  </si>
  <si>
    <t>評価建物②</t>
    <rPh sb="0" eb="2">
      <t>ヒョウカ</t>
    </rPh>
    <rPh sb="2" eb="4">
      <t>タテモノ</t>
    </rPh>
    <phoneticPr fontId="4"/>
  </si>
  <si>
    <r>
      <t>kg-CO</t>
    </r>
    <r>
      <rPr>
        <vertAlign val="subscript"/>
        <sz val="10"/>
        <rFont val="ＭＳ Ｐゴシック"/>
        <family val="3"/>
        <charset val="128"/>
      </rPr>
      <t>2</t>
    </r>
    <r>
      <rPr>
        <sz val="10"/>
        <rFont val="ＭＳ Ｐゴシック"/>
        <family val="3"/>
        <charset val="128"/>
      </rPr>
      <t>/MJ</t>
    </r>
    <phoneticPr fontId="4"/>
  </si>
  <si>
    <r>
      <t>LR</t>
    </r>
    <r>
      <rPr>
        <vertAlign val="subscript"/>
        <sz val="10"/>
        <rFont val="ＭＳ Ｐゴシック"/>
        <family val="3"/>
        <charset val="128"/>
      </rPr>
      <t>H</t>
    </r>
    <r>
      <rPr>
        <sz val="10"/>
        <rFont val="ＭＳ Ｐゴシック"/>
        <family val="3"/>
        <charset val="128"/>
      </rPr>
      <t>1.1.1　総合的な省エネ</t>
    </r>
    <phoneticPr fontId="4"/>
  </si>
  <si>
    <r>
      <t>MJ/年m</t>
    </r>
    <r>
      <rPr>
        <vertAlign val="superscript"/>
        <sz val="10"/>
        <rFont val="ＭＳ Ｐゴシック"/>
        <family val="3"/>
        <charset val="128"/>
      </rPr>
      <t>2</t>
    </r>
    <rPh sb="3" eb="4">
      <t>ネン</t>
    </rPh>
    <phoneticPr fontId="4"/>
  </si>
  <si>
    <r>
      <t>仕様基準でLR</t>
    </r>
    <r>
      <rPr>
        <vertAlign val="subscript"/>
        <sz val="10"/>
        <rFont val="ＭＳ Ｐゴシック"/>
        <family val="3"/>
        <charset val="128"/>
      </rPr>
      <t>H</t>
    </r>
    <r>
      <rPr>
        <sz val="10"/>
        <rFont val="ＭＳ Ｐゴシック"/>
        <family val="3"/>
        <charset val="128"/>
      </rPr>
      <t>1.1.1を評価した場合</t>
    </r>
    <rPh sb="0" eb="2">
      <t>シヨウ</t>
    </rPh>
    <rPh sb="2" eb="4">
      <t>キジュン</t>
    </rPh>
    <rPh sb="14" eb="16">
      <t>ヒョウカ</t>
    </rPh>
    <rPh sb="18" eb="20">
      <t>バアイ</t>
    </rPh>
    <phoneticPr fontId="4"/>
  </si>
  <si>
    <t>ﾚﾍﾞﾙ１</t>
    <phoneticPr fontId="4"/>
  </si>
  <si>
    <t>ﾚﾍﾞﾙ２</t>
    <phoneticPr fontId="4"/>
  </si>
  <si>
    <t>ﾚﾍﾞﾙ３</t>
    <phoneticPr fontId="4"/>
  </si>
  <si>
    <t>ﾚﾍﾞﾙ５</t>
    <phoneticPr fontId="4"/>
  </si>
  <si>
    <t>採点結果</t>
    <phoneticPr fontId="4"/>
  </si>
  <si>
    <t>消費率</t>
    <phoneticPr fontId="4"/>
  </si>
  <si>
    <r>
      <t>LR</t>
    </r>
    <r>
      <rPr>
        <vertAlign val="subscript"/>
        <sz val="10"/>
        <rFont val="ＭＳ Ｐゴシック"/>
        <family val="3"/>
        <charset val="128"/>
      </rPr>
      <t>H</t>
    </r>
    <r>
      <rPr>
        <sz val="10"/>
        <rFont val="ＭＳ Ｐゴシック"/>
        <family val="3"/>
        <charset val="128"/>
      </rPr>
      <t>1.2.1　節水型設備</t>
    </r>
    <phoneticPr fontId="4"/>
  </si>
  <si>
    <t>－</t>
    <phoneticPr fontId="4"/>
  </si>
  <si>
    <t>基準値</t>
    <phoneticPr fontId="4"/>
  </si>
  <si>
    <r>
      <t>水の使用に伴うCO</t>
    </r>
    <r>
      <rPr>
        <vertAlign val="subscript"/>
        <sz val="10"/>
        <rFont val="ＭＳ Ｐゴシック"/>
        <family val="3"/>
        <charset val="128"/>
      </rPr>
      <t>2</t>
    </r>
    <r>
      <rPr>
        <sz val="10"/>
        <rFont val="ＭＳ Ｐゴシック"/>
        <family val="3"/>
        <charset val="128"/>
      </rPr>
      <t>排出量</t>
    </r>
    <rPh sb="0" eb="1">
      <t>ミズ</t>
    </rPh>
    <rPh sb="2" eb="4">
      <t>シヨウ</t>
    </rPh>
    <rPh sb="5" eb="6">
      <t>トモナ</t>
    </rPh>
    <rPh sb="10" eb="12">
      <t>ハイシュツ</t>
    </rPh>
    <rPh sb="12" eb="13">
      <t>リョウ</t>
    </rPh>
    <phoneticPr fontId="4"/>
  </si>
  <si>
    <t>LR1/4.　維持管理の運用の工夫</t>
    <phoneticPr fontId="4"/>
  </si>
  <si>
    <t>低減率</t>
    <phoneticPr fontId="4"/>
  </si>
  <si>
    <t>3-2.　上記+上記以外のオンサイト手法（③）</t>
    <phoneticPr fontId="4"/>
  </si>
  <si>
    <t>評価対象（③）</t>
    <phoneticPr fontId="4"/>
  </si>
  <si>
    <t>N.A.</t>
    <phoneticPr fontId="4"/>
  </si>
  <si>
    <t>太陽光発電等エネルギー総量（③ｵﾝｻｲﾄの取組）</t>
  </si>
  <si>
    <t>MJ/年</t>
    <rPh sb="3" eb="4">
      <t>ネン</t>
    </rPh>
    <phoneticPr fontId="4"/>
  </si>
  <si>
    <t>一次エネ消費量</t>
    <rPh sb="0" eb="2">
      <t>イチジ</t>
    </rPh>
    <rPh sb="4" eb="7">
      <t>ショウヒリョウ</t>
    </rPh>
    <phoneticPr fontId="4"/>
  </si>
  <si>
    <t>排出係数</t>
    <rPh sb="0" eb="2">
      <t>ハイシュツ</t>
    </rPh>
    <rPh sb="2" eb="4">
      <t>ケイスウ</t>
    </rPh>
    <phoneticPr fontId="4"/>
  </si>
  <si>
    <t>評価建物③</t>
    <rPh sb="0" eb="2">
      <t>ヒョウカ</t>
    </rPh>
    <rPh sb="2" eb="4">
      <t>タテモノ</t>
    </rPh>
    <phoneticPr fontId="4"/>
  </si>
  <si>
    <r>
      <t>4.　ライフサイクルCO</t>
    </r>
    <r>
      <rPr>
        <b/>
        <vertAlign val="subscript"/>
        <sz val="11"/>
        <rFont val="ＭＳ Ｐゴシック"/>
        <family val="3"/>
        <charset val="128"/>
      </rPr>
      <t>2</t>
    </r>
    <r>
      <rPr>
        <b/>
        <sz val="11"/>
        <rFont val="ＭＳ Ｐゴシック"/>
        <family val="3"/>
        <charset val="128"/>
      </rPr>
      <t>の計算</t>
    </r>
    <rPh sb="14" eb="16">
      <t>ケイサン</t>
    </rPh>
    <phoneticPr fontId="4"/>
  </si>
  <si>
    <t>建設</t>
    <rPh sb="0" eb="2">
      <t>ケンセツ</t>
    </rPh>
    <phoneticPr fontId="4"/>
  </si>
  <si>
    <t>修繕・更新・解体</t>
    <rPh sb="3" eb="5">
      <t>コウシン</t>
    </rPh>
    <phoneticPr fontId="4"/>
  </si>
  <si>
    <t>居住</t>
    <rPh sb="0" eb="2">
      <t>キョジュウ</t>
    </rPh>
    <phoneticPr fontId="4"/>
  </si>
  <si>
    <t>合計</t>
    <rPh sb="0" eb="2">
      <t>ゴウケイ</t>
    </rPh>
    <phoneticPr fontId="4"/>
  </si>
  <si>
    <t>CASBEE-戸建（新築）2018年版に基づく</t>
    <rPh sb="7" eb="9">
      <t>コダテ</t>
    </rPh>
    <rPh sb="10" eb="12">
      <t>シンチク</t>
    </rPh>
    <rPh sb="17" eb="18">
      <t>ネン</t>
    </rPh>
    <rPh sb="18" eb="19">
      <t>バン</t>
    </rPh>
    <rPh sb="20" eb="21">
      <t>モト</t>
    </rPh>
    <phoneticPr fontId="4"/>
  </si>
  <si>
    <t>CASBEE-戸建（新築）2018年版と共通</t>
    <phoneticPr fontId="4"/>
  </si>
  <si>
    <r>
      <t>LCCM低層共同住宅部門の基本要件（LCCO</t>
    </r>
    <r>
      <rPr>
        <vertAlign val="subscript"/>
        <sz val="16"/>
        <color theme="1"/>
        <rFont val="HG丸ｺﾞｼｯｸM-PRO"/>
        <family val="3"/>
        <charset val="128"/>
      </rPr>
      <t>2</t>
    </r>
    <r>
      <rPr>
        <sz val="16"/>
        <color theme="1"/>
        <rFont val="HG丸ｺﾞｼｯｸM-PRO"/>
        <family val="3"/>
        <charset val="128"/>
      </rPr>
      <t>）</t>
    </r>
    <rPh sb="4" eb="6">
      <t>テイソウ</t>
    </rPh>
    <rPh sb="6" eb="8">
      <t>キョウドウ</t>
    </rPh>
    <rPh sb="8" eb="10">
      <t>ジュウタク</t>
    </rPh>
    <rPh sb="10" eb="12">
      <t>ブモン</t>
    </rPh>
    <rPh sb="13" eb="15">
      <t>キホン</t>
    </rPh>
    <rPh sb="15" eb="17">
      <t>ヨウケン</t>
    </rPh>
    <phoneticPr fontId="4"/>
  </si>
  <si>
    <t>適合判定ツール</t>
    <rPh sb="0" eb="2">
      <t>テキゴウ</t>
    </rPh>
    <rPh sb="2" eb="4">
      <t>ハンテイ</t>
    </rPh>
    <phoneticPr fontId="4"/>
  </si>
  <si>
    <t>ZEH外皮基準</t>
    <rPh sb="3" eb="5">
      <t>ガイヒ</t>
    </rPh>
    <rPh sb="5" eb="7">
      <t>キジュン</t>
    </rPh>
    <phoneticPr fontId="58"/>
  </si>
  <si>
    <t>地域</t>
    <rPh sb="0" eb="2">
      <t>チイキ</t>
    </rPh>
    <phoneticPr fontId="58"/>
  </si>
  <si>
    <t>UA</t>
    <phoneticPr fontId="58"/>
  </si>
  <si>
    <t>ηAC</t>
    <phoneticPr fontId="58"/>
  </si>
  <si>
    <t>1）基本情報</t>
    <rPh sb="2" eb="4">
      <t>キホン</t>
    </rPh>
    <rPh sb="4" eb="6">
      <t>ジョウホウ</t>
    </rPh>
    <phoneticPr fontId="4"/>
  </si>
  <si>
    <t>-</t>
    <phoneticPr fontId="58"/>
  </si>
  <si>
    <t>建物名称</t>
    <rPh sb="0" eb="2">
      <t>ﾀﾃﾓﾉ</t>
    </rPh>
    <rPh sb="2" eb="4">
      <t>ﾒｲｼｮｳ</t>
    </rPh>
    <phoneticPr fontId="14" type="noConversion"/>
  </si>
  <si>
    <t>□□□□□□□</t>
    <phoneticPr fontId="4"/>
  </si>
  <si>
    <r>
      <t xml:space="preserve">延べ面積
</t>
    </r>
    <r>
      <rPr>
        <sz val="9"/>
        <color theme="1"/>
        <rFont val="ＭＳ Ｐゴシック"/>
        <family val="3"/>
        <charset val="128"/>
      </rPr>
      <t>※確認申請書に記載する延べ面積</t>
    </r>
    <rPh sb="0" eb="1">
      <t>ノ</t>
    </rPh>
    <rPh sb="2" eb="4">
      <t>メンセキ</t>
    </rPh>
    <rPh sb="6" eb="8">
      <t>カクニン</t>
    </rPh>
    <rPh sb="8" eb="11">
      <t>シンセイショ</t>
    </rPh>
    <rPh sb="12" eb="14">
      <t>キサイ</t>
    </rPh>
    <rPh sb="16" eb="17">
      <t>ノ</t>
    </rPh>
    <rPh sb="18" eb="20">
      <t>ユカメンセキ</t>
    </rPh>
    <phoneticPr fontId="1"/>
  </si>
  <si>
    <r>
      <t>m</t>
    </r>
    <r>
      <rPr>
        <vertAlign val="superscript"/>
        <sz val="11"/>
        <rFont val="ＭＳ Ｐゴシック"/>
        <family val="3"/>
        <charset val="128"/>
      </rPr>
      <t>2</t>
    </r>
    <phoneticPr fontId="4"/>
  </si>
  <si>
    <t>事業者名</t>
    <rPh sb="0" eb="3">
      <t>ジギョウシャ</t>
    </rPh>
    <rPh sb="3" eb="4">
      <t>メイ</t>
    </rPh>
    <phoneticPr fontId="4"/>
  </si>
  <si>
    <t>□□工務店</t>
    <rPh sb="2" eb="5">
      <t>コウムテン</t>
    </rPh>
    <phoneticPr fontId="4"/>
  </si>
  <si>
    <t>住戸平均面積</t>
    <rPh sb="0" eb="2">
      <t>ジュウコ</t>
    </rPh>
    <rPh sb="2" eb="4">
      <t>ヘイキン</t>
    </rPh>
    <rPh sb="4" eb="6">
      <t>メンセキ</t>
    </rPh>
    <phoneticPr fontId="4"/>
  </si>
  <si>
    <t>確認日</t>
    <rPh sb="0" eb="2">
      <t>カクニン</t>
    </rPh>
    <rPh sb="2" eb="3">
      <t>ビ</t>
    </rPh>
    <phoneticPr fontId="4"/>
  </si>
  <si>
    <t>住戸数</t>
    <rPh sb="0" eb="1">
      <t>ジュウ</t>
    </rPh>
    <rPh sb="1" eb="3">
      <t>コスウ</t>
    </rPh>
    <phoneticPr fontId="4"/>
  </si>
  <si>
    <t>戸</t>
    <rPh sb="0" eb="1">
      <t>コ</t>
    </rPh>
    <phoneticPr fontId="4"/>
  </si>
  <si>
    <t>確認者</t>
    <rPh sb="0" eb="2">
      <t>カクニン</t>
    </rPh>
    <rPh sb="2" eb="3">
      <t>シャ</t>
    </rPh>
    <phoneticPr fontId="4"/>
  </si>
  <si>
    <t>□□　□□</t>
    <phoneticPr fontId="4"/>
  </si>
  <si>
    <r>
      <t>外皮性能：U</t>
    </r>
    <r>
      <rPr>
        <sz val="9"/>
        <rFont val="ＭＳ Ｐゴシック"/>
        <family val="3"/>
        <charset val="128"/>
      </rPr>
      <t>A</t>
    </r>
    <r>
      <rPr>
        <sz val="11"/>
        <rFont val="ＭＳ Ｐゴシック"/>
        <family val="3"/>
        <charset val="128"/>
      </rPr>
      <t>値</t>
    </r>
    <rPh sb="0" eb="2">
      <t>ガイヒ</t>
    </rPh>
    <rPh sb="2" eb="4">
      <t>セイノウ</t>
    </rPh>
    <rPh sb="7" eb="8">
      <t>アタイ</t>
    </rPh>
    <phoneticPr fontId="4"/>
  </si>
  <si>
    <t>省ｴﾈﾙｷﾞｰ地域区分</t>
    <rPh sb="0" eb="1">
      <t>ショウ</t>
    </rPh>
    <rPh sb="7" eb="9">
      <t>チイキ</t>
    </rPh>
    <rPh sb="9" eb="11">
      <t>クブン</t>
    </rPh>
    <phoneticPr fontId="4"/>
  </si>
  <si>
    <t>地域</t>
    <rPh sb="0" eb="2">
      <t>チイキ</t>
    </rPh>
    <phoneticPr fontId="4"/>
  </si>
  <si>
    <t>外皮性能</t>
    <rPh sb="0" eb="2">
      <t>ガイヒ</t>
    </rPh>
    <rPh sb="2" eb="4">
      <t>セイノウ</t>
    </rPh>
    <phoneticPr fontId="1"/>
  </si>
  <si>
    <t>U値</t>
    <rPh sb="1" eb="2">
      <t>チ</t>
    </rPh>
    <phoneticPr fontId="1"/>
  </si>
  <si>
    <t>基準値</t>
    <rPh sb="0" eb="3">
      <t>キジュンチ</t>
    </rPh>
    <phoneticPr fontId="4"/>
  </si>
  <si>
    <t>ηAC値</t>
    <rPh sb="3" eb="4">
      <t>チ</t>
    </rPh>
    <phoneticPr fontId="1"/>
  </si>
  <si>
    <t>太陽光設置容量</t>
    <phoneticPr fontId="4"/>
  </si>
  <si>
    <t>kW</t>
    <phoneticPr fontId="4"/>
  </si>
  <si>
    <t>評価の実施日</t>
    <phoneticPr fontId="4"/>
  </si>
  <si>
    <t>201●年●月●日</t>
    <rPh sb="4" eb="5">
      <t>ネン</t>
    </rPh>
    <rPh sb="6" eb="7">
      <t>ガツ</t>
    </rPh>
    <rPh sb="8" eb="9">
      <t>ニチ</t>
    </rPh>
    <phoneticPr fontId="4"/>
  </si>
  <si>
    <t>作成者</t>
  </si>
  <si>
    <t>電気排出係数</t>
    <rPh sb="0" eb="2">
      <t>デンキ</t>
    </rPh>
    <rPh sb="2" eb="4">
      <t>ハイシュツ</t>
    </rPh>
    <rPh sb="4" eb="6">
      <t>ケイスウ</t>
    </rPh>
    <phoneticPr fontId="1"/>
  </si>
  <si>
    <r>
      <t>t-CO</t>
    </r>
    <r>
      <rPr>
        <vertAlign val="subscript"/>
        <sz val="11"/>
        <rFont val="ＭＳ Ｐゴシック"/>
        <family val="3"/>
        <charset val="128"/>
      </rPr>
      <t>2</t>
    </r>
    <r>
      <rPr>
        <sz val="11"/>
        <rFont val="ＭＳ Ｐゴシック"/>
        <family val="3"/>
        <charset val="128"/>
      </rPr>
      <t>/kWh</t>
    </r>
    <phoneticPr fontId="4"/>
  </si>
  <si>
    <t>その他</t>
    <rPh sb="2" eb="3">
      <t>ホカ</t>
    </rPh>
    <phoneticPr fontId="4"/>
  </si>
  <si>
    <t>2）計算条件</t>
    <rPh sb="2" eb="4">
      <t>ケイサン</t>
    </rPh>
    <rPh sb="4" eb="6">
      <t>ジョウケン</t>
    </rPh>
    <phoneticPr fontId="4"/>
  </si>
  <si>
    <t>○</t>
  </si>
  <si>
    <t>OK</t>
    <phoneticPr fontId="4"/>
  </si>
  <si>
    <t>-</t>
    <phoneticPr fontId="4"/>
  </si>
  <si>
    <t>①　住宅としての品質の確保</t>
    <phoneticPr fontId="4"/>
  </si>
  <si>
    <t>NG</t>
    <phoneticPr fontId="4"/>
  </si>
  <si>
    <t>長期優良住宅認定を取得している。</t>
    <rPh sb="0" eb="2">
      <t>チョウキ</t>
    </rPh>
    <rPh sb="2" eb="4">
      <t>ユウリョウ</t>
    </rPh>
    <rPh sb="4" eb="6">
      <t>ジュウタク</t>
    </rPh>
    <rPh sb="6" eb="8">
      <t>ニンテイ</t>
    </rPh>
    <rPh sb="9" eb="11">
      <t>シュトク</t>
    </rPh>
    <phoneticPr fontId="1"/>
  </si>
  <si>
    <t>②　計画供用期間</t>
    <rPh sb="2" eb="4">
      <t>ケイカク</t>
    </rPh>
    <rPh sb="4" eb="6">
      <t>キョウヨウ</t>
    </rPh>
    <rPh sb="6" eb="8">
      <t>キカン</t>
    </rPh>
    <phoneticPr fontId="4"/>
  </si>
  <si>
    <t>採点Q2</t>
    <rPh sb="0" eb="2">
      <t>サイテン</t>
    </rPh>
    <phoneticPr fontId="4"/>
  </si>
  <si>
    <t>判定シート</t>
    <rPh sb="0" eb="2">
      <t>ハンテイ</t>
    </rPh>
    <phoneticPr fontId="4"/>
  </si>
  <si>
    <t>■構造躯体</t>
    <rPh sb="1" eb="3">
      <t>コウゾウ</t>
    </rPh>
    <rPh sb="3" eb="5">
      <t>クタイ</t>
    </rPh>
    <phoneticPr fontId="1"/>
  </si>
  <si>
    <t>基準</t>
    <rPh sb="0" eb="2">
      <t>キジュン</t>
    </rPh>
    <phoneticPr fontId="1"/>
  </si>
  <si>
    <t>計画供用期間</t>
    <rPh sb="0" eb="2">
      <t>ケイカク</t>
    </rPh>
    <rPh sb="2" eb="4">
      <t>キョウヨウ</t>
    </rPh>
    <rPh sb="4" eb="6">
      <t>キカン</t>
    </rPh>
    <phoneticPr fontId="58"/>
  </si>
  <si>
    <t>レベル３</t>
    <phoneticPr fontId="4"/>
  </si>
  <si>
    <t>日本住宅性能表示基準「3-1 劣化対策等級（構造躯体等）」における等級１を満たす。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</si>
  <si>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計画供用期間</t>
    <rPh sb="0" eb="2">
      <t>ケイカク</t>
    </rPh>
    <rPh sb="2" eb="4">
      <t>キョウヨウ</t>
    </rPh>
    <rPh sb="4" eb="6">
      <t>キカン</t>
    </rPh>
    <phoneticPr fontId="4"/>
  </si>
  <si>
    <t>レベル４</t>
    <phoneticPr fontId="4"/>
  </si>
  <si>
    <t>日本住宅性能表示基準「3-1 劣化対策等級（構造躯体等）」における等級２を満たす。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</si>
  <si>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レベル５</t>
    <phoneticPr fontId="4"/>
  </si>
  <si>
    <t>日本住宅性能表示基準「3-1 劣化対策等級（構造躯体等）」における等級３を満たす。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</si>
  <si>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③　ライフサイクル段階別の条件</t>
    <phoneticPr fontId="4"/>
  </si>
  <si>
    <t>ライフサイクル段階別の条件</t>
    <rPh sb="7" eb="9">
      <t>ダンカイ</t>
    </rPh>
    <rPh sb="9" eb="10">
      <t>ベツ</t>
    </rPh>
    <rPh sb="11" eb="13">
      <t>ジョウケン</t>
    </rPh>
    <phoneticPr fontId="4"/>
  </si>
  <si>
    <t>構造の種類</t>
    <rPh sb="0" eb="2">
      <t>コウゾウ</t>
    </rPh>
    <rPh sb="3" eb="5">
      <t>シュルイ</t>
    </rPh>
    <phoneticPr fontId="4"/>
  </si>
  <si>
    <t>構造の比率</t>
    <rPh sb="0" eb="2">
      <t>コウゾウ</t>
    </rPh>
    <rPh sb="3" eb="5">
      <t>ヒリツ</t>
    </rPh>
    <phoneticPr fontId="1"/>
  </si>
  <si>
    <t>対策No.</t>
    <rPh sb="0" eb="2">
      <t>タイサク</t>
    </rPh>
    <phoneticPr fontId="1"/>
  </si>
  <si>
    <t>削減率</t>
    <rPh sb="0" eb="2">
      <t>サクゲン</t>
    </rPh>
    <rPh sb="2" eb="3">
      <t>リツ</t>
    </rPh>
    <phoneticPr fontId="4"/>
  </si>
  <si>
    <r>
      <t>LR</t>
    </r>
    <r>
      <rPr>
        <vertAlign val="subscript"/>
        <sz val="11"/>
        <rFont val="ＭＳ Ｐゴシック"/>
        <family val="3"/>
        <charset val="128"/>
      </rPr>
      <t>H</t>
    </r>
    <r>
      <rPr>
        <sz val="11"/>
        <rFont val="ＭＳ Ｐゴシック"/>
        <family val="3"/>
        <charset val="128"/>
      </rPr>
      <t>3.1.1 地球温暖化への配慮</t>
    </r>
    <rPh sb="9" eb="11">
      <t>チキュウ</t>
    </rPh>
    <rPh sb="11" eb="14">
      <t>オンダンカ</t>
    </rPh>
    <rPh sb="16" eb="18">
      <t>ハイリョ</t>
    </rPh>
    <phoneticPr fontId="4"/>
  </si>
  <si>
    <t>構造計</t>
    <rPh sb="0" eb="2">
      <t>コウゾウ</t>
    </rPh>
    <rPh sb="2" eb="3">
      <t>ケイ</t>
    </rPh>
    <phoneticPr fontId="4"/>
  </si>
  <si>
    <t>耐用年数が12年未満しか期待されない。</t>
  </si>
  <si>
    <t>文章</t>
    <rPh sb="0" eb="2">
      <t>ブンショウ</t>
    </rPh>
    <phoneticPr fontId="4"/>
  </si>
  <si>
    <t>■木質系</t>
    <rPh sb="1" eb="3">
      <t>モクシツ</t>
    </rPh>
    <rPh sb="3" eb="4">
      <t>ケイ</t>
    </rPh>
    <phoneticPr fontId="4"/>
  </si>
  <si>
    <t>12～25年未満の耐用性が期待される。</t>
  </si>
  <si>
    <t>■鉄骨系</t>
    <rPh sb="1" eb="3">
      <t>テッコツ</t>
    </rPh>
    <rPh sb="3" eb="4">
      <t>ケイ</t>
    </rPh>
    <phoneticPr fontId="4"/>
  </si>
  <si>
    <t>構造の比率は合計が１になるように入力</t>
    <rPh sb="0" eb="2">
      <t>コウゾウ</t>
    </rPh>
    <rPh sb="3" eb="5">
      <t>ヒリツ</t>
    </rPh>
    <rPh sb="6" eb="8">
      <t>ゴウケイ</t>
    </rPh>
    <rPh sb="16" eb="18">
      <t>ニュウリョク</t>
    </rPh>
    <phoneticPr fontId="4"/>
  </si>
  <si>
    <t>25～50年未満の耐用性が期待される。</t>
  </si>
  <si>
    <t>■コンクリート系</t>
    <rPh sb="7" eb="8">
      <t>ケイ</t>
    </rPh>
    <phoneticPr fontId="4"/>
  </si>
  <si>
    <t>50～100年の耐用年数が期待される。</t>
  </si>
  <si>
    <t>対策No.</t>
    <rPh sb="0" eb="2">
      <t>タイサク</t>
    </rPh>
    <phoneticPr fontId="4"/>
  </si>
  <si>
    <r>
      <t>CO</t>
    </r>
    <r>
      <rPr>
        <vertAlign val="subscript"/>
        <sz val="11"/>
        <rFont val="ＭＳ Ｐゴシック"/>
        <family val="3"/>
        <charset val="128"/>
      </rPr>
      <t>2</t>
    </r>
    <r>
      <rPr>
        <sz val="11"/>
        <rFont val="ＭＳ Ｐゴシック"/>
        <family val="3"/>
        <charset val="128"/>
      </rPr>
      <t>削減対策</t>
    </r>
    <rPh sb="3" eb="5">
      <t>サクゲン</t>
    </rPh>
    <rPh sb="5" eb="7">
      <t>タイサク</t>
    </rPh>
    <phoneticPr fontId="1"/>
  </si>
  <si>
    <t>削減率</t>
    <rPh sb="0" eb="2">
      <t>サクゲン</t>
    </rPh>
    <rPh sb="2" eb="3">
      <t>リツ</t>
    </rPh>
    <phoneticPr fontId="1"/>
  </si>
  <si>
    <t>W</t>
    <phoneticPr fontId="4"/>
  </si>
  <si>
    <t>S</t>
    <phoneticPr fontId="4"/>
  </si>
  <si>
    <t>RC</t>
    <phoneticPr fontId="4"/>
  </si>
  <si>
    <t>①</t>
  </si>
  <si>
    <t>基礎用コンクリートに高炉セメントB種を使用</t>
    <rPh sb="0" eb="2">
      <t>キソ</t>
    </rPh>
    <rPh sb="2" eb="3">
      <t>ヨウ</t>
    </rPh>
    <rPh sb="10" eb="12">
      <t>コウロ</t>
    </rPh>
    <rPh sb="17" eb="18">
      <t>タネ</t>
    </rPh>
    <rPh sb="19" eb="21">
      <t>シヨウ</t>
    </rPh>
    <phoneticPr fontId="1"/>
  </si>
  <si>
    <t>②</t>
  </si>
  <si>
    <t>構造用木材の過半にバイオマス乾燥木材または天然乾燥木材を採用</t>
    <rPh sb="0" eb="3">
      <t>コウゾウヨウ</t>
    </rPh>
    <rPh sb="3" eb="5">
      <t>モクザイ</t>
    </rPh>
    <rPh sb="6" eb="8">
      <t>カハン</t>
    </rPh>
    <rPh sb="14" eb="16">
      <t>カンソウ</t>
    </rPh>
    <rPh sb="16" eb="18">
      <t>モクザイ</t>
    </rPh>
    <rPh sb="21" eb="23">
      <t>テンネン</t>
    </rPh>
    <rPh sb="23" eb="25">
      <t>カンソウ</t>
    </rPh>
    <rPh sb="25" eb="27">
      <t>モクザイ</t>
    </rPh>
    <rPh sb="28" eb="30">
      <t>サイヨウ</t>
    </rPh>
    <phoneticPr fontId="1"/>
  </si>
  <si>
    <t>③</t>
  </si>
  <si>
    <t>構造用木材の概ね全てにバイオマス乾燥木材または天然乾燥木材を採用</t>
    <rPh sb="0" eb="3">
      <t>コウゾウヨウ</t>
    </rPh>
    <rPh sb="3" eb="5">
      <t>モクザイ</t>
    </rPh>
    <rPh sb="6" eb="7">
      <t>オオム</t>
    </rPh>
    <rPh sb="8" eb="9">
      <t>スベ</t>
    </rPh>
    <rPh sb="16" eb="18">
      <t>カンソウ</t>
    </rPh>
    <rPh sb="18" eb="20">
      <t>モクザイ</t>
    </rPh>
    <rPh sb="23" eb="25">
      <t>テンネン</t>
    </rPh>
    <rPh sb="25" eb="27">
      <t>カンソウ</t>
    </rPh>
    <rPh sb="27" eb="29">
      <t>モクザイ</t>
    </rPh>
    <rPh sb="30" eb="32">
      <t>サイヨウ</t>
    </rPh>
    <phoneticPr fontId="1"/>
  </si>
  <si>
    <t>④</t>
  </si>
  <si>
    <t>①＋②の場合</t>
    <rPh sb="4" eb="6">
      <t>バアイ</t>
    </rPh>
    <phoneticPr fontId="1"/>
  </si>
  <si>
    <t>⑤</t>
  </si>
  <si>
    <t>①＋③の場合</t>
    <rPh sb="4" eb="6">
      <t>バアイ</t>
    </rPh>
    <phoneticPr fontId="1"/>
  </si>
  <si>
    <t>上記のいずれも採用していない</t>
    <rPh sb="0" eb="2">
      <t>ジョウキ</t>
    </rPh>
    <rPh sb="7" eb="9">
      <t>サイヨウ</t>
    </rPh>
    <phoneticPr fontId="1"/>
  </si>
  <si>
    <t>軽量鉄骨造の場合</t>
    <phoneticPr fontId="4"/>
  </si>
  <si>
    <t>基礎用コンクリートに高炉セメントB種を使用</t>
    <phoneticPr fontId="4"/>
  </si>
  <si>
    <t>①＋②の場合</t>
  </si>
  <si>
    <t>①</t>
    <phoneticPr fontId="4"/>
  </si>
  <si>
    <t>上部躯体用コンクリートに高炉セメントB種を使用</t>
    <phoneticPr fontId="4"/>
  </si>
  <si>
    <t>■外壁材</t>
    <rPh sb="1" eb="3">
      <t>ガイヘキ</t>
    </rPh>
    <rPh sb="3" eb="4">
      <t>ザイ</t>
    </rPh>
    <phoneticPr fontId="1"/>
  </si>
  <si>
    <r>
      <t>Q</t>
    </r>
    <r>
      <rPr>
        <vertAlign val="subscript"/>
        <sz val="11"/>
        <rFont val="ＭＳ Ｐゴシック"/>
        <family val="3"/>
        <charset val="128"/>
      </rPr>
      <t>H</t>
    </r>
    <r>
      <rPr>
        <sz val="11"/>
        <rFont val="ＭＳ Ｐゴシック"/>
        <family val="3"/>
        <charset val="128"/>
      </rPr>
      <t>2.1.2 外壁材</t>
    </r>
    <rPh sb="8" eb="10">
      <t>ガイヘキ</t>
    </rPh>
    <rPh sb="10" eb="11">
      <t>ザイ</t>
    </rPh>
    <phoneticPr fontId="4"/>
  </si>
  <si>
    <t>耐用年数</t>
    <rPh sb="0" eb="2">
      <t>タイヨウ</t>
    </rPh>
    <rPh sb="2" eb="4">
      <t>ネンスウ</t>
    </rPh>
    <phoneticPr fontId="4"/>
  </si>
  <si>
    <t>加点</t>
    <rPh sb="0" eb="2">
      <t>カテン</t>
    </rPh>
    <phoneticPr fontId="4"/>
  </si>
  <si>
    <t>a</t>
    <phoneticPr fontId="4"/>
  </si>
  <si>
    <t>b</t>
    <phoneticPr fontId="4"/>
  </si>
  <si>
    <t>c</t>
    <phoneticPr fontId="4"/>
  </si>
  <si>
    <t>■屋根材、陸屋根</t>
    <rPh sb="1" eb="3">
      <t>ヤネ</t>
    </rPh>
    <rPh sb="3" eb="4">
      <t>ザイ</t>
    </rPh>
    <rPh sb="5" eb="6">
      <t>リク</t>
    </rPh>
    <rPh sb="6" eb="8">
      <t>ヤネ</t>
    </rPh>
    <phoneticPr fontId="1"/>
  </si>
  <si>
    <r>
      <t>Q</t>
    </r>
    <r>
      <rPr>
        <vertAlign val="subscript"/>
        <sz val="11"/>
        <rFont val="ＭＳ Ｐゴシック"/>
        <family val="3"/>
        <charset val="128"/>
      </rPr>
      <t>H</t>
    </r>
    <r>
      <rPr>
        <sz val="11"/>
        <rFont val="ＭＳ Ｐゴシック"/>
        <family val="3"/>
        <charset val="128"/>
      </rPr>
      <t>2.1.3 屋根材、陸屋根</t>
    </r>
    <rPh sb="8" eb="10">
      <t>ヤネ</t>
    </rPh>
    <rPh sb="10" eb="11">
      <t>ザイ</t>
    </rPh>
    <rPh sb="12" eb="15">
      <t>リクヤネ</t>
    </rPh>
    <phoneticPr fontId="4"/>
  </si>
  <si>
    <t>評価対象の区別</t>
    <rPh sb="0" eb="2">
      <t>ヒョウカ</t>
    </rPh>
    <rPh sb="2" eb="4">
      <t>タイショウ</t>
    </rPh>
    <rPh sb="5" eb="7">
      <t>クベツ</t>
    </rPh>
    <phoneticPr fontId="4"/>
  </si>
  <si>
    <t>屋根材</t>
    <rPh sb="0" eb="2">
      <t>ヤネ</t>
    </rPh>
    <rPh sb="2" eb="3">
      <t>ザイ</t>
    </rPh>
    <phoneticPr fontId="4"/>
  </si>
  <si>
    <t>屋根材加点</t>
    <rPh sb="0" eb="2">
      <t>ヤネ</t>
    </rPh>
    <rPh sb="2" eb="3">
      <t>ザイ</t>
    </rPh>
    <rPh sb="3" eb="5">
      <t>カテン</t>
    </rPh>
    <phoneticPr fontId="4"/>
  </si>
  <si>
    <t>加点条件</t>
    <rPh sb="0" eb="2">
      <t>カテン</t>
    </rPh>
    <rPh sb="2" eb="4">
      <t>ジョウケン</t>
    </rPh>
    <phoneticPr fontId="4"/>
  </si>
  <si>
    <t>陸屋根加点</t>
    <rPh sb="0" eb="3">
      <t>リクヤネ</t>
    </rPh>
    <rPh sb="3" eb="5">
      <t>カテン</t>
    </rPh>
    <phoneticPr fontId="4"/>
  </si>
  <si>
    <t>　その１．交換容易性</t>
    <rPh sb="5" eb="7">
      <t>コウカン</t>
    </rPh>
    <rPh sb="7" eb="10">
      <t>ヨウイセイ</t>
    </rPh>
    <phoneticPr fontId="4"/>
  </si>
  <si>
    <t>陸屋根</t>
    <rPh sb="0" eb="3">
      <t>リクヤネ</t>
    </rPh>
    <phoneticPr fontId="4"/>
  </si>
  <si>
    <t>その１</t>
    <phoneticPr fontId="4"/>
  </si>
  <si>
    <t>　その２．劣化低減処置</t>
    <rPh sb="5" eb="7">
      <t>レッカ</t>
    </rPh>
    <rPh sb="7" eb="9">
      <t>テイゲン</t>
    </rPh>
    <rPh sb="9" eb="11">
      <t>ショチ</t>
    </rPh>
    <phoneticPr fontId="4"/>
  </si>
  <si>
    <t>その２</t>
    <phoneticPr fontId="4"/>
  </si>
  <si>
    <t>■維持管理の</t>
    <phoneticPr fontId="4"/>
  </si>
  <si>
    <r>
      <t>Q</t>
    </r>
    <r>
      <rPr>
        <vertAlign val="subscript"/>
        <sz val="11"/>
        <rFont val="ＭＳ Ｐゴシック"/>
        <family val="3"/>
        <charset val="128"/>
      </rPr>
      <t>H</t>
    </r>
    <r>
      <rPr>
        <sz val="11"/>
        <rFont val="ＭＳ Ｐゴシック"/>
        <family val="3"/>
        <charset val="128"/>
      </rPr>
      <t>2.2.2 維持管理の計画・体制</t>
    </r>
    <rPh sb="8" eb="10">
      <t>イジ</t>
    </rPh>
    <rPh sb="10" eb="12">
      <t>カンリ</t>
    </rPh>
    <rPh sb="13" eb="15">
      <t>ケイカク</t>
    </rPh>
    <rPh sb="16" eb="18">
      <t>タイセイ</t>
    </rPh>
    <phoneticPr fontId="4"/>
  </si>
  <si>
    <t xml:space="preserve"> 　計画・体制</t>
    <rPh sb="2" eb="4">
      <t>ケイカク</t>
    </rPh>
    <rPh sb="5" eb="7">
      <t>タイセイ</t>
    </rPh>
    <phoneticPr fontId="4"/>
  </si>
  <si>
    <t>選択</t>
    <rPh sb="0" eb="2">
      <t>センタク</t>
    </rPh>
    <phoneticPr fontId="1"/>
  </si>
  <si>
    <t>取組み</t>
    <rPh sb="0" eb="2">
      <t>トリクミ</t>
    </rPh>
    <phoneticPr fontId="1"/>
  </si>
  <si>
    <t>項目数</t>
    <rPh sb="0" eb="2">
      <t>コウモク</t>
    </rPh>
    <rPh sb="2" eb="3">
      <t>スウ</t>
    </rPh>
    <phoneticPr fontId="4"/>
  </si>
  <si>
    <t>定期点検及び維持・補修・交換が適性時期に提供できる仕組みがある。</t>
    <rPh sb="0" eb="2">
      <t>テイキ</t>
    </rPh>
    <rPh sb="2" eb="4">
      <t>テンケン</t>
    </rPh>
    <rPh sb="4" eb="5">
      <t>オヨ</t>
    </rPh>
    <rPh sb="6" eb="8">
      <t>イジ</t>
    </rPh>
    <rPh sb="9" eb="11">
      <t>ホシュウ</t>
    </rPh>
    <rPh sb="12" eb="14">
      <t>コウカン</t>
    </rPh>
    <rPh sb="15" eb="17">
      <t>テキセイ</t>
    </rPh>
    <rPh sb="17" eb="19">
      <t>ジキ</t>
    </rPh>
    <rPh sb="20" eb="22">
      <t>テイキョウ</t>
    </rPh>
    <rPh sb="25" eb="27">
      <t>シク</t>
    </rPh>
    <phoneticPr fontId="1"/>
  </si>
  <si>
    <t>0項目</t>
    <rPh sb="1" eb="3">
      <t>コウモク</t>
    </rPh>
    <phoneticPr fontId="4"/>
  </si>
  <si>
    <t>建築時から将来を見据えて、定期的な点検・補修等に関する計画が施されている。</t>
    <rPh sb="0" eb="2">
      <t>ケンチク</t>
    </rPh>
    <rPh sb="2" eb="3">
      <t>ジ</t>
    </rPh>
    <rPh sb="5" eb="7">
      <t>ショウライ</t>
    </rPh>
    <rPh sb="8" eb="10">
      <t>ミス</t>
    </rPh>
    <rPh sb="13" eb="16">
      <t>テイキテキ</t>
    </rPh>
    <rPh sb="17" eb="19">
      <t>テンケン</t>
    </rPh>
    <rPh sb="20" eb="22">
      <t>ホシュウ</t>
    </rPh>
    <rPh sb="22" eb="23">
      <t>ナド</t>
    </rPh>
    <rPh sb="24" eb="25">
      <t>カン</t>
    </rPh>
    <rPh sb="27" eb="29">
      <t>ケイカク</t>
    </rPh>
    <rPh sb="30" eb="31">
      <t>ホドコ</t>
    </rPh>
    <phoneticPr fontId="1"/>
  </si>
  <si>
    <t>1項目</t>
    <rPh sb="1" eb="3">
      <t>コウモク</t>
    </rPh>
    <phoneticPr fontId="4"/>
  </si>
  <si>
    <t>住まい手が適切な維持管理を継続するための、情報提供や相談窓口などのサポートの仕組みがある。</t>
    <rPh sb="0" eb="1">
      <t>ス</t>
    </rPh>
    <rPh sb="3" eb="4">
      <t>テ</t>
    </rPh>
    <rPh sb="5" eb="7">
      <t>テキセツ</t>
    </rPh>
    <rPh sb="8" eb="10">
      <t>イジ</t>
    </rPh>
    <rPh sb="10" eb="12">
      <t>カンリ</t>
    </rPh>
    <rPh sb="13" eb="15">
      <t>ケイゾク</t>
    </rPh>
    <rPh sb="21" eb="23">
      <t>ジョウホウ</t>
    </rPh>
    <rPh sb="23" eb="25">
      <t>テイキョウ</t>
    </rPh>
    <rPh sb="26" eb="28">
      <t>ソウダン</t>
    </rPh>
    <rPh sb="28" eb="30">
      <t>マドグチ</t>
    </rPh>
    <rPh sb="38" eb="40">
      <t>シク</t>
    </rPh>
    <phoneticPr fontId="1"/>
  </si>
  <si>
    <t>2項目以上、または長期優良</t>
    <rPh sb="1" eb="3">
      <t>コウモク</t>
    </rPh>
    <rPh sb="3" eb="5">
      <t>イジョウ</t>
    </rPh>
    <rPh sb="9" eb="11">
      <t>チョウキ</t>
    </rPh>
    <rPh sb="11" eb="13">
      <t>ユウリョウ</t>
    </rPh>
    <phoneticPr fontId="4"/>
  </si>
  <si>
    <t>住宅の基本情報及び建物の維持管理履歴が管理され、何か不具合が生じたときに追跡調査できる。</t>
    <rPh sb="0" eb="2">
      <t>ジュウタク</t>
    </rPh>
    <rPh sb="3" eb="5">
      <t>キホン</t>
    </rPh>
    <rPh sb="5" eb="7">
      <t>ジョウホウ</t>
    </rPh>
    <rPh sb="7" eb="8">
      <t>オヨ</t>
    </rPh>
    <rPh sb="9" eb="11">
      <t>タテモノ</t>
    </rPh>
    <rPh sb="12" eb="14">
      <t>イジ</t>
    </rPh>
    <rPh sb="14" eb="16">
      <t>カンリ</t>
    </rPh>
    <rPh sb="16" eb="18">
      <t>リレキ</t>
    </rPh>
    <rPh sb="19" eb="21">
      <t>カンリ</t>
    </rPh>
    <rPh sb="24" eb="25">
      <t>ナニ</t>
    </rPh>
    <rPh sb="26" eb="29">
      <t>フグアイ</t>
    </rPh>
    <rPh sb="30" eb="31">
      <t>ショウ</t>
    </rPh>
    <rPh sb="36" eb="38">
      <t>ツイセキ</t>
    </rPh>
    <rPh sb="38" eb="40">
      <t>チョウサ</t>
    </rPh>
    <phoneticPr fontId="1"/>
  </si>
  <si>
    <r>
      <t>3.　居住時のエネルギー・水に係るCO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ミズ</t>
    </rPh>
    <rPh sb="15" eb="16">
      <t>カカ</t>
    </rPh>
    <rPh sb="20" eb="22">
      <t>ハイシュツ</t>
    </rPh>
    <rPh sb="22" eb="23">
      <t>リョウ</t>
    </rPh>
    <phoneticPr fontId="4"/>
  </si>
  <si>
    <t>採点LR1</t>
    <rPh sb="0" eb="2">
      <t>サイテン</t>
    </rPh>
    <phoneticPr fontId="4"/>
  </si>
  <si>
    <t>■Webプログラムの計算結果</t>
    <rPh sb="10" eb="12">
      <t>ケイサン</t>
    </rPh>
    <rPh sb="12" eb="14">
      <t>ケッカ</t>
    </rPh>
    <phoneticPr fontId="1"/>
  </si>
  <si>
    <t>MJ/年・棟</t>
    <rPh sb="3" eb="4">
      <t>ネン</t>
    </rPh>
    <rPh sb="5" eb="6">
      <t>トウ</t>
    </rPh>
    <phoneticPr fontId="1"/>
  </si>
  <si>
    <t>　A.基準一次エネルギー消費量</t>
    <rPh sb="3" eb="5">
      <t>キジュン</t>
    </rPh>
    <rPh sb="5" eb="7">
      <t>イチジ</t>
    </rPh>
    <rPh sb="12" eb="15">
      <t>ショウヒリョウ</t>
    </rPh>
    <phoneticPr fontId="4"/>
  </si>
  <si>
    <t>　D.太陽光発電等による削減量</t>
    <rPh sb="3" eb="6">
      <t>タイヨウコウ</t>
    </rPh>
    <rPh sb="6" eb="7">
      <t>ハツ</t>
    </rPh>
    <rPh sb="7" eb="8">
      <t>デン</t>
    </rPh>
    <rPh sb="8" eb="9">
      <t>トウ</t>
    </rPh>
    <rPh sb="12" eb="14">
      <t>サクゲン</t>
    </rPh>
    <rPh sb="14" eb="15">
      <t>リョウ</t>
    </rPh>
    <phoneticPr fontId="4"/>
  </si>
  <si>
    <t>　B.その他の一次ｴﾈﾙｷﾞｰ消費量（家電・調理分）</t>
    <rPh sb="24" eb="25">
      <t>ブン</t>
    </rPh>
    <phoneticPr fontId="4"/>
  </si>
  <si>
    <t>　E.発電量（コージェネレーション）</t>
    <rPh sb="3" eb="5">
      <t>ハツデン</t>
    </rPh>
    <rPh sb="5" eb="6">
      <t>リョウ</t>
    </rPh>
    <phoneticPr fontId="58"/>
  </si>
  <si>
    <t>　B.設計一次エネルギー消費量</t>
    <phoneticPr fontId="4"/>
  </si>
  <si>
    <t>　C.設計一次エネルギー消費量</t>
    <rPh sb="3" eb="5">
      <t>セッケイ</t>
    </rPh>
    <rPh sb="5" eb="7">
      <t>イチジ</t>
    </rPh>
    <rPh sb="12" eb="15">
      <t>ショウヒリョウ</t>
    </rPh>
    <phoneticPr fontId="4"/>
  </si>
  <si>
    <t>　F.発電量（太陽光発電）</t>
    <rPh sb="3" eb="5">
      <t>ハツデン</t>
    </rPh>
    <rPh sb="5" eb="6">
      <t>リョウ</t>
    </rPh>
    <rPh sb="7" eb="10">
      <t>タイヨウコウ</t>
    </rPh>
    <rPh sb="10" eb="12">
      <t>ハツデン</t>
    </rPh>
    <phoneticPr fontId="4"/>
  </si>
  <si>
    <t>■節水型設備</t>
    <phoneticPr fontId="4"/>
  </si>
  <si>
    <r>
      <t>LR</t>
    </r>
    <r>
      <rPr>
        <vertAlign val="subscript"/>
        <sz val="11"/>
        <rFont val="ＭＳ Ｐゴシック"/>
        <family val="3"/>
        <charset val="128"/>
      </rPr>
      <t>H</t>
    </r>
    <r>
      <rPr>
        <sz val="11"/>
        <rFont val="ＭＳ Ｐゴシック"/>
        <family val="3"/>
        <charset val="128"/>
      </rPr>
      <t>1.2.1 節水型設備</t>
    </r>
    <rPh sb="9" eb="12">
      <t>セッスイガタ</t>
    </rPh>
    <rPh sb="12" eb="14">
      <t>セツビ</t>
    </rPh>
    <phoneticPr fontId="4"/>
  </si>
  <si>
    <t>節水トイレを設置している。</t>
    <rPh sb="0" eb="2">
      <t>セッスイ</t>
    </rPh>
    <rPh sb="6" eb="8">
      <t>セッチ</t>
    </rPh>
    <phoneticPr fontId="4"/>
  </si>
  <si>
    <t>節水水栓を設置している。</t>
    <rPh sb="0" eb="2">
      <t>セッスイ</t>
    </rPh>
    <rPh sb="2" eb="4">
      <t>スイセン</t>
    </rPh>
    <rPh sb="5" eb="7">
      <t>セッチ</t>
    </rPh>
    <phoneticPr fontId="4"/>
  </si>
  <si>
    <t>2項目</t>
    <rPh sb="1" eb="3">
      <t>コウモク</t>
    </rPh>
    <phoneticPr fontId="4"/>
  </si>
  <si>
    <t>食器用洗浄機を設置している。</t>
    <rPh sb="0" eb="2">
      <t>ショッキ</t>
    </rPh>
    <rPh sb="2" eb="3">
      <t>ヨウ</t>
    </rPh>
    <rPh sb="3" eb="5">
      <t>センジョウ</t>
    </rPh>
    <rPh sb="5" eb="6">
      <t>キ</t>
    </rPh>
    <rPh sb="7" eb="9">
      <t>セッチ</t>
    </rPh>
    <phoneticPr fontId="4"/>
  </si>
  <si>
    <t>3項目</t>
    <rPh sb="1" eb="3">
      <t>コウモク</t>
    </rPh>
    <phoneticPr fontId="4"/>
  </si>
  <si>
    <t>3)　計算結果</t>
    <rPh sb="3" eb="5">
      <t>ケイサン</t>
    </rPh>
    <rPh sb="5" eb="7">
      <t>ケッカ</t>
    </rPh>
    <phoneticPr fontId="4"/>
  </si>
  <si>
    <r>
      <t>LCCO</t>
    </r>
    <r>
      <rPr>
        <b/>
        <vertAlign val="subscript"/>
        <sz val="11"/>
        <rFont val="ＭＳ Ｐゴシック"/>
        <family val="3"/>
        <charset val="128"/>
      </rPr>
      <t>2</t>
    </r>
    <r>
      <rPr>
        <b/>
        <sz val="11"/>
        <rFont val="ＭＳ Ｐゴシック"/>
        <family val="3"/>
        <charset val="128"/>
      </rPr>
      <t>計算結果</t>
    </r>
    <rPh sb="5" eb="7">
      <t>ケイサン</t>
    </rPh>
    <rPh sb="7" eb="9">
      <t>ケッカ</t>
    </rPh>
    <phoneticPr fontId="1"/>
  </si>
  <si>
    <r>
      <t>kg-CO</t>
    </r>
    <r>
      <rPr>
        <vertAlign val="subscript"/>
        <sz val="11"/>
        <color theme="1"/>
        <rFont val="ＭＳ Ｐゴシック"/>
        <family val="3"/>
        <charset val="128"/>
      </rPr>
      <t>2</t>
    </r>
    <r>
      <rPr>
        <sz val="11"/>
        <color theme="1"/>
        <rFont val="ＭＳ Ｐゴシック"/>
        <family val="3"/>
        <charset val="128"/>
      </rPr>
      <t>/年・棟</t>
    </r>
    <rPh sb="9" eb="10">
      <t>トウ</t>
    </rPh>
    <phoneticPr fontId="4"/>
  </si>
  <si>
    <t>Rank(green star)</t>
    <phoneticPr fontId="4"/>
  </si>
  <si>
    <t>適　合</t>
    <rPh sb="0" eb="1">
      <t>テキ</t>
    </rPh>
    <rPh sb="2" eb="3">
      <t>ゴウ</t>
    </rPh>
    <phoneticPr fontId="4"/>
  </si>
  <si>
    <t>(blank star)</t>
    <phoneticPr fontId="4"/>
  </si>
  <si>
    <t>　建設</t>
    <rPh sb="1" eb="3">
      <t>ケンセツ</t>
    </rPh>
    <phoneticPr fontId="1"/>
  </si>
  <si>
    <t>不適合</t>
    <rPh sb="0" eb="3">
      <t>フテキゴウ</t>
    </rPh>
    <phoneticPr fontId="4"/>
  </si>
  <si>
    <t>ZEH判定</t>
    <rPh sb="3" eb="5">
      <t>ハンテイ</t>
    </rPh>
    <phoneticPr fontId="58"/>
  </si>
  <si>
    <t>　修繕・更新・解体</t>
    <rPh sb="1" eb="3">
      <t>シュウゼン</t>
    </rPh>
    <rPh sb="4" eb="6">
      <t>コウシン</t>
    </rPh>
    <rPh sb="7" eb="9">
      <t>カイタイ</t>
    </rPh>
    <phoneticPr fontId="4"/>
  </si>
  <si>
    <t>基準一次（その他除く）</t>
    <rPh sb="0" eb="2">
      <t>キジュン</t>
    </rPh>
    <rPh sb="2" eb="4">
      <t>イチジ</t>
    </rPh>
    <rPh sb="7" eb="8">
      <t>タ</t>
    </rPh>
    <rPh sb="8" eb="9">
      <t>ノゾ</t>
    </rPh>
    <phoneticPr fontId="58"/>
  </si>
  <si>
    <t>Ess</t>
    <phoneticPr fontId="58"/>
  </si>
  <si>
    <t>　居住</t>
    <rPh sb="1" eb="3">
      <t>キョジュウ</t>
    </rPh>
    <phoneticPr fontId="1"/>
  </si>
  <si>
    <t>発電量(コジェネ）</t>
    <rPh sb="0" eb="2">
      <t>ハツデン</t>
    </rPh>
    <rPh sb="2" eb="3">
      <t>リョウ</t>
    </rPh>
    <phoneticPr fontId="58"/>
  </si>
  <si>
    <t>Ecgs</t>
    <phoneticPr fontId="58"/>
  </si>
  <si>
    <t>　合計</t>
    <rPh sb="1" eb="3">
      <t>ゴウケイ</t>
    </rPh>
    <phoneticPr fontId="1"/>
  </si>
  <si>
    <t>a+b+c</t>
    <phoneticPr fontId="4"/>
  </si>
  <si>
    <t>設計一次(その他PV除く）</t>
    <rPh sb="0" eb="2">
      <t>セッケイ</t>
    </rPh>
    <rPh sb="2" eb="4">
      <t>イチジ</t>
    </rPh>
    <rPh sb="7" eb="8">
      <t>タ</t>
    </rPh>
    <rPh sb="10" eb="11">
      <t>ノゾ</t>
    </rPh>
    <phoneticPr fontId="58"/>
  </si>
  <si>
    <t>Etotal</t>
    <phoneticPr fontId="58"/>
  </si>
  <si>
    <t>　排出率（0％以下で適合）</t>
    <rPh sb="1" eb="3">
      <t>ハイシュツ</t>
    </rPh>
    <rPh sb="3" eb="4">
      <t>リツ</t>
    </rPh>
    <rPh sb="10" eb="12">
      <t>テキゴウ</t>
    </rPh>
    <phoneticPr fontId="4"/>
  </si>
  <si>
    <t>(d1/d2)</t>
    <phoneticPr fontId="4"/>
  </si>
  <si>
    <t>発電量(太陽光）</t>
    <rPh sb="0" eb="2">
      <t>ハツデン</t>
    </rPh>
    <rPh sb="2" eb="3">
      <t>リョウ</t>
    </rPh>
    <rPh sb="4" eb="7">
      <t>タイヨウコウ</t>
    </rPh>
    <phoneticPr fontId="58"/>
  </si>
  <si>
    <t>EPVC'</t>
    <phoneticPr fontId="58"/>
  </si>
  <si>
    <t>太陽光除く削減量</t>
    <rPh sb="0" eb="3">
      <t>タイヨウコウ</t>
    </rPh>
    <rPh sb="3" eb="4">
      <t>ノゾ</t>
    </rPh>
    <rPh sb="5" eb="7">
      <t>サクゲン</t>
    </rPh>
    <rPh sb="7" eb="8">
      <t>リョウ</t>
    </rPh>
    <phoneticPr fontId="58"/>
  </si>
  <si>
    <t>Ssubtotal</t>
    <phoneticPr fontId="58"/>
  </si>
  <si>
    <t>一次エネ削減量</t>
    <rPh sb="0" eb="2">
      <t>イチジ</t>
    </rPh>
    <rPh sb="4" eb="6">
      <t>サクゲン</t>
    </rPh>
    <rPh sb="6" eb="7">
      <t>リョウ</t>
    </rPh>
    <phoneticPr fontId="58"/>
  </si>
  <si>
    <t>Stotal</t>
    <phoneticPr fontId="58"/>
  </si>
  <si>
    <t>判定</t>
    <rPh sb="0" eb="2">
      <t>ハンテイ</t>
    </rPh>
    <phoneticPr fontId="58"/>
  </si>
  <si>
    <t>R</t>
    <phoneticPr fontId="58"/>
  </si>
  <si>
    <t>Stotal÷Ess</t>
    <phoneticPr fontId="58"/>
  </si>
  <si>
    <t>R'</t>
    <phoneticPr fontId="58"/>
  </si>
  <si>
    <t>Ssubtotal÷Ess</t>
    <phoneticPr fontId="58"/>
  </si>
  <si>
    <t>↓</t>
    <phoneticPr fontId="58"/>
  </si>
  <si>
    <t>ZEH一次エネ判定</t>
    <rPh sb="3" eb="5">
      <t>イチジ</t>
    </rPh>
    <rPh sb="7" eb="9">
      <t>ハンテイ</t>
    </rPh>
    <phoneticPr fontId="58"/>
  </si>
  <si>
    <t>ZEH判定</t>
    <rPh sb="3" eb="5">
      <t>ハンテイ</t>
    </rPh>
    <phoneticPr fontId="1"/>
  </si>
  <si>
    <t>一次エネ削減率（再エネ無し）</t>
    <rPh sb="0" eb="2">
      <t>イチジ</t>
    </rPh>
    <rPh sb="4" eb="6">
      <t>サクゲン</t>
    </rPh>
    <rPh sb="6" eb="7">
      <t>リツ</t>
    </rPh>
    <rPh sb="8" eb="9">
      <t>サイ</t>
    </rPh>
    <rPh sb="11" eb="12">
      <t>ナ</t>
    </rPh>
    <phoneticPr fontId="1"/>
  </si>
  <si>
    <t>一次エネ削減率（再エネあり）</t>
    <rPh sb="0" eb="2">
      <t>イチジ</t>
    </rPh>
    <rPh sb="4" eb="6">
      <t>サクゲン</t>
    </rPh>
    <rPh sb="6" eb="7">
      <t>リツ</t>
    </rPh>
    <rPh sb="8" eb="9">
      <t>サイ</t>
    </rPh>
    <phoneticPr fontId="1"/>
  </si>
  <si>
    <r>
      <t>ライフサイクルCO</t>
    </r>
    <r>
      <rPr>
        <b/>
        <vertAlign val="subscript"/>
        <sz val="12"/>
        <color theme="0"/>
        <rFont val="ＭＳ Ｐゴシック"/>
        <family val="3"/>
        <charset val="128"/>
      </rPr>
      <t>2</t>
    </r>
    <r>
      <rPr>
        <b/>
        <sz val="12"/>
        <color theme="0"/>
        <rFont val="ＭＳ Ｐゴシック"/>
        <family val="3"/>
        <charset val="128"/>
      </rPr>
      <t>計算シート（低層共同住宅標準計算用）</t>
    </r>
    <rPh sb="10" eb="12">
      <t>ケイサン</t>
    </rPh>
    <rPh sb="16" eb="18">
      <t>テイソウ</t>
    </rPh>
    <rPh sb="18" eb="20">
      <t>キョウドウ</t>
    </rPh>
    <rPh sb="20" eb="22">
      <t>ジュウタク</t>
    </rPh>
    <rPh sb="22" eb="24">
      <t>ヒョウジュン</t>
    </rPh>
    <rPh sb="24" eb="26">
      <t>ケイサン</t>
    </rPh>
    <rPh sb="26" eb="27">
      <t>ヨウ</t>
    </rPh>
    <phoneticPr fontId="4"/>
  </si>
  <si>
    <r>
      <t>kg-CO</t>
    </r>
    <r>
      <rPr>
        <vertAlign val="subscript"/>
        <sz val="10"/>
        <rFont val="ＭＳ Ｐゴシック"/>
        <family val="3"/>
        <charset val="128"/>
      </rPr>
      <t>2</t>
    </r>
    <r>
      <rPr>
        <sz val="10"/>
        <rFont val="ＭＳ Ｐゴシック"/>
        <family val="3"/>
        <charset val="128"/>
      </rPr>
      <t>/年</t>
    </r>
    <rPh sb="7" eb="8">
      <t>ネン</t>
    </rPh>
    <phoneticPr fontId="4"/>
  </si>
  <si>
    <r>
      <t>CO</t>
    </r>
    <r>
      <rPr>
        <vertAlign val="subscript"/>
        <sz val="9"/>
        <rFont val="ＭＳ Ｐゴシック"/>
        <family val="3"/>
        <charset val="128"/>
      </rPr>
      <t>2</t>
    </r>
    <r>
      <rPr>
        <sz val="9"/>
        <rFont val="ＭＳ Ｐゴシック"/>
        <family val="3"/>
        <charset val="128"/>
      </rPr>
      <t>削減率</t>
    </r>
    <r>
      <rPr>
        <vertAlign val="superscript"/>
        <sz val="9"/>
        <rFont val="ＭＳ Ｐゴシック"/>
        <family val="3"/>
        <charset val="128"/>
      </rPr>
      <t>※</t>
    </r>
    <rPh sb="3" eb="5">
      <t>サクゲン</t>
    </rPh>
    <rPh sb="5" eb="6">
      <t>リツ</t>
    </rPh>
    <phoneticPr fontId="4"/>
  </si>
  <si>
    <t>躯体　　　　　　木質系</t>
    <rPh sb="8" eb="10">
      <t>モクシツ</t>
    </rPh>
    <rPh sb="10" eb="11">
      <t>ケイ</t>
    </rPh>
    <phoneticPr fontId="4"/>
  </si>
  <si>
    <r>
      <t>※ CO</t>
    </r>
    <r>
      <rPr>
        <vertAlign val="subscript"/>
        <sz val="10"/>
        <rFont val="ＭＳ Ｐゴシック"/>
        <family val="3"/>
        <charset val="128"/>
      </rPr>
      <t>2</t>
    </r>
    <r>
      <rPr>
        <sz val="10"/>
        <rFont val="ＭＳ Ｐゴシック"/>
        <family val="3"/>
        <charset val="128"/>
      </rPr>
      <t>削減率：LR</t>
    </r>
    <r>
      <rPr>
        <vertAlign val="subscript"/>
        <sz val="10"/>
        <rFont val="ＭＳ Ｐゴシック"/>
        <family val="3"/>
        <charset val="128"/>
      </rPr>
      <t>H</t>
    </r>
    <r>
      <rPr>
        <sz val="10"/>
        <rFont val="ＭＳ Ｐゴシック"/>
        <family val="3"/>
        <charset val="128"/>
      </rPr>
      <t>3.1.1 地球温暖化への配慮　加点条件</t>
    </r>
    <rPh sb="5" eb="7">
      <t>サクゲン</t>
    </rPh>
    <rPh sb="7" eb="8">
      <t>リツ</t>
    </rPh>
    <rPh sb="18" eb="20">
      <t>チキュウ</t>
    </rPh>
    <rPh sb="20" eb="23">
      <t>オンダンカ</t>
    </rPh>
    <rPh sb="25" eb="27">
      <t>ハイリョ</t>
    </rPh>
    <rPh sb="28" eb="30">
      <t>カテン</t>
    </rPh>
    <rPh sb="30" eb="32">
      <t>ジョウケン</t>
    </rPh>
    <phoneticPr fontId="4"/>
  </si>
  <si>
    <r>
      <t>1-2.　導入設備に係るCO</t>
    </r>
    <r>
      <rPr>
        <b/>
        <vertAlign val="subscript"/>
        <sz val="10"/>
        <rFont val="ＭＳ Ｐゴシック"/>
        <family val="3"/>
        <charset val="128"/>
      </rPr>
      <t>2</t>
    </r>
    <r>
      <rPr>
        <b/>
        <sz val="10"/>
        <rFont val="ＭＳ Ｐゴシック"/>
        <family val="3"/>
        <charset val="128"/>
      </rPr>
      <t>排出量</t>
    </r>
    <rPh sb="5" eb="7">
      <t>ドウニュウ</t>
    </rPh>
    <rPh sb="7" eb="9">
      <t>セツビ</t>
    </rPh>
    <rPh sb="10" eb="11">
      <t>カカ</t>
    </rPh>
    <rPh sb="15" eb="17">
      <t>ハイシュツ</t>
    </rPh>
    <rPh sb="17" eb="18">
      <t>リョウ</t>
    </rPh>
    <phoneticPr fontId="4"/>
  </si>
  <si>
    <t>発電量</t>
    <rPh sb="0" eb="2">
      <t>ハツデン</t>
    </rPh>
    <rPh sb="2" eb="3">
      <t>リョウ</t>
    </rPh>
    <phoneticPr fontId="4"/>
  </si>
  <si>
    <t>PBT</t>
    <phoneticPr fontId="4"/>
  </si>
  <si>
    <t>供用期間</t>
    <rPh sb="0" eb="2">
      <t>キョウヨウ</t>
    </rPh>
    <rPh sb="2" eb="4">
      <t>キカン</t>
    </rPh>
    <phoneticPr fontId="4"/>
  </si>
  <si>
    <r>
      <t>kg-CO</t>
    </r>
    <r>
      <rPr>
        <vertAlign val="subscript"/>
        <sz val="10"/>
        <rFont val="ＭＳ Ｐゴシック"/>
        <family val="3"/>
        <charset val="128"/>
      </rPr>
      <t>2</t>
    </r>
    <phoneticPr fontId="4"/>
  </si>
  <si>
    <r>
      <t>kg-CO</t>
    </r>
    <r>
      <rPr>
        <vertAlign val="subscript"/>
        <sz val="10"/>
        <rFont val="ＭＳ Ｐゴシック"/>
        <family val="3"/>
        <charset val="128"/>
      </rPr>
      <t>2</t>
    </r>
    <r>
      <rPr>
        <sz val="10"/>
        <rFont val="ＭＳ Ｐゴシック"/>
        <family val="3"/>
        <charset val="128"/>
      </rPr>
      <t>/年</t>
    </r>
    <phoneticPr fontId="4"/>
  </si>
  <si>
    <t>1-3.　合計の計算</t>
    <rPh sb="5" eb="7">
      <t>ゴウケイ</t>
    </rPh>
    <rPh sb="8" eb="10">
      <t>ケイサン</t>
    </rPh>
    <phoneticPr fontId="4"/>
  </si>
  <si>
    <r>
      <t>kg-CO</t>
    </r>
    <r>
      <rPr>
        <vertAlign val="subscript"/>
        <sz val="10"/>
        <rFont val="ＭＳ Ｐゴシック"/>
        <family val="3"/>
        <charset val="128"/>
      </rPr>
      <t>2</t>
    </r>
    <r>
      <rPr>
        <sz val="10"/>
        <rFont val="ＭＳ Ｐゴシック"/>
        <family val="3"/>
        <charset val="128"/>
      </rPr>
      <t>/年・棟</t>
    </r>
    <rPh sb="7" eb="8">
      <t>ネン</t>
    </rPh>
    <rPh sb="9" eb="10">
      <t>トウ</t>
    </rPh>
    <phoneticPr fontId="4"/>
  </si>
  <si>
    <r>
      <t>■CO</t>
    </r>
    <r>
      <rPr>
        <b/>
        <vertAlign val="subscript"/>
        <sz val="16"/>
        <rFont val="ＭＳ Ｐゴシック"/>
        <family val="3"/>
        <charset val="128"/>
      </rPr>
      <t>2</t>
    </r>
    <r>
      <rPr>
        <b/>
        <sz val="16"/>
        <rFont val="ＭＳ Ｐゴシック"/>
        <family val="3"/>
        <charset val="128"/>
      </rPr>
      <t>データベース</t>
    </r>
    <phoneticPr fontId="4"/>
  </si>
  <si>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</si>
  <si>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
      <rPr>
        <sz val="10"/>
        <rFont val="ＭＳ Ｐゴシック"/>
        <family val="3"/>
        <charset val="128"/>
      </rPr>
      <t>）</t>
    </r>
    <rPh sb="8" eb="9">
      <t>ネン</t>
    </rPh>
    <phoneticPr fontId="4"/>
  </si>
  <si>
    <r>
      <t>Q</t>
    </r>
    <r>
      <rPr>
        <vertAlign val="subscript"/>
        <sz val="11"/>
        <rFont val="ＭＳ Ｐゴシック"/>
        <family val="3"/>
        <charset val="128"/>
      </rPr>
      <t>H</t>
    </r>
    <r>
      <rPr>
        <sz val="11"/>
        <rFont val="ＭＳ Ｐゴシック"/>
        <family val="3"/>
        <charset val="128"/>
      </rPr>
      <t>2.1.2外壁</t>
    </r>
    <rPh sb="7" eb="9">
      <t>ガイヘキ</t>
    </rPh>
    <phoneticPr fontId="4"/>
  </si>
  <si>
    <r>
      <t>Q</t>
    </r>
    <r>
      <rPr>
        <vertAlign val="subscript"/>
        <sz val="11"/>
        <rFont val="ＭＳ Ｐゴシック"/>
        <family val="3"/>
        <charset val="128"/>
      </rPr>
      <t>H</t>
    </r>
    <r>
      <rPr>
        <sz val="11"/>
        <rFont val="ＭＳ Ｐゴシック"/>
        <family val="3"/>
        <charset val="128"/>
      </rPr>
      <t>2.1.3屋根</t>
    </r>
    <rPh sb="7" eb="9">
      <t>ヤネ</t>
    </rPh>
    <phoneticPr fontId="4"/>
  </si>
  <si>
    <r>
      <t>Q</t>
    </r>
    <r>
      <rPr>
        <vertAlign val="subscript"/>
        <sz val="11"/>
        <rFont val="ＭＳ Ｐゴシック"/>
        <family val="3"/>
        <charset val="128"/>
      </rPr>
      <t>H</t>
    </r>
    <r>
      <rPr>
        <sz val="11"/>
        <rFont val="ＭＳ Ｐゴシック"/>
        <family val="3"/>
        <charset val="128"/>
      </rPr>
      <t>2.2.2管理体制</t>
    </r>
    <rPh sb="7" eb="9">
      <t>カンリ</t>
    </rPh>
    <rPh sb="9" eb="11">
      <t>タイセイ</t>
    </rPh>
    <phoneticPr fontId="4"/>
  </si>
  <si>
    <t>レベル3</t>
    <phoneticPr fontId="4"/>
  </si>
  <si>
    <t>レベル4</t>
    <phoneticPr fontId="4"/>
  </si>
  <si>
    <t>レベル5</t>
    <phoneticPr fontId="4"/>
  </si>
  <si>
    <t>レベル1</t>
    <phoneticPr fontId="4"/>
  </si>
  <si>
    <t>レベル2</t>
    <phoneticPr fontId="4"/>
  </si>
  <si>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</si>
  <si>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b.　修繕・更新に係るCO</t>
    </r>
    <r>
      <rPr>
        <b/>
        <vertAlign val="subscript"/>
        <sz val="11"/>
        <color rgb="FF00B050"/>
        <rFont val="ＭＳ Ｐゴシック"/>
        <family val="3"/>
        <charset val="128"/>
      </rPr>
      <t>2</t>
    </r>
    <r>
      <rPr>
        <b/>
        <sz val="11"/>
        <color rgb="FF00B050"/>
        <rFont val="ＭＳ Ｐゴシック"/>
        <family val="3"/>
        <charset val="128"/>
      </rPr>
      <t>排出量</t>
    </r>
    <rPh sb="3" eb="5">
      <t>シュウゼン</t>
    </rPh>
    <rPh sb="6" eb="8">
      <t>コウシン</t>
    </rPh>
    <rPh sb="9" eb="10">
      <t>カカ</t>
    </rPh>
    <rPh sb="14" eb="16">
      <t>ハイシュツ</t>
    </rPh>
    <rPh sb="16" eb="17">
      <t>リョウ</t>
    </rPh>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</si>
  <si>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9"/>
  </si>
  <si>
    <t>木質系</t>
    <rPh sb="0" eb="2">
      <t>モクシツ</t>
    </rPh>
    <rPh sb="2" eb="3">
      <t>ケイ</t>
    </rPh>
    <phoneticPr fontId="9"/>
  </si>
  <si>
    <t>鉄骨系</t>
    <rPh sb="0" eb="2">
      <t>テッコツ</t>
    </rPh>
    <rPh sb="2" eb="3">
      <t>ケイ</t>
    </rPh>
    <phoneticPr fontId="9"/>
  </si>
  <si>
    <t>コンクリート系</t>
    <rPh sb="6" eb="7">
      <t>ケイ</t>
    </rPh>
    <phoneticPr fontId="9"/>
  </si>
  <si>
    <t>レベル3</t>
  </si>
  <si>
    <t>レベル4</t>
  </si>
  <si>
    <t>レベル5</t>
  </si>
  <si>
    <r>
      <t>c.　解体に係るCO</t>
    </r>
    <r>
      <rPr>
        <b/>
        <vertAlign val="subscript"/>
        <sz val="11"/>
        <color rgb="FF00B050"/>
        <rFont val="ＭＳ Ｐゴシック"/>
        <family val="3"/>
        <charset val="128"/>
      </rPr>
      <t>2</t>
    </r>
    <r>
      <rPr>
        <b/>
        <sz val="11"/>
        <color rgb="FF00B050"/>
        <rFont val="ＭＳ Ｐゴシック"/>
        <family val="3"/>
        <charset val="128"/>
      </rPr>
      <t>排出量</t>
    </r>
    <rPh sb="3" eb="5">
      <t>カイタイ</t>
    </rPh>
    <rPh sb="6" eb="7">
      <t>カカ</t>
    </rPh>
    <rPh sb="11" eb="13">
      <t>ハイシュツ</t>
    </rPh>
    <rPh sb="13" eb="14">
      <t>リョウ</t>
    </rPh>
    <phoneticPr fontId="4"/>
  </si>
  <si>
    <r>
      <t>c.　導入設備に係るCO</t>
    </r>
    <r>
      <rPr>
        <b/>
        <vertAlign val="subscript"/>
        <sz val="10"/>
        <color rgb="FF00B050"/>
        <rFont val="ＭＳ Ｐゴシック"/>
        <family val="3"/>
        <charset val="128"/>
      </rPr>
      <t>2</t>
    </r>
    <r>
      <rPr>
        <b/>
        <sz val="10"/>
        <color rgb="FF00B050"/>
        <rFont val="ＭＳ Ｐゴシック"/>
        <family val="3"/>
        <charset val="128"/>
      </rPr>
      <t>排出量</t>
    </r>
    <rPh sb="3" eb="5">
      <t>ドウニュウ</t>
    </rPh>
    <rPh sb="5" eb="7">
      <t>セツビ</t>
    </rPh>
    <rPh sb="8" eb="9">
      <t>カカ</t>
    </rPh>
    <rPh sb="13" eb="15">
      <t>ハイシュツ</t>
    </rPh>
    <rPh sb="15" eb="16">
      <t>リョウ</t>
    </rPh>
    <phoneticPr fontId="4"/>
  </si>
  <si>
    <t>kg-CO2/kg</t>
    <phoneticPr fontId="4"/>
  </si>
  <si>
    <t>更新周期</t>
    <rPh sb="0" eb="2">
      <t>コウシン</t>
    </rPh>
    <rPh sb="2" eb="4">
      <t>シュウキ</t>
    </rPh>
    <phoneticPr fontId="4"/>
  </si>
  <si>
    <t>エコキュート</t>
    <phoneticPr fontId="4"/>
  </si>
  <si>
    <r>
      <t>ｃ　居住時のCO</t>
    </r>
    <r>
      <rPr>
        <b/>
        <vertAlign val="subscript"/>
        <sz val="11"/>
        <rFont val="ＭＳ Ｐゴシック"/>
        <family val="3"/>
        <charset val="128"/>
      </rPr>
      <t>2</t>
    </r>
    <r>
      <rPr>
        <b/>
        <sz val="11"/>
        <rFont val="ＭＳ Ｐゴシック"/>
        <family val="3"/>
        <charset val="128"/>
      </rPr>
      <t>排出量算出のための基準値</t>
    </r>
    <rPh sb="2" eb="4">
      <t>キョジュウ</t>
    </rPh>
    <rPh sb="4" eb="5">
      <t>ジ</t>
    </rPh>
    <rPh sb="9" eb="11">
      <t>ハイシュツ</t>
    </rPh>
    <rPh sb="11" eb="12">
      <t>リョウ</t>
    </rPh>
    <rPh sb="12" eb="14">
      <t>サンシュツ</t>
    </rPh>
    <rPh sb="18" eb="21">
      <t>キジュンチ</t>
    </rPh>
    <phoneticPr fontId="4"/>
  </si>
  <si>
    <t>電力（実排出係数）</t>
    <rPh sb="0" eb="2">
      <t>デンリョク</t>
    </rPh>
    <rPh sb="3" eb="4">
      <t>ジツ</t>
    </rPh>
    <rPh sb="4" eb="6">
      <t>ハイシュツ</t>
    </rPh>
    <rPh sb="6" eb="8">
      <t>ケイスウ</t>
    </rPh>
    <phoneticPr fontId="3"/>
  </si>
  <si>
    <r>
      <t>kg-CO</t>
    </r>
    <r>
      <rPr>
        <vertAlign val="subscript"/>
        <sz val="10"/>
        <rFont val="ＭＳ Ｐゴシック"/>
        <family val="3"/>
        <charset val="128"/>
      </rPr>
      <t>2</t>
    </r>
    <r>
      <rPr>
        <sz val="10"/>
        <rFont val="ＭＳ Ｐゴシック"/>
        <family val="3"/>
        <charset val="128"/>
      </rPr>
      <t>/kWh</t>
    </r>
    <phoneticPr fontId="4"/>
  </si>
  <si>
    <t>（調整後排出係数</t>
    <rPh sb="1" eb="4">
      <t>チョウセイゴ</t>
    </rPh>
    <rPh sb="4" eb="6">
      <t>ハイシュツ</t>
    </rPh>
    <rPh sb="6" eb="8">
      <t>ケイスウ</t>
    </rPh>
    <phoneticPr fontId="4"/>
  </si>
  <si>
    <r>
      <t>kg-CO</t>
    </r>
    <r>
      <rPr>
        <vertAlign val="subscript"/>
        <sz val="10"/>
        <rFont val="ＭＳ Ｐゴシック"/>
        <family val="3"/>
        <charset val="128"/>
      </rPr>
      <t>2</t>
    </r>
    <r>
      <rPr>
        <sz val="10"/>
        <rFont val="ＭＳ Ｐゴシック"/>
        <family val="3"/>
        <charset val="128"/>
      </rPr>
      <t>/kWh）</t>
    </r>
    <phoneticPr fontId="4"/>
  </si>
  <si>
    <t>MJ/kWhで換算した値（H28建築物省エネ法告示全日平均）</t>
    <rPh sb="7" eb="9">
      <t>カンサン</t>
    </rPh>
    <rPh sb="11" eb="12">
      <t>アタイ</t>
    </rPh>
    <rPh sb="16" eb="19">
      <t>ケンチクブツ</t>
    </rPh>
    <rPh sb="19" eb="20">
      <t>ショウ</t>
    </rPh>
    <rPh sb="22" eb="23">
      <t>ホウ</t>
    </rPh>
    <rPh sb="23" eb="25">
      <t>コクジ</t>
    </rPh>
    <rPh sb="25" eb="26">
      <t>ゼン</t>
    </rPh>
    <rPh sb="26" eb="27">
      <t>ヒ</t>
    </rPh>
    <rPh sb="27" eb="29">
      <t>ヘイキン</t>
    </rPh>
    <phoneticPr fontId="3"/>
  </si>
  <si>
    <t>都市ガス</t>
    <rPh sb="0" eb="2">
      <t>トシ</t>
    </rPh>
    <phoneticPr fontId="3"/>
  </si>
  <si>
    <t>DHC</t>
  </si>
  <si>
    <t>灯油</t>
    <rPh sb="0" eb="2">
      <t>トウユ</t>
    </rPh>
    <phoneticPr fontId="3"/>
  </si>
  <si>
    <t>Ａ重油</t>
  </si>
  <si>
    <t>その他</t>
    <rPh sb="2" eb="3">
      <t>タ</t>
    </rPh>
    <phoneticPr fontId="3"/>
  </si>
  <si>
    <t>(灯油＋A重油の平均値）</t>
    <rPh sb="1" eb="3">
      <t>トウユ</t>
    </rPh>
    <rPh sb="5" eb="7">
      <t>ジュウユ</t>
    </rPh>
    <rPh sb="8" eb="11">
      <t>ヘイキンチ</t>
    </rPh>
    <phoneticPr fontId="3"/>
  </si>
  <si>
    <t>LPG</t>
    <phoneticPr fontId="4"/>
  </si>
  <si>
    <t>家庭部門エネルギー種別構成比</t>
    <rPh sb="0" eb="2">
      <t>カテイ</t>
    </rPh>
    <rPh sb="2" eb="4">
      <t>ブモン</t>
    </rPh>
    <rPh sb="9" eb="11">
      <t>シュベツ</t>
    </rPh>
    <rPh sb="11" eb="14">
      <t>コウセイヒ</t>
    </rPh>
    <phoneticPr fontId="4"/>
  </si>
  <si>
    <t>構成比(％)</t>
    <rPh sb="0" eb="3">
      <t>コウセイヒ</t>
    </rPh>
    <phoneticPr fontId="4"/>
  </si>
  <si>
    <r>
      <t>CO</t>
    </r>
    <r>
      <rPr>
        <vertAlign val="subscript"/>
        <sz val="9"/>
        <rFont val="ＭＳ Ｐゴシック"/>
        <family val="3"/>
        <charset val="128"/>
      </rPr>
      <t>2</t>
    </r>
    <r>
      <rPr>
        <sz val="9"/>
        <rFont val="ＭＳ Ｐゴシック"/>
        <family val="3"/>
        <charset val="128"/>
      </rPr>
      <t>換算値</t>
    </r>
    <rPh sb="3" eb="5">
      <t>カンサン</t>
    </rPh>
    <rPh sb="5" eb="6">
      <t>チ</t>
    </rPh>
    <phoneticPr fontId="4"/>
  </si>
  <si>
    <t>電力</t>
    <rPh sb="0" eb="2">
      <t>デンリョク</t>
    </rPh>
    <phoneticPr fontId="4"/>
  </si>
  <si>
    <t>都市ガス</t>
    <rPh sb="0" eb="2">
      <t>トシ</t>
    </rPh>
    <phoneticPr fontId="4"/>
  </si>
  <si>
    <t>DHC</t>
    <phoneticPr fontId="4"/>
  </si>
  <si>
    <t>灯油</t>
    <rPh sb="0" eb="2">
      <t>トウユ</t>
    </rPh>
    <phoneticPr fontId="4"/>
  </si>
  <si>
    <t>A重油</t>
    <rPh sb="1" eb="3">
      <t>ジュウユ</t>
    </rPh>
    <phoneticPr fontId="4"/>
  </si>
  <si>
    <t>再生可能・未活用エネルギー</t>
    <phoneticPr fontId="4"/>
  </si>
  <si>
    <r>
      <t>LR</t>
    </r>
    <r>
      <rPr>
        <b/>
        <vertAlign val="subscript"/>
        <sz val="10"/>
        <rFont val="ＭＳ Ｐゴシック"/>
        <family val="3"/>
        <charset val="128"/>
      </rPr>
      <t>H</t>
    </r>
    <r>
      <rPr>
        <b/>
        <sz val="10"/>
        <rFont val="ＭＳ Ｐゴシック"/>
        <family val="3"/>
        <charset val="128"/>
      </rPr>
      <t>1.1.1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9" eb="11">
      <t>シヨウ</t>
    </rPh>
    <rPh sb="11" eb="13">
      <t>キジュン</t>
    </rPh>
    <rPh sb="13" eb="15">
      <t>ヒョウカ</t>
    </rPh>
    <rPh sb="16" eb="18">
      <t>バアイ</t>
    </rPh>
    <phoneticPr fontId="4"/>
  </si>
  <si>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4"/>
  </si>
  <si>
    <t>設備の方式</t>
  </si>
  <si>
    <r>
      <t>LR</t>
    </r>
    <r>
      <rPr>
        <vertAlign val="subscript"/>
        <sz val="10"/>
        <rFont val="ＭＳ Ｐゴシック"/>
        <family val="3"/>
        <charset val="128"/>
      </rPr>
      <t>H</t>
    </r>
    <r>
      <rPr>
        <sz val="10"/>
        <rFont val="ＭＳ Ｐゴシック"/>
        <family val="3"/>
        <charset val="128"/>
      </rPr>
      <t>1.1.1の</t>
    </r>
    <phoneticPr fontId="4"/>
  </si>
  <si>
    <t>評価建物</t>
    <rPh sb="0" eb="2">
      <t>ヒョウカ</t>
    </rPh>
    <rPh sb="2" eb="4">
      <t>タテモノ</t>
    </rPh>
    <phoneticPr fontId="4"/>
  </si>
  <si>
    <t>地域区分</t>
  </si>
  <si>
    <t>「－」の場合</t>
    <phoneticPr fontId="4"/>
  </si>
  <si>
    <t>暖房</t>
  </si>
  <si>
    <t>冷房</t>
  </si>
  <si>
    <t>評価ﾚﾍﾞﾙ</t>
    <phoneticPr fontId="4"/>
  </si>
  <si>
    <t>Ａａ0</t>
    <phoneticPr fontId="4"/>
  </si>
  <si>
    <t>Ａ</t>
  </si>
  <si>
    <t>ａ</t>
  </si>
  <si>
    <t>レベル１</t>
  </si>
  <si>
    <t>Ａａ1</t>
    <phoneticPr fontId="4"/>
  </si>
  <si>
    <t>Ａａ3</t>
    <phoneticPr fontId="4"/>
  </si>
  <si>
    <t>Ａｂ0</t>
    <phoneticPr fontId="4"/>
  </si>
  <si>
    <t>ｂ</t>
  </si>
  <si>
    <t>Ａｂ1</t>
    <phoneticPr fontId="4"/>
  </si>
  <si>
    <t>Ａｂ3</t>
    <phoneticPr fontId="4"/>
  </si>
  <si>
    <t>Ｂａ0</t>
    <phoneticPr fontId="4"/>
  </si>
  <si>
    <t>Ｂ</t>
  </si>
  <si>
    <t>Ｂａ1</t>
    <phoneticPr fontId="4"/>
  </si>
  <si>
    <t>Ｂａ3</t>
    <phoneticPr fontId="4"/>
  </si>
  <si>
    <t>Ｂｂ0</t>
    <phoneticPr fontId="4"/>
  </si>
  <si>
    <t>Ｂｂ1</t>
    <phoneticPr fontId="4"/>
  </si>
  <si>
    <t>Ｂｂ3</t>
    <phoneticPr fontId="4"/>
  </si>
  <si>
    <t>Ｃａ0</t>
    <phoneticPr fontId="4"/>
  </si>
  <si>
    <t>Ｃ</t>
  </si>
  <si>
    <t>Ｃａ1</t>
    <phoneticPr fontId="4"/>
  </si>
  <si>
    <t>Ｃａ3</t>
    <phoneticPr fontId="4"/>
  </si>
  <si>
    <t>Ｃｂ0</t>
    <phoneticPr fontId="4"/>
  </si>
  <si>
    <t>Ｃｂ1</t>
    <phoneticPr fontId="4"/>
  </si>
  <si>
    <t>Ｃｂ3</t>
    <phoneticPr fontId="4"/>
  </si>
  <si>
    <r>
      <t>ｄ.　ライフサイクルCO</t>
    </r>
    <r>
      <rPr>
        <b/>
        <vertAlign val="subscript"/>
        <sz val="11"/>
        <rFont val="ＭＳ Ｐゴシック"/>
        <family val="3"/>
        <charset val="128"/>
      </rPr>
      <t>2</t>
    </r>
    <r>
      <rPr>
        <b/>
        <sz val="11"/>
        <rFont val="ＭＳ Ｐゴシック"/>
        <family val="3"/>
        <charset val="128"/>
      </rPr>
      <t>算定条件</t>
    </r>
    <rPh sb="13" eb="15">
      <t>サンテイ</t>
    </rPh>
    <rPh sb="15" eb="17">
      <t>ジョウケン</t>
    </rPh>
    <phoneticPr fontId="4"/>
  </si>
  <si>
    <t>更新周期(年）</t>
    <rPh sb="0" eb="2">
      <t>コウシン</t>
    </rPh>
    <rPh sb="2" eb="4">
      <t>シュウキ</t>
    </rPh>
    <rPh sb="5" eb="6">
      <t>ネン</t>
    </rPh>
    <phoneticPr fontId="4"/>
  </si>
  <si>
    <r>
      <t>Q</t>
    </r>
    <r>
      <rPr>
        <vertAlign val="subscript"/>
        <sz val="11"/>
        <rFont val="ＭＳ Ｐゴシック"/>
        <family val="3"/>
        <charset val="128"/>
      </rPr>
      <t>H</t>
    </r>
    <r>
      <rPr>
        <sz val="11"/>
        <rFont val="ＭＳ Ｐゴシック"/>
        <family val="3"/>
        <charset val="128"/>
      </rPr>
      <t>2.1.2　外壁
Q</t>
    </r>
    <r>
      <rPr>
        <vertAlign val="subscript"/>
        <sz val="11"/>
        <rFont val="ＭＳ Ｐゴシック"/>
        <family val="3"/>
        <charset val="128"/>
      </rPr>
      <t>H</t>
    </r>
    <r>
      <rPr>
        <sz val="11"/>
        <rFont val="ＭＳ Ｐゴシック"/>
        <family val="3"/>
        <charset val="128"/>
      </rPr>
      <t>2.1.2　屋根</t>
    </r>
    <rPh sb="8" eb="10">
      <t>ガイヘキ</t>
    </rPh>
    <rPh sb="19" eb="21">
      <t>ヤネ</t>
    </rPh>
    <phoneticPr fontId="4"/>
  </si>
  <si>
    <r>
      <t>（kg-CO</t>
    </r>
    <r>
      <rPr>
        <vertAlign val="subscript"/>
        <sz val="10"/>
        <rFont val="ＭＳ Ｐゴシック"/>
        <family val="3"/>
        <charset val="128"/>
      </rPr>
      <t>2</t>
    </r>
    <r>
      <rPr>
        <sz val="10"/>
        <rFont val="ＭＳ Ｐゴシック"/>
        <family val="3"/>
        <charset val="128"/>
      </rPr>
      <t>/年戸）</t>
    </r>
    <rPh sb="8" eb="9">
      <t>ネン</t>
    </rPh>
    <rPh sb="9" eb="10">
      <t>コ</t>
    </rPh>
    <phoneticPr fontId="4"/>
  </si>
  <si>
    <r>
      <t>b.　修繕・更新に係るCO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0">
      <t>カカ</t>
    </rPh>
    <rPh sb="14" eb="16">
      <t>ハイシュツ</t>
    </rPh>
    <rPh sb="16" eb="17">
      <t>リョウ</t>
    </rPh>
    <phoneticPr fontId="4"/>
  </si>
  <si>
    <r>
      <t>居住時のCO</t>
    </r>
    <r>
      <rPr>
        <b/>
        <vertAlign val="subscript"/>
        <sz val="11"/>
        <rFont val="ＭＳ Ｐゴシック"/>
        <family val="3"/>
        <charset val="128"/>
      </rPr>
      <t>2</t>
    </r>
    <r>
      <rPr>
        <b/>
        <sz val="11"/>
        <rFont val="ＭＳ Ｐゴシック"/>
        <family val="3"/>
        <charset val="128"/>
      </rPr>
      <t>計算に用いる電気事業者別CO</t>
    </r>
    <r>
      <rPr>
        <b/>
        <vertAlign val="subscript"/>
        <sz val="11"/>
        <rFont val="ＭＳ Ｐゴシック"/>
        <family val="3"/>
        <charset val="128"/>
      </rPr>
      <t>2</t>
    </r>
    <r>
      <rPr>
        <b/>
        <sz val="11"/>
        <rFont val="ＭＳ Ｐゴシック"/>
        <family val="3"/>
        <charset val="128"/>
      </rPr>
      <t>排出係数</t>
    </r>
    <phoneticPr fontId="4"/>
  </si>
  <si>
    <r>
      <t>(t-CO</t>
    </r>
    <r>
      <rPr>
        <vertAlign val="subscript"/>
        <sz val="10"/>
        <rFont val="ＭＳ Ｐゴシック"/>
        <family val="3"/>
        <charset val="128"/>
      </rPr>
      <t>2</t>
    </r>
    <r>
      <rPr>
        <sz val="10"/>
        <rFont val="ＭＳ Ｐゴシック"/>
        <family val="3"/>
        <charset val="128"/>
      </rPr>
      <t>/kWh)</t>
    </r>
    <phoneticPr fontId="4"/>
  </si>
  <si>
    <t>◆戸建標準計算に用いる排出係数</t>
    <phoneticPr fontId="4"/>
  </si>
  <si>
    <t>事業者名</t>
    <phoneticPr fontId="4"/>
  </si>
  <si>
    <t>実排出係数</t>
    <phoneticPr fontId="4"/>
  </si>
  <si>
    <t>（参考）調整後排出係数（「戸建独自計算」で使用可能）</t>
    <phoneticPr fontId="4"/>
  </si>
  <si>
    <r>
      <t>◆CO</t>
    </r>
    <r>
      <rPr>
        <vertAlign val="subscript"/>
        <sz val="10"/>
        <rFont val="ＭＳ Ｐゴシック"/>
        <family val="3"/>
        <charset val="128"/>
      </rPr>
      <t>2</t>
    </r>
    <r>
      <rPr>
        <sz val="10"/>
        <rFont val="ＭＳ Ｐゴシック"/>
        <family val="3"/>
        <charset val="128"/>
      </rPr>
      <t>計算に利用可能な電気の排出係数
(1) 算定省令に基づく電気事業者ごとの実排出係数、
     および電気事業者等より公表される調整後排出係数</t>
    </r>
    <phoneticPr fontId="4"/>
  </si>
  <si>
    <t>＜参考＞
平成28年度の電気事業者別実排出係数・調整後排出係数等公表値</t>
    <rPh sb="32" eb="34">
      <t>コウヒョウ</t>
    </rPh>
    <rPh sb="34" eb="35">
      <t>チ</t>
    </rPh>
    <phoneticPr fontId="4"/>
  </si>
  <si>
    <t>事業者名</t>
  </si>
  <si>
    <t>調整後排出係数</t>
    <phoneticPr fontId="4"/>
  </si>
  <si>
    <t>北海道電力株式会社</t>
  </si>
  <si>
    <t>東北電力株式会社</t>
  </si>
  <si>
    <t>東京電力ｴﾅｼﾞｰﾊﾟｰﾄﾅｰ株式会社</t>
    <phoneticPr fontId="4"/>
  </si>
  <si>
    <t>中部電力株式会社</t>
  </si>
  <si>
    <t>北陸電力株式会社</t>
  </si>
  <si>
    <t>関西電力株式会社</t>
  </si>
  <si>
    <t>中国電力株式会社</t>
  </si>
  <si>
    <t>四国電力株式会社</t>
  </si>
  <si>
    <t>九州電力株式会社</t>
  </si>
  <si>
    <t>沖縄電力株式会社</t>
  </si>
  <si>
    <t>その他</t>
    <phoneticPr fontId="4"/>
  </si>
  <si>
    <t>(2) 上記以外の排出係数</t>
    <phoneticPr fontId="4"/>
  </si>
  <si>
    <t>その他/事業社名、根拠等</t>
    <phoneticPr fontId="4"/>
  </si>
  <si>
    <t>代替値</t>
    <rPh sb="0" eb="2">
      <t>ダイタイ</t>
    </rPh>
    <rPh sb="2" eb="3">
      <t>アタイ</t>
    </rPh>
    <phoneticPr fontId="1"/>
  </si>
  <si>
    <t>↑</t>
    <phoneticPr fontId="4"/>
  </si>
  <si>
    <t>「メイン」シートの「電力会社等」で「その他」を選択した場合は必ず入力する。</t>
    <phoneticPr fontId="4"/>
  </si>
  <si>
    <t>注）</t>
    <phoneticPr fontId="4"/>
  </si>
  <si>
    <t>が「戸建標準計算」で用いられる値</t>
    <phoneticPr fontId="4"/>
  </si>
  <si>
    <t>　E.コジェネ設備の売電量に係る控除量</t>
    <phoneticPr fontId="4"/>
  </si>
  <si>
    <t>　F.発電量（コージェネレーション）</t>
    <phoneticPr fontId="4"/>
  </si>
  <si>
    <t>　G.発電量（太陽光発電）</t>
    <phoneticPr fontId="4"/>
  </si>
  <si>
    <t>　H.売電量（コージェネレーション）</t>
    <phoneticPr fontId="4"/>
  </si>
  <si>
    <t>　I.その他の設備</t>
    <rPh sb="5" eb="6">
      <t>タ</t>
    </rPh>
    <rPh sb="7" eb="9">
      <t>セツビ</t>
    </rPh>
    <phoneticPr fontId="4"/>
  </si>
  <si>
    <t>　C.発電設備の発電量(太陽光発電)のうち自家消費分</t>
    <rPh sb="12" eb="15">
      <t>タイヨウコウ</t>
    </rPh>
    <rPh sb="15" eb="17">
      <t>ハツデン</t>
    </rPh>
    <phoneticPr fontId="4"/>
  </si>
  <si>
    <t>　D.発電設備の発電量（コージェネレーション）のうち自家消費分</t>
    <phoneticPr fontId="4"/>
  </si>
  <si>
    <t>2024.1.1</t>
    <phoneticPr fontId="4"/>
  </si>
  <si>
    <r>
      <t>　■使用評価マニュアル：　LCCM低層共同住宅部門の基本要件（LCCO</t>
    </r>
    <r>
      <rPr>
        <vertAlign val="subscript"/>
        <sz val="9"/>
        <color theme="1"/>
        <rFont val="ＭＳ Ｐゴシック"/>
        <family val="3"/>
        <charset val="128"/>
      </rPr>
      <t>2</t>
    </r>
    <r>
      <rPr>
        <sz val="9"/>
        <color theme="1"/>
        <rFont val="ＭＳ Ｐゴシック"/>
        <family val="3"/>
        <charset val="128"/>
      </rPr>
      <t>）適合判定ツール マニュアル　　　 ■使用評価ソフト：　LCCM_2024v2.0</t>
    </r>
    <rPh sb="17" eb="19">
      <t>テイソウ</t>
    </rPh>
    <rPh sb="19" eb="21">
      <t>キョウドウ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</si>
</sst>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0_ "/>
    <numFmt numFmtId="178" formatCode="0.00_);[Red]\(0.00\)"/>
    <numFmt numFmtId="179" formatCode="0;0;&quot;－&quot;"/>
    <numFmt numFmtId="180" formatCode="#,##0_ "/>
    <numFmt numFmtId="181" formatCode="0.0;0.0;&quot;-&quot;\ "/>
    <numFmt numFmtId="182" formatCode="0.00;0.00;&quot;-&quot;\ "/>
    <numFmt numFmtId="183" formatCode="0.0;0.0;&quot;－&quot;"/>
    <numFmt numFmtId="184" formatCode="#,##0.0;[Red]\-#,##0.0"/>
    <numFmt numFmtId="185" formatCode="0.000_ "/>
    <numFmt numFmtId="186" formatCode="0_ "/>
    <numFmt numFmtId="187" formatCode="&quot;レベル &quot;#"/>
    <numFmt numFmtId="188" formatCode="&quot;レベル &quot;#0.0;0.00;&quot;対象外&quot;"/>
    <numFmt numFmtId="189" formatCode="0_);[Red]\(0\)"/>
    <numFmt numFmtId="190" formatCode="0.00_ ;[Red]\-0.00\ "/>
    <numFmt numFmtId="191" formatCode="0.0000_ "/>
    <numFmt numFmtId="192" formatCode="0.0%"/>
    <numFmt numFmtId="193" formatCode="0.0000"/>
    <numFmt numFmtId="194" formatCode="0.000000"/>
    <numFmt numFmtId="195" formatCode="&quot;レベル &quot;#0;0.00;&quot;対象外&quot;"/>
    <numFmt numFmtId="196" formatCode="&quot;レベル &quot;#0;0.0;&quot;対象外&quot;"/>
    <numFmt numFmtId="197" formatCode="#,##0_);[Red]\(#,##0\)"/>
  </numFmts>
  <fonts count="79" x14ac:knownFonts="1">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8"/>
      <color indexed="17"/>
      <name val="ＭＳ Ｐゴシック"/>
      <family val="3"/>
      <charset val="128"/>
    </font>
    <font>
      <sz val="10"/>
      <name val="ＭＳ Ｐゴシック"/>
      <family val="3"/>
      <charset val="128"/>
    </font>
    <font>
      <sz val="10"/>
      <color indexed="9"/>
      <name val="ＭＳ Ｐゴシック"/>
      <family val="3"/>
      <charset val="128"/>
    </font>
    <font>
      <sz val="9"/>
      <color indexed="9"/>
      <name val="ＭＳ Ｐゴシック"/>
      <family val="3"/>
      <charset val="128"/>
    </font>
    <font>
      <sz val="10"/>
      <name val="Arial"/>
      <family val="2"/>
    </font>
    <font>
      <sz val="11"/>
      <color indexed="10"/>
      <name val="ＭＳ Ｐゴシック"/>
      <family val="3"/>
      <charset val="128"/>
    </font>
    <font>
      <sz val="11"/>
      <color indexed="8"/>
      <name val="ＭＳ Ｐゴシック"/>
      <family val="3"/>
      <charset val="128"/>
    </font>
    <font>
      <b/>
      <sz val="10"/>
      <name val="ＭＳ Ｐゴシック"/>
      <family val="3"/>
      <charset val="128"/>
    </font>
    <font>
      <sz val="9"/>
      <color indexed="81"/>
      <name val="ＭＳ Ｐゴシック"/>
      <family val="3"/>
      <charset val="128"/>
    </font>
    <font>
      <b/>
      <sz val="12"/>
      <color indexed="9"/>
      <name val="ＭＳ Ｐゴシック"/>
      <family val="3"/>
      <charset val="128"/>
    </font>
    <font>
      <sz val="9"/>
      <color indexed="17"/>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1"/>
      <name val="Arial"/>
      <family val="2"/>
    </font>
    <font>
      <i/>
      <sz val="10"/>
      <name val="ＭＳ Ｐゴシック"/>
      <family val="3"/>
      <charset val="128"/>
    </font>
    <font>
      <b/>
      <i/>
      <sz val="11"/>
      <name val="ＭＳ Ｐゴシック"/>
      <family val="3"/>
      <charset val="128"/>
    </font>
    <font>
      <b/>
      <sz val="11"/>
      <color indexed="8"/>
      <name val="ＭＳ Ｐゴシック"/>
      <family val="3"/>
      <charset val="128"/>
    </font>
    <font>
      <sz val="9"/>
      <name val="Arial"/>
      <family val="2"/>
    </font>
    <font>
      <sz val="11"/>
      <name val="ＭＳ Ｐゴシック"/>
      <family val="3"/>
      <charset val="128"/>
    </font>
    <font>
      <sz val="9"/>
      <color indexed="10"/>
      <name val="Arial"/>
      <family val="2"/>
    </font>
    <font>
      <vertAlign val="subscript"/>
      <sz val="9"/>
      <name val="ＭＳ Ｐゴシック"/>
      <family val="3"/>
      <charset val="128"/>
    </font>
    <font>
      <vertAlign val="superscript"/>
      <sz val="10"/>
      <name val="ＭＳ Ｐゴシック"/>
      <family val="3"/>
      <charset val="128"/>
    </font>
    <font>
      <b/>
      <vertAlign val="subscript"/>
      <sz val="12"/>
      <color indexed="9"/>
      <name val="ＭＳ Ｐゴシック"/>
      <family val="3"/>
      <charset val="128"/>
    </font>
    <font>
      <b/>
      <sz val="11"/>
      <color indexed="9"/>
      <name val="ＭＳ Ｐゴシック"/>
      <family val="3"/>
      <charset val="128"/>
    </font>
    <font>
      <vertAlign val="subscript"/>
      <sz val="10"/>
      <name val="ＭＳ Ｐゴシック"/>
      <family val="3"/>
      <charset val="128"/>
    </font>
    <font>
      <vertAlign val="subscript"/>
      <sz val="11"/>
      <name val="ＭＳ Ｐゴシック"/>
      <family val="3"/>
      <charset val="128"/>
    </font>
    <font>
      <b/>
      <sz val="14"/>
      <color indexed="9"/>
      <name val="ＭＳ Ｐゴシック"/>
      <family val="3"/>
      <charset val="128"/>
    </font>
    <font>
      <b/>
      <sz val="8"/>
      <color indexed="9"/>
      <name val="ＭＳ Ｐゴシック"/>
      <family val="3"/>
      <charset val="128"/>
    </font>
    <font>
      <sz val="11"/>
      <color indexed="9"/>
      <name val="ＭＳ Ｐゴシック"/>
      <family val="3"/>
      <charset val="128"/>
    </font>
    <font>
      <b/>
      <vertAlign val="subscript"/>
      <sz val="10"/>
      <name val="ＭＳ Ｐゴシック"/>
      <family val="3"/>
      <charset val="128"/>
    </font>
    <font>
      <b/>
      <vertAlign val="subscript"/>
      <sz val="11"/>
      <name val="ＭＳ Ｐゴシック"/>
      <family val="3"/>
      <charset val="128"/>
    </font>
    <font>
      <b/>
      <vertAlign val="subscript"/>
      <sz val="16"/>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12"/>
      <name val="ＭＳ Ｐゴシック"/>
      <family val="3"/>
      <charset val="128"/>
    </font>
    <font>
      <sz val="10"/>
      <color indexed="10"/>
      <name val="ＭＳ Ｐゴシック"/>
      <family val="3"/>
      <charset val="128"/>
    </font>
    <font>
      <sz val="9"/>
      <color rgb="FFFF0000"/>
      <name val="ＭＳ Ｐゴシック"/>
      <family val="3"/>
      <charset val="128"/>
    </font>
    <font>
      <sz val="6"/>
      <name val="ＭＳ Ｐゴシック"/>
      <family val="2"/>
      <charset val="128"/>
      <scheme val="minor"/>
    </font>
    <font>
      <b/>
      <sz val="11"/>
      <color rgb="FF00B050"/>
      <name val="ＭＳ Ｐゴシック"/>
      <family val="3"/>
      <charset val="128"/>
    </font>
    <font>
      <b/>
      <vertAlign val="subscript"/>
      <sz val="11"/>
      <color rgb="FF00B050"/>
      <name val="ＭＳ Ｐゴシック"/>
      <family val="3"/>
      <charset val="128"/>
    </font>
    <font>
      <b/>
      <sz val="10"/>
      <color rgb="FF00B050"/>
      <name val="ＭＳ Ｐゴシック"/>
      <family val="3"/>
      <charset val="128"/>
    </font>
    <font>
      <b/>
      <vertAlign val="subscript"/>
      <sz val="10"/>
      <color rgb="FF00B050"/>
      <name val="ＭＳ Ｐゴシック"/>
      <family val="3"/>
      <charset val="128"/>
    </font>
    <font>
      <sz val="10"/>
      <color rgb="FF00B050"/>
      <name val="ＭＳ Ｐゴシック"/>
      <family val="3"/>
      <charset val="128"/>
    </font>
    <font>
      <sz val="11"/>
      <color rgb="FF00B050"/>
      <name val="ＭＳ Ｐゴシック"/>
      <family val="3"/>
      <charset val="128"/>
    </font>
    <font>
      <b/>
      <sz val="11"/>
      <color theme="0"/>
      <name val="ＭＳ Ｐゴシック"/>
      <family val="3"/>
      <charset val="128"/>
    </font>
    <font>
      <vertAlign val="superscript"/>
      <sz val="11"/>
      <name val="ＭＳ Ｐゴシック"/>
      <family val="3"/>
      <charset val="128"/>
    </font>
    <font>
      <sz val="11"/>
      <color theme="0"/>
      <name val="ＭＳ Ｐゴシック"/>
      <family val="3"/>
      <charset val="128"/>
    </font>
    <font>
      <sz val="16"/>
      <name val="HG丸ｺﾞｼｯｸM-PRO"/>
      <family val="3"/>
      <charset val="128"/>
    </font>
    <font>
      <sz val="28"/>
      <name val="ＭＳ Ｐゴシック"/>
      <family val="3"/>
      <charset val="128"/>
    </font>
    <font>
      <vertAlign val="superscript"/>
      <sz val="9"/>
      <name val="ＭＳ Ｐゴシック"/>
      <family val="3"/>
      <charset val="128"/>
    </font>
    <font>
      <sz val="11"/>
      <color theme="1"/>
      <name val="ＭＳ Ｐゴシック"/>
      <family val="3"/>
      <charset val="128"/>
    </font>
    <font>
      <b/>
      <sz val="12"/>
      <color theme="0"/>
      <name val="ＭＳ Ｐゴシック"/>
      <family val="3"/>
      <charset val="128"/>
    </font>
    <font>
      <b/>
      <vertAlign val="subscript"/>
      <sz val="12"/>
      <color theme="0"/>
      <name val="ＭＳ Ｐゴシック"/>
      <family val="3"/>
      <charset val="128"/>
    </font>
    <font>
      <sz val="16"/>
      <color theme="1"/>
      <name val="HG丸ｺﾞｼｯｸM-PRO"/>
      <family val="3"/>
      <charset val="128"/>
    </font>
    <font>
      <vertAlign val="subscript"/>
      <sz val="16"/>
      <color theme="1"/>
      <name val="HG丸ｺﾞｼｯｸM-PRO"/>
      <family val="3"/>
      <charset val="128"/>
    </font>
    <font>
      <sz val="9"/>
      <color theme="1"/>
      <name val="ＭＳ Ｐゴシック"/>
      <family val="3"/>
      <charset val="128"/>
    </font>
    <font>
      <vertAlign val="subscript"/>
      <sz val="9"/>
      <color theme="1"/>
      <name val="ＭＳ Ｐゴシック"/>
      <family val="3"/>
      <charset val="128"/>
    </font>
    <font>
      <vertAlign val="subscript"/>
      <sz val="11"/>
      <color theme="1"/>
      <name val="ＭＳ Ｐゴシック"/>
      <family val="3"/>
      <charset val="12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indexed="8"/>
        <bgColor indexed="64"/>
      </patternFill>
    </fill>
    <fill>
      <patternFill patternType="solid">
        <fgColor indexed="42"/>
        <bgColor indexed="64"/>
      </patternFill>
    </fill>
    <fill>
      <patternFill patternType="solid">
        <fgColor indexed="14"/>
        <bgColor indexed="64"/>
      </patternFill>
    </fill>
    <fill>
      <patternFill patternType="solid">
        <fgColor indexed="22"/>
        <bgColor indexed="45"/>
      </patternFill>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FF"/>
        <bgColor rgb="FF000000"/>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ashed">
        <color auto="1"/>
      </top>
      <bottom style="dotted">
        <color auto="1"/>
      </bottom>
      <diagonal/>
    </border>
    <border>
      <left/>
      <right/>
      <top style="dashed">
        <color auto="1"/>
      </top>
      <bottom style="dotted">
        <color auto="1"/>
      </bottom>
      <diagonal/>
    </border>
    <border>
      <left/>
      <right style="dotted">
        <color indexed="64"/>
      </right>
      <top style="dotted">
        <color auto="1"/>
      </top>
      <bottom style="dotted">
        <color auto="1"/>
      </bottom>
      <diagonal/>
    </border>
    <border>
      <left style="medium">
        <color indexed="64"/>
      </left>
      <right/>
      <top style="dotted">
        <color auto="1"/>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style="dotted">
        <color indexed="64"/>
      </bottom>
      <diagonal/>
    </border>
    <border>
      <left/>
      <right style="medium">
        <color indexed="64"/>
      </right>
      <top style="dotted">
        <color indexed="64"/>
      </top>
      <bottom style="thin">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style="dotted">
        <color auto="1"/>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medium">
        <color indexed="64"/>
      </right>
      <top style="dotted">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bottom style="medium">
        <color rgb="FFFF0000"/>
      </bottom>
      <diagonal/>
    </border>
    <border>
      <left style="dotted">
        <color indexed="64"/>
      </left>
      <right style="medium">
        <color indexed="64"/>
      </right>
      <top style="dotted">
        <color indexed="64"/>
      </top>
      <bottom/>
      <diagonal/>
    </border>
    <border>
      <left/>
      <right/>
      <top style="dotted">
        <color theme="1"/>
      </top>
      <bottom style="dotted">
        <color theme="1"/>
      </bottom>
      <diagonal/>
    </border>
    <border>
      <left/>
      <right/>
      <top style="dotted">
        <color theme="1"/>
      </top>
      <bottom style="medium">
        <color indexed="64"/>
      </bottom>
      <diagonal/>
    </border>
    <border>
      <left/>
      <right/>
      <top style="dotted">
        <color indexed="64"/>
      </top>
      <bottom style="dotted">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dashed">
        <color indexed="64"/>
      </bottom>
      <diagonal/>
    </border>
    <border>
      <left style="medium">
        <color theme="1"/>
      </left>
      <right style="medium">
        <color theme="1"/>
      </right>
      <top style="dashed">
        <color indexed="64"/>
      </top>
      <bottom style="dashed">
        <color indexed="64"/>
      </bottom>
      <diagonal/>
    </border>
    <border>
      <left style="medium">
        <color theme="1"/>
      </left>
      <right style="medium">
        <color theme="1"/>
      </right>
      <top/>
      <bottom/>
      <diagonal/>
    </border>
    <border>
      <left style="medium">
        <color theme="1"/>
      </left>
      <right style="medium">
        <color theme="1"/>
      </right>
      <top style="dotted">
        <color theme="1"/>
      </top>
      <bottom style="medium">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style="dotted">
        <color theme="1"/>
      </top>
      <bottom style="dotted">
        <color theme="1"/>
      </bottom>
      <diagonal/>
    </border>
    <border>
      <left/>
      <right style="thick">
        <color theme="1"/>
      </right>
      <top style="dotted">
        <color theme="1"/>
      </top>
      <bottom style="dotted">
        <color theme="1"/>
      </bottom>
      <diagonal/>
    </border>
    <border>
      <left style="thick">
        <color theme="1"/>
      </left>
      <right/>
      <top/>
      <bottom/>
      <diagonal/>
    </border>
    <border>
      <left/>
      <right style="thick">
        <color theme="1"/>
      </right>
      <top/>
      <bottom/>
      <diagonal/>
    </border>
    <border>
      <left style="thick">
        <color theme="1"/>
      </left>
      <right/>
      <top style="dotted">
        <color theme="1"/>
      </top>
      <bottom style="thick">
        <color theme="1"/>
      </bottom>
      <diagonal/>
    </border>
    <border>
      <left/>
      <right/>
      <top style="dotted">
        <color theme="1"/>
      </top>
      <bottom style="thick">
        <color theme="1"/>
      </bottom>
      <diagonal/>
    </border>
    <border>
      <left/>
      <right style="thick">
        <color theme="1"/>
      </right>
      <top style="dotted">
        <color theme="1"/>
      </top>
      <bottom style="thick">
        <color theme="1"/>
      </bottom>
      <diagonal/>
    </border>
    <border>
      <left style="thin">
        <color theme="1"/>
      </left>
      <right/>
      <top/>
      <bottom/>
      <diagonal/>
    </border>
    <border>
      <left style="medium">
        <color theme="1"/>
      </left>
      <right style="dotted">
        <color indexed="64"/>
      </right>
      <top style="medium">
        <color theme="1"/>
      </top>
      <bottom style="dotted">
        <color indexed="64"/>
      </bottom>
      <diagonal/>
    </border>
    <border>
      <left style="dotted">
        <color indexed="64"/>
      </left>
      <right style="medium">
        <color theme="1"/>
      </right>
      <top style="medium">
        <color theme="1"/>
      </top>
      <bottom style="dotted">
        <color indexed="64"/>
      </bottom>
      <diagonal/>
    </border>
    <border>
      <left style="medium">
        <color theme="1"/>
      </left>
      <right style="dotted">
        <color indexed="64"/>
      </right>
      <top style="dotted">
        <color indexed="64"/>
      </top>
      <bottom style="dotted">
        <color indexed="64"/>
      </bottom>
      <diagonal/>
    </border>
    <border>
      <left style="dotted">
        <color indexed="64"/>
      </left>
      <right style="medium">
        <color theme="1"/>
      </right>
      <top style="dotted">
        <color indexed="64"/>
      </top>
      <bottom style="dotted">
        <color indexed="64"/>
      </bottom>
      <diagonal/>
    </border>
    <border>
      <left style="medium">
        <color theme="1"/>
      </left>
      <right style="dotted">
        <color indexed="64"/>
      </right>
      <top style="dotted">
        <color indexed="64"/>
      </top>
      <bottom style="medium">
        <color theme="1"/>
      </bottom>
      <diagonal/>
    </border>
    <border>
      <left style="dotted">
        <color indexed="64"/>
      </left>
      <right style="medium">
        <color theme="1"/>
      </right>
      <top style="dotted">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dotted">
        <color indexed="64"/>
      </top>
      <bottom style="thin">
        <color indexed="64"/>
      </bottom>
      <diagonal/>
    </border>
  </borders>
  <cellStyleXfs count="50">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39" fillId="12"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9" borderId="0" applyNumberFormat="0" applyBorder="0" applyAlignment="0" applyProtection="0">
      <alignment vertical="center"/>
    </xf>
    <xf numFmtId="0" fontId="43" fillId="0" borderId="0" applyNumberFormat="0" applyFill="0" applyBorder="0" applyAlignment="0" applyProtection="0">
      <alignment vertical="center"/>
    </xf>
    <xf numFmtId="0" fontId="34" fillId="20" borderId="1" applyNumberFormat="0" applyAlignment="0" applyProtection="0">
      <alignment vertical="center"/>
    </xf>
    <xf numFmtId="0" fontId="44" fillId="21" borderId="0" applyNumberFormat="0" applyBorder="0" applyAlignment="0" applyProtection="0">
      <alignment vertical="center"/>
    </xf>
    <xf numFmtId="9" fontId="2" fillId="0" borderId="0" applyFont="0" applyFill="0" applyBorder="0" applyAlignment="0" applyProtection="0">
      <alignment vertical="center"/>
    </xf>
    <xf numFmtId="0" fontId="1" fillId="22" borderId="2" applyNumberFormat="0" applyFont="0" applyAlignment="0" applyProtection="0">
      <alignment vertical="center"/>
    </xf>
    <xf numFmtId="0" fontId="45" fillId="0" borderId="3" applyNumberFormat="0" applyFill="0" applyAlignment="0" applyProtection="0">
      <alignment vertical="center"/>
    </xf>
    <xf numFmtId="0" fontId="46" fillId="3" borderId="0" applyNumberFormat="0" applyBorder="0" applyAlignment="0" applyProtection="0">
      <alignment vertical="center"/>
    </xf>
    <xf numFmtId="0" fontId="47"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48" fillId="0" borderId="5" applyNumberFormat="0" applyFill="0" applyAlignment="0" applyProtection="0">
      <alignment vertical="center"/>
    </xf>
    <xf numFmtId="0" fontId="49" fillId="0" borderId="6" applyNumberFormat="0" applyFill="0" applyAlignment="0" applyProtection="0">
      <alignment vertical="center"/>
    </xf>
    <xf numFmtId="0" fontId="50" fillId="0" borderId="7" applyNumberFormat="0" applyFill="0" applyAlignment="0" applyProtection="0">
      <alignment vertical="center"/>
    </xf>
    <xf numFmtId="0" fontId="50" fillId="0" borderId="0" applyNumberFormat="0" applyFill="0" applyBorder="0" applyAlignment="0" applyProtection="0">
      <alignment vertical="center"/>
    </xf>
    <xf numFmtId="0" fontId="27" fillId="0" borderId="8" applyNumberFormat="0" applyFill="0" applyAlignment="0" applyProtection="0">
      <alignment vertical="center"/>
    </xf>
    <xf numFmtId="0" fontId="51" fillId="23" borderId="9" applyNumberFormat="0" applyAlignment="0" applyProtection="0">
      <alignment vertical="center"/>
    </xf>
    <xf numFmtId="0" fontId="52" fillId="0" borderId="0" applyNumberFormat="0" applyFill="0" applyBorder="0" applyAlignment="0" applyProtection="0">
      <alignment vertical="center"/>
    </xf>
    <xf numFmtId="0" fontId="53" fillId="7" borderId="4" applyNumberFormat="0" applyAlignment="0" applyProtection="0">
      <alignment vertical="center"/>
    </xf>
    <xf numFmtId="0" fontId="2" fillId="0" borderId="0"/>
    <xf numFmtId="0" fontId="23" fillId="0" borderId="0"/>
    <xf numFmtId="0" fontId="54" fillId="4"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25">
    <xf numFmtId="0" fontId="0" fillId="0" borderId="0" xfId="0">
      <alignment vertical="center"/>
    </xf>
    <xf numFmtId="0" fontId="3" fillId="0" borderId="0" xfId="0" applyFont="1">
      <alignment vertical="center"/>
    </xf>
    <xf numFmtId="0" fontId="0" fillId="24" borderId="0" xfId="0" applyFill="1">
      <alignment vertical="center"/>
    </xf>
    <xf numFmtId="0" fontId="0" fillId="25" borderId="0" xfId="0" applyFill="1">
      <alignment vertical="center"/>
    </xf>
    <xf numFmtId="0" fontId="11" fillId="25" borderId="0" xfId="0" applyFont="1" applyFill="1">
      <alignment vertical="center"/>
    </xf>
    <xf numFmtId="0" fontId="0" fillId="24" borderId="0" xfId="0" applyFill="1" applyProtection="1">
      <alignment vertical="center"/>
      <protection hidden="1"/>
    </xf>
    <xf numFmtId="0" fontId="22" fillId="24" borderId="0" xfId="44" applyFont="1" applyFill="1" applyProtection="1">
      <protection hidden="1"/>
    </xf>
    <xf numFmtId="0" fontId="24" fillId="0" borderId="10" xfId="0" applyFont="1" applyBorder="1" applyProtection="1">
      <alignment vertical="center"/>
      <protection hidden="1"/>
    </xf>
    <xf numFmtId="0" fontId="28" fillId="0" borderId="0" xfId="0" applyFont="1" applyProtection="1">
      <alignment vertical="center"/>
      <protection hidden="1"/>
    </xf>
    <xf numFmtId="0" fontId="2" fillId="0" borderId="0" xfId="0" applyFont="1" applyProtection="1">
      <alignment vertical="center"/>
      <protection hidden="1"/>
    </xf>
    <xf numFmtId="0" fontId="5" fillId="0" borderId="0" xfId="0" applyFont="1" applyProtection="1">
      <alignment vertical="center"/>
      <protection hidden="1"/>
    </xf>
    <xf numFmtId="183" fontId="30" fillId="0" borderId="0" xfId="0" applyNumberFormat="1" applyFont="1" applyAlignment="1" applyProtection="1">
      <alignment horizontal="center"/>
      <protection hidden="1"/>
    </xf>
    <xf numFmtId="184" fontId="24" fillId="0" borderId="10" xfId="0" applyNumberFormat="1" applyFont="1" applyBorder="1" applyProtection="1">
      <alignment vertical="center"/>
      <protection hidden="1"/>
    </xf>
    <xf numFmtId="0" fontId="11" fillId="0" borderId="0" xfId="43" applyFont="1" applyAlignment="1">
      <alignment vertical="center"/>
    </xf>
    <xf numFmtId="179" fontId="11" fillId="0" borderId="0" xfId="43" applyNumberFormat="1" applyFont="1" applyAlignment="1" applyProtection="1">
      <alignment horizontal="left" vertical="center"/>
      <protection hidden="1"/>
    </xf>
    <xf numFmtId="0" fontId="29" fillId="0" borderId="0" xfId="43" applyFont="1" applyAlignment="1" applyProtection="1">
      <alignment vertical="center"/>
      <protection hidden="1"/>
    </xf>
    <xf numFmtId="189" fontId="11" fillId="0" borderId="0" xfId="43" applyNumberFormat="1" applyFont="1" applyAlignment="1">
      <alignment vertical="center"/>
    </xf>
    <xf numFmtId="0" fontId="2" fillId="25" borderId="0" xfId="43" applyFill="1" applyAlignment="1">
      <alignment horizontal="center"/>
    </xf>
    <xf numFmtId="0" fontId="11" fillId="0" borderId="0" xfId="43" applyFont="1" applyAlignment="1" applyProtection="1">
      <alignment horizontal="left" vertical="center"/>
      <protection hidden="1"/>
    </xf>
    <xf numFmtId="0" fontId="11" fillId="0" borderId="0" xfId="43" applyFont="1" applyAlignment="1" applyProtection="1">
      <alignment vertical="center"/>
      <protection hidden="1"/>
    </xf>
    <xf numFmtId="0" fontId="2" fillId="0" borderId="0" xfId="43"/>
    <xf numFmtId="0" fontId="2" fillId="0" borderId="0" xfId="43" applyAlignment="1">
      <alignment horizontal="left"/>
    </xf>
    <xf numFmtId="0" fontId="2" fillId="25" borderId="10" xfId="43" applyFill="1" applyBorder="1" applyAlignment="1">
      <alignment horizontal="left"/>
    </xf>
    <xf numFmtId="0" fontId="2" fillId="25" borderId="10" xfId="43" applyFill="1" applyBorder="1" applyAlignment="1">
      <alignment horizontal="center"/>
    </xf>
    <xf numFmtId="0" fontId="2" fillId="30" borderId="24" xfId="43" applyFill="1" applyBorder="1" applyAlignment="1">
      <alignment horizontal="center"/>
    </xf>
    <xf numFmtId="0" fontId="2" fillId="30" borderId="51" xfId="43" applyFill="1" applyBorder="1" applyAlignment="1">
      <alignment horizontal="center"/>
    </xf>
    <xf numFmtId="0" fontId="2" fillId="30" borderId="49" xfId="43" applyFill="1" applyBorder="1" applyAlignment="1">
      <alignment horizontal="center"/>
    </xf>
    <xf numFmtId="0" fontId="2" fillId="30" borderId="10" xfId="43" applyFill="1" applyBorder="1" applyAlignment="1">
      <alignment horizontal="left"/>
    </xf>
    <xf numFmtId="0" fontId="5" fillId="0" borderId="0" xfId="43" applyFont="1"/>
    <xf numFmtId="0" fontId="5" fillId="0" borderId="0" xfId="43" applyFont="1" applyAlignment="1">
      <alignment vertical="center"/>
    </xf>
    <xf numFmtId="0" fontId="11" fillId="31" borderId="0" xfId="43" applyFont="1" applyFill="1" applyAlignment="1">
      <alignment vertical="center"/>
    </xf>
    <xf numFmtId="0" fontId="29" fillId="0" borderId="0" xfId="43" applyFont="1" applyAlignment="1">
      <alignment vertical="center"/>
    </xf>
    <xf numFmtId="0" fontId="11" fillId="0" borderId="0" xfId="43" applyFont="1" applyAlignment="1">
      <alignment horizontal="left"/>
    </xf>
    <xf numFmtId="0" fontId="11" fillId="0" borderId="0" xfId="43" applyFont="1" applyAlignment="1">
      <alignment horizontal="right"/>
    </xf>
    <xf numFmtId="0" fontId="2" fillId="0" borderId="10" xfId="43" applyBorder="1"/>
    <xf numFmtId="0" fontId="11" fillId="0" borderId="0" xfId="43" applyFont="1"/>
    <xf numFmtId="0" fontId="2" fillId="30" borderId="26" xfId="43" applyFill="1" applyBorder="1" applyAlignment="1">
      <alignment horizontal="left"/>
    </xf>
    <xf numFmtId="0" fontId="2" fillId="30" borderId="11" xfId="43" applyFill="1" applyBorder="1" applyAlignment="1">
      <alignment horizontal="center" vertical="center"/>
    </xf>
    <xf numFmtId="0" fontId="2" fillId="30" borderId="33" xfId="43" applyFill="1" applyBorder="1" applyAlignment="1">
      <alignment horizontal="center" vertical="center"/>
    </xf>
    <xf numFmtId="186" fontId="2" fillId="30" borderId="13" xfId="43" applyNumberFormat="1" applyFill="1" applyBorder="1" applyAlignment="1">
      <alignment horizontal="left"/>
    </xf>
    <xf numFmtId="186" fontId="2" fillId="30" borderId="45" xfId="43" applyNumberFormat="1" applyFill="1" applyBorder="1" applyAlignment="1">
      <alignment horizontal="center"/>
    </xf>
    <xf numFmtId="186" fontId="2" fillId="30" borderId="12" xfId="43" applyNumberFormat="1" applyFill="1" applyBorder="1" applyAlignment="1">
      <alignment horizontal="center" vertical="center"/>
    </xf>
    <xf numFmtId="186" fontId="2" fillId="30" borderId="29" xfId="43" applyNumberFormat="1" applyFill="1" applyBorder="1" applyAlignment="1">
      <alignment horizontal="center" vertical="center"/>
    </xf>
    <xf numFmtId="0" fontId="2" fillId="30" borderId="30" xfId="43" applyFill="1" applyBorder="1" applyAlignment="1">
      <alignment horizontal="left"/>
    </xf>
    <xf numFmtId="0" fontId="0" fillId="0" borderId="10" xfId="0" applyBorder="1">
      <alignment vertical="center"/>
    </xf>
    <xf numFmtId="0" fontId="22" fillId="0" borderId="0" xfId="43" applyFont="1"/>
    <xf numFmtId="0" fontId="2" fillId="26" borderId="26" xfId="43" applyFill="1" applyBorder="1" applyAlignment="1">
      <alignment horizontal="left"/>
    </xf>
    <xf numFmtId="0" fontId="2" fillId="26" borderId="23" xfId="43" applyFill="1" applyBorder="1" applyAlignment="1">
      <alignment horizontal="center"/>
    </xf>
    <xf numFmtId="0" fontId="2" fillId="26" borderId="23" xfId="43" applyFill="1" applyBorder="1" applyAlignment="1">
      <alignment horizontal="left"/>
    </xf>
    <xf numFmtId="0" fontId="2" fillId="26" borderId="13" xfId="43" applyFill="1" applyBorder="1"/>
    <xf numFmtId="0" fontId="2" fillId="26" borderId="26" xfId="43" applyFill="1" applyBorder="1" applyAlignment="1" applyProtection="1">
      <alignment horizontal="left" vertical="center"/>
      <protection hidden="1"/>
    </xf>
    <xf numFmtId="0" fontId="2" fillId="26" borderId="13" xfId="43" applyFill="1" applyBorder="1" applyAlignment="1">
      <alignment horizontal="left"/>
    </xf>
    <xf numFmtId="0" fontId="2" fillId="26" borderId="10" xfId="43" applyFill="1" applyBorder="1" applyAlignment="1">
      <alignment horizontal="center"/>
    </xf>
    <xf numFmtId="0" fontId="2" fillId="32" borderId="23" xfId="43" applyFill="1" applyBorder="1" applyAlignment="1">
      <alignment horizontal="center"/>
    </xf>
    <xf numFmtId="0" fontId="2" fillId="32" borderId="23" xfId="43" applyFill="1" applyBorder="1" applyAlignment="1">
      <alignment horizontal="left"/>
    </xf>
    <xf numFmtId="0" fontId="2" fillId="32" borderId="13" xfId="43" applyFill="1" applyBorder="1"/>
    <xf numFmtId="0" fontId="2" fillId="32" borderId="26" xfId="43" applyFill="1" applyBorder="1" applyAlignment="1" applyProtection="1">
      <alignment horizontal="left" vertical="center"/>
      <protection hidden="1"/>
    </xf>
    <xf numFmtId="0" fontId="2" fillId="32" borderId="13" xfId="43" applyFill="1" applyBorder="1" applyAlignment="1">
      <alignment horizontal="left"/>
    </xf>
    <xf numFmtId="0" fontId="2" fillId="32" borderId="10" xfId="43" applyFill="1" applyBorder="1" applyAlignment="1">
      <alignment horizontal="center"/>
    </xf>
    <xf numFmtId="0" fontId="2" fillId="26" borderId="0" xfId="43" applyFill="1" applyAlignment="1">
      <alignment horizontal="center"/>
    </xf>
    <xf numFmtId="0" fontId="2" fillId="30" borderId="10" xfId="43" applyFill="1" applyBorder="1" applyAlignment="1">
      <alignment horizontal="left" wrapText="1"/>
    </xf>
    <xf numFmtId="0" fontId="11" fillId="0" borderId="0" xfId="43" applyFont="1" applyAlignment="1">
      <alignment horizontal="left" vertical="top"/>
    </xf>
    <xf numFmtId="0" fontId="2" fillId="25" borderId="10" xfId="43" applyFill="1" applyBorder="1" applyAlignment="1">
      <alignment horizontal="center" vertical="center"/>
    </xf>
    <xf numFmtId="187" fontId="2" fillId="30" borderId="10" xfId="43" applyNumberFormat="1" applyFill="1" applyBorder="1" applyAlignment="1">
      <alignment horizontal="center"/>
    </xf>
    <xf numFmtId="0" fontId="39" fillId="29" borderId="37" xfId="0" applyFont="1" applyFill="1" applyBorder="1" applyAlignment="1">
      <alignment horizontal="center" vertical="center"/>
    </xf>
    <xf numFmtId="0" fontId="39" fillId="29" borderId="37" xfId="0" applyFont="1" applyFill="1" applyBorder="1">
      <alignment vertical="center"/>
    </xf>
    <xf numFmtId="0" fontId="8" fillId="0" borderId="0" xfId="0" applyFont="1" applyAlignment="1">
      <alignment horizontal="left"/>
    </xf>
    <xf numFmtId="179" fontId="7" fillId="0" borderId="0" xfId="0" applyNumberFormat="1" applyFont="1" applyAlignment="1">
      <alignment horizontal="left"/>
    </xf>
    <xf numFmtId="181" fontId="11" fillId="0" borderId="0" xfId="0" applyNumberFormat="1" applyFont="1">
      <alignment vertical="center"/>
    </xf>
    <xf numFmtId="182" fontId="11" fillId="0" borderId="0" xfId="0" applyNumberFormat="1" applyFont="1">
      <alignment vertical="center"/>
    </xf>
    <xf numFmtId="0" fontId="37" fillId="28" borderId="36" xfId="0" applyFont="1" applyFill="1" applyBorder="1">
      <alignment vertical="center"/>
    </xf>
    <xf numFmtId="0" fontId="13" fillId="28" borderId="37" xfId="0" applyFont="1" applyFill="1" applyBorder="1" applyAlignment="1">
      <alignment horizontal="left" vertical="center"/>
    </xf>
    <xf numFmtId="0" fontId="13" fillId="28" borderId="37" xfId="0" applyFont="1" applyFill="1" applyBorder="1">
      <alignment vertical="center"/>
    </xf>
    <xf numFmtId="0" fontId="37" fillId="28" borderId="37" xfId="0" applyFont="1" applyFill="1" applyBorder="1">
      <alignment vertical="center"/>
    </xf>
    <xf numFmtId="0" fontId="38" fillId="28" borderId="38" xfId="0" applyFont="1" applyFill="1" applyBorder="1">
      <alignment vertical="center"/>
    </xf>
    <xf numFmtId="0" fontId="28" fillId="24" borderId="0" xfId="0" applyFont="1" applyFill="1" applyAlignment="1">
      <alignment horizontal="left" vertical="center"/>
    </xf>
    <xf numFmtId="0" fontId="26" fillId="24" borderId="19" xfId="0" applyFont="1" applyFill="1" applyBorder="1">
      <alignment vertical="center"/>
    </xf>
    <xf numFmtId="0" fontId="8" fillId="24" borderId="14" xfId="0" applyFont="1" applyFill="1" applyBorder="1" applyAlignment="1">
      <alignment horizontal="left" vertical="center"/>
    </xf>
    <xf numFmtId="0" fontId="20" fillId="24" borderId="14" xfId="0" applyFont="1" applyFill="1" applyBorder="1">
      <alignment vertical="center"/>
    </xf>
    <xf numFmtId="0" fontId="10" fillId="24" borderId="14" xfId="0" applyFont="1" applyFill="1" applyBorder="1">
      <alignment vertical="center"/>
    </xf>
    <xf numFmtId="0" fontId="10" fillId="24" borderId="20" xfId="0" applyFont="1" applyFill="1" applyBorder="1">
      <alignment vertical="center"/>
    </xf>
    <xf numFmtId="182" fontId="3" fillId="24" borderId="0" xfId="0" applyNumberFormat="1" applyFont="1" applyFill="1">
      <alignment vertical="center"/>
    </xf>
    <xf numFmtId="0" fontId="11" fillId="0" borderId="0" xfId="43" applyFont="1" applyAlignment="1">
      <alignment horizontal="left" vertical="center"/>
    </xf>
    <xf numFmtId="179" fontId="11" fillId="0" borderId="0" xfId="43" applyNumberFormat="1" applyFont="1" applyAlignment="1">
      <alignment horizontal="left" vertical="center"/>
    </xf>
    <xf numFmtId="0" fontId="12" fillId="29" borderId="37" xfId="43" applyFont="1" applyFill="1" applyBorder="1" applyAlignment="1">
      <alignment vertical="center"/>
    </xf>
    <xf numFmtId="0" fontId="12" fillId="29" borderId="37" xfId="43" applyFont="1" applyFill="1" applyBorder="1" applyAlignment="1">
      <alignment horizontal="left" vertical="center"/>
    </xf>
    <xf numFmtId="0" fontId="39" fillId="29" borderId="37" xfId="43" applyFont="1" applyFill="1" applyBorder="1" applyAlignment="1">
      <alignment vertical="center"/>
    </xf>
    <xf numFmtId="0" fontId="13" fillId="29" borderId="37" xfId="0" applyFont="1" applyFill="1" applyBorder="1">
      <alignment vertical="center"/>
    </xf>
    <xf numFmtId="0" fontId="12" fillId="29" borderId="38" xfId="43" applyFont="1" applyFill="1" applyBorder="1" applyAlignment="1">
      <alignment vertical="center"/>
    </xf>
    <xf numFmtId="0" fontId="25" fillId="25" borderId="0" xfId="43" applyFont="1" applyFill="1" applyAlignment="1">
      <alignment vertical="center"/>
    </xf>
    <xf numFmtId="0" fontId="11" fillId="25" borderId="0" xfId="43" applyFont="1" applyFill="1" applyAlignment="1">
      <alignment horizontal="left" vertical="center"/>
    </xf>
    <xf numFmtId="0" fontId="11" fillId="25" borderId="0" xfId="43" applyFont="1" applyFill="1" applyAlignment="1">
      <alignment vertical="center"/>
    </xf>
    <xf numFmtId="0" fontId="12" fillId="25" borderId="0" xfId="43" applyFont="1" applyFill="1" applyAlignment="1">
      <alignment vertical="center"/>
    </xf>
    <xf numFmtId="0" fontId="25" fillId="25" borderId="0" xfId="43" applyFont="1" applyFill="1" applyAlignment="1">
      <alignment horizontal="left" vertical="center"/>
    </xf>
    <xf numFmtId="179" fontId="11" fillId="25" borderId="0" xfId="43" applyNumberFormat="1" applyFont="1" applyFill="1" applyAlignment="1">
      <alignment horizontal="center" vertical="center"/>
    </xf>
    <xf numFmtId="0" fontId="21" fillId="25" borderId="0" xfId="43" applyFont="1" applyFill="1" applyAlignment="1">
      <alignment vertical="center"/>
    </xf>
    <xf numFmtId="0" fontId="11" fillId="25" borderId="0" xfId="43" applyFont="1" applyFill="1" applyAlignment="1">
      <alignment horizontal="center" vertical="center"/>
    </xf>
    <xf numFmtId="0" fontId="11" fillId="26" borderId="10" xfId="43" applyFont="1" applyFill="1" applyBorder="1" applyAlignment="1">
      <alignment horizontal="center" vertical="center"/>
    </xf>
    <xf numFmtId="0" fontId="11" fillId="26" borderId="26" xfId="43" applyFont="1" applyFill="1" applyBorder="1" applyAlignment="1">
      <alignment horizontal="center" vertical="center"/>
    </xf>
    <xf numFmtId="0" fontId="11" fillId="26" borderId="56" xfId="43" applyFont="1" applyFill="1" applyBorder="1" applyAlignment="1">
      <alignment horizontal="center" vertical="center"/>
    </xf>
    <xf numFmtId="0" fontId="11" fillId="25" borderId="30" xfId="43" applyFont="1" applyFill="1" applyBorder="1" applyAlignment="1">
      <alignment vertical="center"/>
    </xf>
    <xf numFmtId="9" fontId="11" fillId="25" borderId="10" xfId="43" applyNumberFormat="1" applyFont="1" applyFill="1" applyBorder="1" applyAlignment="1">
      <alignment horizontal="right" vertical="center"/>
    </xf>
    <xf numFmtId="176" fontId="11" fillId="25" borderId="53" xfId="43" applyNumberFormat="1" applyFont="1" applyFill="1" applyBorder="1" applyAlignment="1">
      <alignment horizontal="center" vertical="center"/>
    </xf>
    <xf numFmtId="176" fontId="11" fillId="25" borderId="0" xfId="43" applyNumberFormat="1" applyFont="1" applyFill="1" applyAlignment="1">
      <alignment horizontal="center" vertical="center"/>
    </xf>
    <xf numFmtId="0" fontId="11" fillId="25" borderId="11" xfId="43" applyFont="1" applyFill="1" applyBorder="1" applyAlignment="1">
      <alignment vertical="center"/>
    </xf>
    <xf numFmtId="0" fontId="11" fillId="25" borderId="33" xfId="43" applyFont="1" applyFill="1" applyBorder="1" applyAlignment="1">
      <alignment vertical="center"/>
    </xf>
    <xf numFmtId="176" fontId="11" fillId="25" borderId="57" xfId="43" applyNumberFormat="1" applyFont="1" applyFill="1" applyBorder="1" applyAlignment="1">
      <alignment horizontal="center" vertical="center"/>
    </xf>
    <xf numFmtId="0" fontId="2" fillId="25" borderId="0" xfId="43" applyFill="1" applyAlignment="1">
      <alignment vertical="center"/>
    </xf>
    <xf numFmtId="0" fontId="11" fillId="25" borderId="0" xfId="43" applyFont="1" applyFill="1" applyAlignment="1">
      <alignment horizontal="right" vertical="center"/>
    </xf>
    <xf numFmtId="0" fontId="11" fillId="25" borderId="23" xfId="43" applyFont="1" applyFill="1" applyBorder="1" applyAlignment="1">
      <alignment vertical="center"/>
    </xf>
    <xf numFmtId="177" fontId="2" fillId="25" borderId="56" xfId="43" applyNumberFormat="1" applyFill="1" applyBorder="1" applyAlignment="1">
      <alignment vertical="center"/>
    </xf>
    <xf numFmtId="179" fontId="11" fillId="25" borderId="0" xfId="43" applyNumberFormat="1" applyFont="1" applyFill="1" applyAlignment="1">
      <alignment horizontal="left" vertical="center"/>
    </xf>
    <xf numFmtId="189" fontId="11" fillId="25" borderId="0" xfId="43" applyNumberFormat="1" applyFont="1" applyFill="1" applyAlignment="1">
      <alignment vertical="center"/>
    </xf>
    <xf numFmtId="189" fontId="11" fillId="25" borderId="0" xfId="43" applyNumberFormat="1" applyFont="1" applyFill="1" applyAlignment="1">
      <alignment horizontal="left" vertical="center"/>
    </xf>
    <xf numFmtId="38" fontId="11" fillId="25" borderId="0" xfId="34" applyFont="1" applyFill="1" applyBorder="1" applyAlignment="1" applyProtection="1">
      <alignment horizontal="right" vertical="center"/>
    </xf>
    <xf numFmtId="38" fontId="11" fillId="25" borderId="0" xfId="34" applyFont="1" applyFill="1" applyBorder="1" applyAlignment="1" applyProtection="1">
      <alignment vertical="center"/>
    </xf>
    <xf numFmtId="0" fontId="11" fillId="25" borderId="31" xfId="43" applyFont="1" applyFill="1" applyBorder="1" applyAlignment="1">
      <alignment horizontal="left" vertical="center"/>
    </xf>
    <xf numFmtId="0" fontId="11" fillId="25" borderId="31" xfId="43" applyFont="1" applyFill="1" applyBorder="1" applyAlignment="1">
      <alignment vertical="center"/>
    </xf>
    <xf numFmtId="0" fontId="11" fillId="25" borderId="30" xfId="43" applyFont="1" applyFill="1" applyBorder="1" applyAlignment="1">
      <alignment horizontal="left" vertical="center"/>
    </xf>
    <xf numFmtId="0" fontId="11" fillId="25" borderId="45" xfId="43" applyFont="1" applyFill="1" applyBorder="1" applyAlignment="1">
      <alignment horizontal="right" vertical="center"/>
    </xf>
    <xf numFmtId="176" fontId="11" fillId="25" borderId="10" xfId="43" applyNumberFormat="1" applyFont="1" applyFill="1" applyBorder="1" applyAlignment="1">
      <alignment horizontal="center" vertical="center"/>
    </xf>
    <xf numFmtId="0" fontId="11" fillId="25" borderId="11" xfId="43" applyFont="1" applyFill="1" applyBorder="1" applyAlignment="1">
      <alignment horizontal="left" vertical="center"/>
    </xf>
    <xf numFmtId="0" fontId="11" fillId="25" borderId="12" xfId="43" applyFont="1" applyFill="1" applyBorder="1" applyAlignment="1">
      <alignment horizontal="right" vertical="center"/>
    </xf>
    <xf numFmtId="0" fontId="11" fillId="25" borderId="33" xfId="43" applyFont="1" applyFill="1" applyBorder="1" applyAlignment="1">
      <alignment horizontal="left" vertical="center"/>
    </xf>
    <xf numFmtId="0" fontId="11" fillId="25" borderId="16" xfId="43" applyFont="1" applyFill="1" applyBorder="1" applyAlignment="1">
      <alignment vertical="center"/>
    </xf>
    <xf numFmtId="0" fontId="11" fillId="25" borderId="29" xfId="43" applyFont="1" applyFill="1" applyBorder="1" applyAlignment="1">
      <alignment horizontal="right" vertical="center"/>
    </xf>
    <xf numFmtId="0" fontId="11" fillId="25" borderId="26" xfId="43" applyFont="1" applyFill="1" applyBorder="1" applyAlignment="1">
      <alignment horizontal="left" vertical="center"/>
    </xf>
    <xf numFmtId="176" fontId="11" fillId="25" borderId="0" xfId="43" applyNumberFormat="1" applyFont="1" applyFill="1" applyAlignment="1">
      <alignment vertical="center"/>
    </xf>
    <xf numFmtId="176" fontId="11" fillId="25" borderId="0" xfId="43" applyNumberFormat="1" applyFont="1" applyFill="1" applyAlignment="1">
      <alignment horizontal="left" vertical="center"/>
    </xf>
    <xf numFmtId="178" fontId="2" fillId="25" borderId="25" xfId="43" applyNumberFormat="1" applyFill="1" applyBorder="1" applyAlignment="1">
      <alignment horizontal="right" vertical="center"/>
    </xf>
    <xf numFmtId="178" fontId="11" fillId="25" borderId="0" xfId="43" applyNumberFormat="1" applyFont="1" applyFill="1" applyAlignment="1">
      <alignment horizontal="right" vertical="center"/>
    </xf>
    <xf numFmtId="38" fontId="11" fillId="25" borderId="10" xfId="34" applyFont="1" applyFill="1" applyBorder="1" applyAlignment="1" applyProtection="1">
      <alignment horizontal="center" vertical="center"/>
    </xf>
    <xf numFmtId="40" fontId="2" fillId="25" borderId="56" xfId="43" applyNumberFormat="1" applyFill="1" applyBorder="1" applyAlignment="1">
      <alignment vertical="center"/>
    </xf>
    <xf numFmtId="0" fontId="2" fillId="25" borderId="26" xfId="43" applyFill="1" applyBorder="1" applyAlignment="1">
      <alignment horizontal="left" vertical="center"/>
    </xf>
    <xf numFmtId="40" fontId="2" fillId="25" borderId="58" xfId="43" applyNumberFormat="1" applyFill="1" applyBorder="1" applyAlignment="1">
      <alignment vertical="center"/>
    </xf>
    <xf numFmtId="176" fontId="11" fillId="25" borderId="44" xfId="43" applyNumberFormat="1" applyFont="1" applyFill="1" applyBorder="1" applyAlignment="1">
      <alignment horizontal="center" vertical="center"/>
    </xf>
    <xf numFmtId="176" fontId="11" fillId="25" borderId="54" xfId="43" applyNumberFormat="1" applyFont="1" applyFill="1" applyBorder="1" applyAlignment="1">
      <alignment horizontal="center" vertical="center"/>
    </xf>
    <xf numFmtId="176" fontId="11" fillId="25" borderId="22" xfId="43" applyNumberFormat="1" applyFont="1" applyFill="1" applyBorder="1" applyAlignment="1">
      <alignment horizontal="center" vertical="center"/>
    </xf>
    <xf numFmtId="176" fontId="11" fillId="25" borderId="50" xfId="43" applyNumberFormat="1" applyFont="1" applyFill="1" applyBorder="1" applyAlignment="1">
      <alignment horizontal="center" vertical="center"/>
    </xf>
    <xf numFmtId="177" fontId="2" fillId="25" borderId="59" xfId="43" applyNumberFormat="1" applyFill="1" applyBorder="1" applyAlignment="1">
      <alignment vertical="center"/>
    </xf>
    <xf numFmtId="176" fontId="11" fillId="25" borderId="25" xfId="43" applyNumberFormat="1" applyFont="1" applyFill="1" applyBorder="1" applyAlignment="1">
      <alignment horizontal="center" vertical="center"/>
    </xf>
    <xf numFmtId="179" fontId="11" fillId="26" borderId="47" xfId="43" applyNumberFormat="1" applyFont="1" applyFill="1" applyBorder="1" applyAlignment="1">
      <alignment horizontal="center" vertical="center"/>
    </xf>
    <xf numFmtId="0" fontId="11" fillId="26" borderId="60" xfId="43" applyFont="1" applyFill="1" applyBorder="1" applyAlignment="1">
      <alignment vertical="center"/>
    </xf>
    <xf numFmtId="0" fontId="11" fillId="26" borderId="55" xfId="43" applyFont="1" applyFill="1" applyBorder="1" applyAlignment="1">
      <alignment horizontal="center" vertical="center"/>
    </xf>
    <xf numFmtId="178" fontId="2" fillId="25" borderId="44" xfId="43" applyNumberFormat="1" applyFill="1" applyBorder="1" applyAlignment="1">
      <alignment vertical="center"/>
    </xf>
    <xf numFmtId="178" fontId="2" fillId="25" borderId="41" xfId="43" applyNumberFormat="1" applyFill="1" applyBorder="1" applyAlignment="1">
      <alignment vertical="center"/>
    </xf>
    <xf numFmtId="178" fontId="34" fillId="27" borderId="54" xfId="43" applyNumberFormat="1" applyFont="1" applyFill="1" applyBorder="1" applyAlignment="1">
      <alignment horizontal="right" vertical="center"/>
    </xf>
    <xf numFmtId="0" fontId="3" fillId="25" borderId="45" xfId="43" applyFont="1" applyFill="1" applyBorder="1" applyAlignment="1">
      <alignment horizontal="right" vertical="center"/>
    </xf>
    <xf numFmtId="0" fontId="11" fillId="25" borderId="15" xfId="43" applyFont="1" applyFill="1" applyBorder="1" applyAlignment="1">
      <alignment vertical="center"/>
    </xf>
    <xf numFmtId="0" fontId="21" fillId="25" borderId="18" xfId="43" applyFont="1" applyFill="1" applyBorder="1" applyAlignment="1">
      <alignment vertical="center"/>
    </xf>
    <xf numFmtId="0" fontId="11" fillId="25" borderId="15" xfId="43" applyFont="1" applyFill="1" applyBorder="1" applyAlignment="1">
      <alignment horizontal="right" vertical="center"/>
    </xf>
    <xf numFmtId="0" fontId="11" fillId="25" borderId="42" xfId="43" applyFont="1" applyFill="1" applyBorder="1" applyAlignment="1">
      <alignment vertical="center"/>
    </xf>
    <xf numFmtId="0" fontId="11" fillId="25" borderId="40" xfId="43" applyFont="1" applyFill="1" applyBorder="1" applyAlignment="1">
      <alignment vertical="center"/>
    </xf>
    <xf numFmtId="0" fontId="2" fillId="25" borderId="20" xfId="43" applyFill="1" applyBorder="1" applyAlignment="1">
      <alignment vertical="center"/>
    </xf>
    <xf numFmtId="38" fontId="11" fillId="25" borderId="56" xfId="34" applyFont="1" applyFill="1" applyBorder="1" applyAlignment="1" applyProtection="1">
      <alignment vertical="center"/>
    </xf>
    <xf numFmtId="178" fontId="11" fillId="25" borderId="15" xfId="43" applyNumberFormat="1" applyFont="1" applyFill="1" applyBorder="1" applyAlignment="1">
      <alignment horizontal="right" vertical="center"/>
    </xf>
    <xf numFmtId="0" fontId="34" fillId="27" borderId="61" xfId="43" applyFont="1" applyFill="1" applyBorder="1" applyAlignment="1">
      <alignment vertical="center"/>
    </xf>
    <xf numFmtId="0" fontId="12" fillId="27" borderId="46" xfId="43" applyFont="1" applyFill="1" applyBorder="1" applyAlignment="1">
      <alignment horizontal="left" vertical="center"/>
    </xf>
    <xf numFmtId="0" fontId="12" fillId="27" borderId="46" xfId="43" applyFont="1" applyFill="1" applyBorder="1" applyAlignment="1">
      <alignment vertical="center"/>
    </xf>
    <xf numFmtId="0" fontId="39" fillId="27" borderId="62" xfId="43" applyFont="1" applyFill="1" applyBorder="1" applyAlignment="1">
      <alignment vertical="center"/>
    </xf>
    <xf numFmtId="179" fontId="11" fillId="25" borderId="14" xfId="43" applyNumberFormat="1" applyFont="1" applyFill="1" applyBorder="1" applyAlignment="1">
      <alignment horizontal="left" vertical="center"/>
    </xf>
    <xf numFmtId="0" fontId="11" fillId="25" borderId="14" xfId="43" applyFont="1" applyFill="1" applyBorder="1" applyAlignment="1">
      <alignment vertical="center"/>
    </xf>
    <xf numFmtId="0" fontId="2" fillId="25" borderId="26" xfId="43" applyFill="1" applyBorder="1" applyAlignment="1">
      <alignment horizontal="left"/>
    </xf>
    <xf numFmtId="184" fontId="0" fillId="0" borderId="10" xfId="0" applyNumberFormat="1" applyBorder="1" applyProtection="1">
      <alignment vertical="center"/>
      <protection hidden="1"/>
    </xf>
    <xf numFmtId="190" fontId="2" fillId="25" borderId="41" xfId="43" applyNumberFormat="1" applyFill="1" applyBorder="1" applyAlignment="1">
      <alignment vertical="center"/>
    </xf>
    <xf numFmtId="190" fontId="34" fillId="27" borderId="54" xfId="43" applyNumberFormat="1" applyFont="1" applyFill="1" applyBorder="1" applyAlignment="1">
      <alignment horizontal="right" vertical="center"/>
    </xf>
    <xf numFmtId="0" fontId="3" fillId="0" borderId="0" xfId="43" applyFont="1"/>
    <xf numFmtId="0" fontId="17" fillId="0" borderId="0" xfId="43" applyFont="1" applyAlignment="1">
      <alignment vertical="center"/>
    </xf>
    <xf numFmtId="0" fontId="17" fillId="25" borderId="0" xfId="43" applyFont="1" applyFill="1" applyAlignment="1">
      <alignment vertical="center"/>
    </xf>
    <xf numFmtId="0" fontId="17" fillId="25" borderId="0" xfId="43" applyFont="1" applyFill="1" applyAlignment="1">
      <alignment horizontal="right" vertical="center"/>
    </xf>
    <xf numFmtId="38" fontId="11" fillId="25" borderId="15" xfId="34" applyFont="1" applyFill="1" applyBorder="1" applyAlignment="1" applyProtection="1">
      <alignment horizontal="right" vertical="center"/>
    </xf>
    <xf numFmtId="177" fontId="2" fillId="0" borderId="0" xfId="43" applyNumberFormat="1"/>
    <xf numFmtId="0" fontId="11" fillId="0" borderId="0" xfId="0" applyFont="1">
      <alignment vertical="center"/>
    </xf>
    <xf numFmtId="0" fontId="0" fillId="0" borderId="0" xfId="43" applyFont="1"/>
    <xf numFmtId="0" fontId="5" fillId="25" borderId="0" xfId="43" applyFont="1" applyFill="1"/>
    <xf numFmtId="0" fontId="11" fillId="25" borderId="0" xfId="43" applyFont="1" applyFill="1"/>
    <xf numFmtId="0" fontId="11" fillId="25" borderId="0" xfId="43" applyFont="1" applyFill="1" applyAlignment="1">
      <alignment horizontal="right"/>
    </xf>
    <xf numFmtId="0" fontId="11" fillId="25" borderId="0" xfId="0" applyFont="1" applyFill="1" applyAlignment="1">
      <alignment horizontal="right" vertical="center"/>
    </xf>
    <xf numFmtId="0" fontId="2" fillId="25" borderId="0" xfId="43" applyFill="1"/>
    <xf numFmtId="0" fontId="11" fillId="25" borderId="21" xfId="43" applyFont="1" applyFill="1" applyBorder="1"/>
    <xf numFmtId="0" fontId="11" fillId="25" borderId="28" xfId="43" applyFont="1" applyFill="1" applyBorder="1"/>
    <xf numFmtId="0" fontId="11" fillId="25" borderId="25" xfId="0" applyFont="1" applyFill="1" applyBorder="1" applyAlignment="1">
      <alignment horizontal="right" vertical="center"/>
    </xf>
    <xf numFmtId="0" fontId="11" fillId="25" borderId="53" xfId="43" applyFont="1" applyFill="1" applyBorder="1" applyAlignment="1">
      <alignment horizontal="right"/>
    </xf>
    <xf numFmtId="0" fontId="3" fillId="25" borderId="0" xfId="43" applyFont="1" applyFill="1"/>
    <xf numFmtId="0" fontId="11" fillId="25" borderId="16" xfId="43" applyFont="1" applyFill="1" applyBorder="1"/>
    <xf numFmtId="0" fontId="11" fillId="25" borderId="16" xfId="0" applyFont="1" applyFill="1" applyBorder="1">
      <alignment vertical="center"/>
    </xf>
    <xf numFmtId="0" fontId="2" fillId="25" borderId="16" xfId="43" applyFill="1" applyBorder="1"/>
    <xf numFmtId="0" fontId="0" fillId="25" borderId="16" xfId="0" applyFill="1" applyBorder="1">
      <alignment vertical="center"/>
    </xf>
    <xf numFmtId="0" fontId="17" fillId="25" borderId="0" xfId="43" applyFont="1" applyFill="1"/>
    <xf numFmtId="0" fontId="11" fillId="25" borderId="26" xfId="43" applyFont="1" applyFill="1" applyBorder="1"/>
    <xf numFmtId="0" fontId="11" fillId="25" borderId="23" xfId="43" applyFont="1" applyFill="1" applyBorder="1"/>
    <xf numFmtId="0" fontId="11" fillId="25" borderId="24" xfId="43" applyFont="1" applyFill="1" applyBorder="1" applyAlignment="1">
      <alignment horizontal="center"/>
    </xf>
    <xf numFmtId="0" fontId="11" fillId="25" borderId="10" xfId="43" applyFont="1" applyFill="1" applyBorder="1" applyAlignment="1">
      <alignment horizontal="center" vertical="center"/>
    </xf>
    <xf numFmtId="0" fontId="11" fillId="24" borderId="25" xfId="43" applyFont="1" applyFill="1" applyBorder="1" applyAlignment="1" applyProtection="1">
      <alignment horizontal="right"/>
      <protection locked="0"/>
    </xf>
    <xf numFmtId="0" fontId="11" fillId="24" borderId="13" xfId="43" applyFont="1" applyFill="1" applyBorder="1" applyAlignment="1" applyProtection="1">
      <alignment horizontal="right"/>
      <protection locked="0"/>
    </xf>
    <xf numFmtId="0" fontId="11" fillId="25" borderId="30" xfId="43" applyFont="1" applyFill="1" applyBorder="1"/>
    <xf numFmtId="0" fontId="11" fillId="25" borderId="31" xfId="43" applyFont="1" applyFill="1" applyBorder="1"/>
    <xf numFmtId="0" fontId="11" fillId="25" borderId="10" xfId="43" applyFont="1" applyFill="1" applyBorder="1"/>
    <xf numFmtId="0" fontId="11" fillId="25" borderId="33" xfId="43" applyFont="1" applyFill="1" applyBorder="1"/>
    <xf numFmtId="0" fontId="11" fillId="25" borderId="17" xfId="43" applyFont="1" applyFill="1" applyBorder="1"/>
    <xf numFmtId="0" fontId="11" fillId="24" borderId="43" xfId="43" applyFont="1" applyFill="1" applyBorder="1" applyAlignment="1" applyProtection="1">
      <alignment horizontal="right"/>
      <protection locked="0"/>
    </xf>
    <xf numFmtId="0" fontId="11" fillId="24" borderId="29" xfId="43" applyFont="1" applyFill="1" applyBorder="1" applyAlignment="1" applyProtection="1">
      <alignment horizontal="right"/>
      <protection locked="0"/>
    </xf>
    <xf numFmtId="0" fontId="11" fillId="25" borderId="0" xfId="0" applyFont="1" applyFill="1" applyAlignment="1"/>
    <xf numFmtId="0" fontId="11" fillId="25" borderId="13" xfId="43" applyFont="1" applyFill="1" applyBorder="1"/>
    <xf numFmtId="0" fontId="0" fillId="25" borderId="0" xfId="0" applyFill="1" applyAlignment="1">
      <alignment horizontal="center" vertical="center"/>
    </xf>
    <xf numFmtId="0" fontId="11" fillId="25" borderId="0" xfId="0" applyFont="1" applyFill="1" applyAlignment="1">
      <alignment horizontal="center" vertical="center"/>
    </xf>
    <xf numFmtId="0" fontId="11" fillId="25" borderId="25" xfId="0" applyFont="1" applyFill="1" applyBorder="1">
      <alignment vertical="center"/>
    </xf>
    <xf numFmtId="0" fontId="5" fillId="25" borderId="18" xfId="43" applyFont="1" applyFill="1" applyBorder="1" applyAlignment="1">
      <alignment vertical="center"/>
    </xf>
    <xf numFmtId="0" fontId="17" fillId="25" borderId="0" xfId="0" applyFont="1" applyFill="1">
      <alignment vertical="center"/>
    </xf>
    <xf numFmtId="0" fontId="17" fillId="25" borderId="0" xfId="0" applyFont="1" applyFill="1" applyAlignment="1">
      <alignment horizontal="right" vertical="center"/>
    </xf>
    <xf numFmtId="177" fontId="11" fillId="25" borderId="25" xfId="43" applyNumberFormat="1" applyFont="1" applyFill="1" applyBorder="1" applyAlignment="1">
      <alignment horizontal="right" vertical="center"/>
    </xf>
    <xf numFmtId="0" fontId="6" fillId="25" borderId="0" xfId="0" applyFont="1" applyFill="1" applyAlignment="1">
      <alignment horizontal="left" vertical="center"/>
    </xf>
    <xf numFmtId="177" fontId="11" fillId="25" borderId="15" xfId="0" applyNumberFormat="1" applyFont="1" applyFill="1" applyBorder="1" applyAlignment="1">
      <alignment horizontal="right" vertical="center"/>
    </xf>
    <xf numFmtId="177" fontId="11" fillId="25" borderId="0" xfId="0" applyNumberFormat="1" applyFont="1" applyFill="1" applyAlignment="1">
      <alignment horizontal="right" vertical="center"/>
    </xf>
    <xf numFmtId="0" fontId="11" fillId="25" borderId="0" xfId="0" applyFont="1" applyFill="1" applyAlignment="1">
      <alignment horizontal="left" vertical="center"/>
    </xf>
    <xf numFmtId="191" fontId="11" fillId="25" borderId="10" xfId="0" applyNumberFormat="1" applyFont="1" applyFill="1" applyBorder="1">
      <alignment vertical="center"/>
    </xf>
    <xf numFmtId="177" fontId="11" fillId="25" borderId="0" xfId="0" applyNumberFormat="1" applyFont="1" applyFill="1" applyAlignment="1">
      <alignment horizontal="left" vertical="center"/>
    </xf>
    <xf numFmtId="191" fontId="11" fillId="25" borderId="0" xfId="0" applyNumberFormat="1" applyFont="1" applyFill="1">
      <alignment vertical="center"/>
    </xf>
    <xf numFmtId="38" fontId="11" fillId="25" borderId="0" xfId="34" applyFont="1" applyFill="1" applyBorder="1" applyAlignment="1">
      <alignment horizontal="right" vertical="center"/>
    </xf>
    <xf numFmtId="40" fontId="11" fillId="25" borderId="0" xfId="0" applyNumberFormat="1" applyFont="1" applyFill="1">
      <alignment vertical="center"/>
    </xf>
    <xf numFmtId="0" fontId="11" fillId="26" borderId="13" xfId="43" applyFont="1" applyFill="1" applyBorder="1" applyAlignment="1">
      <alignment horizontal="center" vertical="center"/>
    </xf>
    <xf numFmtId="179" fontId="11" fillId="26" borderId="10" xfId="43" applyNumberFormat="1" applyFont="1" applyFill="1" applyBorder="1" applyAlignment="1">
      <alignment horizontal="center" vertical="center"/>
    </xf>
    <xf numFmtId="0" fontId="11" fillId="25" borderId="0" xfId="43" applyFont="1" applyFill="1" applyAlignment="1" applyProtection="1">
      <alignment horizontal="left" vertical="center"/>
      <protection hidden="1"/>
    </xf>
    <xf numFmtId="177" fontId="11" fillId="25" borderId="26" xfId="43" applyNumberFormat="1" applyFont="1" applyFill="1" applyBorder="1" applyAlignment="1" applyProtection="1">
      <alignment horizontal="center" vertical="center"/>
      <protection hidden="1"/>
    </xf>
    <xf numFmtId="177" fontId="11" fillId="25" borderId="13" xfId="43" applyNumberFormat="1" applyFont="1" applyFill="1" applyBorder="1" applyAlignment="1" applyProtection="1">
      <alignment vertical="center"/>
      <protection hidden="1"/>
    </xf>
    <xf numFmtId="176" fontId="11" fillId="25" borderId="10" xfId="43" applyNumberFormat="1" applyFont="1" applyFill="1" applyBorder="1" applyAlignment="1" applyProtection="1">
      <alignment horizontal="center" vertical="center"/>
      <protection hidden="1"/>
    </xf>
    <xf numFmtId="9" fontId="11" fillId="25" borderId="10" xfId="28" applyFont="1" applyFill="1" applyBorder="1" applyAlignment="1">
      <alignment horizontal="center" vertical="center"/>
    </xf>
    <xf numFmtId="38" fontId="11" fillId="25" borderId="0" xfId="34" applyFont="1" applyFill="1" applyBorder="1" applyAlignment="1">
      <alignment horizontal="left" vertical="center"/>
    </xf>
    <xf numFmtId="38" fontId="11" fillId="25" borderId="15" xfId="34" applyFont="1" applyFill="1" applyBorder="1" applyAlignment="1">
      <alignment horizontal="right" vertical="center"/>
    </xf>
    <xf numFmtId="40" fontId="11" fillId="25" borderId="10" xfId="34" applyNumberFormat="1" applyFont="1" applyFill="1" applyBorder="1" applyAlignment="1" applyProtection="1">
      <alignment horizontal="right" vertical="center"/>
    </xf>
    <xf numFmtId="40" fontId="11" fillId="25" borderId="56" xfId="34" applyNumberFormat="1" applyFont="1" applyFill="1" applyBorder="1" applyAlignment="1">
      <alignment horizontal="right" vertical="center"/>
    </xf>
    <xf numFmtId="177" fontId="11" fillId="25" borderId="0" xfId="43" applyNumberFormat="1" applyFont="1" applyFill="1" applyAlignment="1">
      <alignment horizontal="right" vertical="center"/>
    </xf>
    <xf numFmtId="0" fontId="56" fillId="25" borderId="0" xfId="43" applyFont="1" applyFill="1" applyAlignment="1" applyProtection="1">
      <alignment horizontal="left" vertical="center"/>
      <protection hidden="1"/>
    </xf>
    <xf numFmtId="177" fontId="56" fillId="25" borderId="10" xfId="43" applyNumberFormat="1" applyFont="1" applyFill="1" applyBorder="1" applyAlignment="1" applyProtection="1">
      <alignment vertical="center"/>
      <protection hidden="1"/>
    </xf>
    <xf numFmtId="185" fontId="56" fillId="25" borderId="10" xfId="43" applyNumberFormat="1" applyFont="1" applyFill="1" applyBorder="1" applyAlignment="1" applyProtection="1">
      <alignment vertical="center"/>
      <protection hidden="1"/>
    </xf>
    <xf numFmtId="185" fontId="11" fillId="25" borderId="10" xfId="28" applyNumberFormat="1" applyFont="1" applyFill="1" applyBorder="1" applyAlignment="1">
      <alignment horizontal="center" vertical="center"/>
    </xf>
    <xf numFmtId="0" fontId="11" fillId="25" borderId="18" xfId="0" applyFont="1" applyFill="1" applyBorder="1">
      <alignment vertical="center"/>
    </xf>
    <xf numFmtId="40" fontId="11" fillId="25" borderId="25" xfId="34" applyNumberFormat="1" applyFont="1" applyFill="1" applyBorder="1" applyAlignment="1">
      <alignment horizontal="right" vertical="center"/>
    </xf>
    <xf numFmtId="0" fontId="11" fillId="25" borderId="15" xfId="0" applyFont="1" applyFill="1" applyBorder="1">
      <alignment vertical="center"/>
    </xf>
    <xf numFmtId="191" fontId="11" fillId="0" borderId="0" xfId="43" applyNumberFormat="1" applyFont="1"/>
    <xf numFmtId="0" fontId="11" fillId="33" borderId="0" xfId="43" applyFont="1" applyFill="1"/>
    <xf numFmtId="0" fontId="11" fillId="34" borderId="26" xfId="43" applyFont="1" applyFill="1" applyBorder="1"/>
    <xf numFmtId="0" fontId="11" fillId="34" borderId="13" xfId="43" applyFont="1" applyFill="1" applyBorder="1"/>
    <xf numFmtId="0" fontId="11" fillId="33" borderId="10" xfId="43" applyFont="1" applyFill="1" applyBorder="1"/>
    <xf numFmtId="0" fontId="11" fillId="0" borderId="0" xfId="0" applyFont="1" applyAlignment="1">
      <alignment horizontal="right" vertical="center"/>
    </xf>
    <xf numFmtId="0" fontId="11" fillId="0" borderId="26"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10" xfId="0" applyFont="1" applyBorder="1">
      <alignment vertical="center"/>
    </xf>
    <xf numFmtId="0" fontId="11" fillId="0" borderId="23" xfId="0" applyFont="1" applyBorder="1" applyAlignment="1">
      <alignment horizontal="center" vertical="center"/>
    </xf>
    <xf numFmtId="0" fontId="11" fillId="0" borderId="13" xfId="0" applyFont="1" applyBorder="1">
      <alignment vertical="center"/>
    </xf>
    <xf numFmtId="0" fontId="11" fillId="0" borderId="51" xfId="0" applyFont="1" applyBorder="1">
      <alignment vertical="center"/>
    </xf>
    <xf numFmtId="38" fontId="11" fillId="0" borderId="10" xfId="34" applyFont="1" applyBorder="1">
      <alignment vertical="center"/>
    </xf>
    <xf numFmtId="0" fontId="11" fillId="0" borderId="30" xfId="0" applyFont="1" applyBorder="1">
      <alignment vertical="center"/>
    </xf>
    <xf numFmtId="0" fontId="11" fillId="0" borderId="11" xfId="0" applyFont="1" applyBorder="1">
      <alignment vertical="center"/>
    </xf>
    <xf numFmtId="0" fontId="11" fillId="0" borderId="33" xfId="0" applyFont="1" applyBorder="1">
      <alignment vertical="center"/>
    </xf>
    <xf numFmtId="0" fontId="11" fillId="0" borderId="49" xfId="0" applyFont="1" applyBorder="1">
      <alignment vertical="center"/>
    </xf>
    <xf numFmtId="0" fontId="11" fillId="0" borderId="45" xfId="0" applyFont="1" applyBorder="1">
      <alignment vertical="center"/>
    </xf>
    <xf numFmtId="0" fontId="11" fillId="0" borderId="12" xfId="0" applyFont="1" applyBorder="1">
      <alignment vertical="center"/>
    </xf>
    <xf numFmtId="38" fontId="11" fillId="0" borderId="0" xfId="0" applyNumberFormat="1" applyFont="1">
      <alignment vertical="center"/>
    </xf>
    <xf numFmtId="40" fontId="11" fillId="25" borderId="56" xfId="34" applyNumberFormat="1" applyFont="1" applyFill="1" applyBorder="1" applyAlignment="1" applyProtection="1">
      <alignment horizontal="right" vertical="center"/>
    </xf>
    <xf numFmtId="0" fontId="55" fillId="25" borderId="0" xfId="0" applyFont="1" applyFill="1">
      <alignment vertical="center"/>
    </xf>
    <xf numFmtId="9" fontId="11" fillId="25" borderId="56" xfId="28" applyFont="1" applyFill="1" applyBorder="1" applyAlignment="1" applyProtection="1">
      <alignment horizontal="center" vertical="center"/>
      <protection hidden="1"/>
    </xf>
    <xf numFmtId="40" fontId="11" fillId="25" borderId="0" xfId="34" applyNumberFormat="1" applyFont="1" applyFill="1" applyBorder="1" applyAlignment="1" applyProtection="1">
      <alignment horizontal="right" vertical="center"/>
    </xf>
    <xf numFmtId="38" fontId="11" fillId="25" borderId="0" xfId="0" applyNumberFormat="1" applyFont="1" applyFill="1">
      <alignment vertical="center"/>
    </xf>
    <xf numFmtId="178" fontId="2" fillId="25" borderId="0" xfId="43" applyNumberFormat="1" applyFill="1" applyAlignment="1">
      <alignment horizontal="right" vertical="center"/>
    </xf>
    <xf numFmtId="0" fontId="11" fillId="25" borderId="10" xfId="43" applyFont="1" applyFill="1" applyBorder="1" applyAlignment="1">
      <alignment vertical="center"/>
    </xf>
    <xf numFmtId="0" fontId="3" fillId="25" borderId="0" xfId="43" applyFont="1" applyFill="1" applyAlignment="1">
      <alignment vertical="center"/>
    </xf>
    <xf numFmtId="0" fontId="0" fillId="25" borderId="0" xfId="43" applyFont="1" applyFill="1" applyAlignment="1">
      <alignment vertical="center"/>
    </xf>
    <xf numFmtId="0" fontId="11" fillId="26" borderId="60" xfId="43" applyFont="1" applyFill="1" applyBorder="1" applyAlignment="1">
      <alignment horizontal="center" vertical="center"/>
    </xf>
    <xf numFmtId="38" fontId="11" fillId="25" borderId="10" xfId="43" applyNumberFormat="1" applyFont="1" applyFill="1" applyBorder="1" applyAlignment="1">
      <alignment vertical="center"/>
    </xf>
    <xf numFmtId="179" fontId="11" fillId="25" borderId="0" xfId="43" applyNumberFormat="1" applyFont="1" applyFill="1" applyAlignment="1">
      <alignment vertical="center"/>
    </xf>
    <xf numFmtId="0" fontId="17" fillId="0" borderId="0" xfId="0" applyFont="1">
      <alignment vertical="center"/>
    </xf>
    <xf numFmtId="0" fontId="19" fillId="29" borderId="36" xfId="0" applyFont="1" applyFill="1" applyBorder="1">
      <alignment vertical="center"/>
    </xf>
    <xf numFmtId="38" fontId="11" fillId="37" borderId="10" xfId="34" applyFont="1" applyFill="1" applyBorder="1">
      <alignment vertical="center"/>
    </xf>
    <xf numFmtId="0" fontId="11" fillId="37" borderId="0" xfId="0" applyFont="1" applyFill="1">
      <alignment vertical="center"/>
    </xf>
    <xf numFmtId="0" fontId="0" fillId="37" borderId="0" xfId="0" applyFill="1">
      <alignment vertical="center"/>
    </xf>
    <xf numFmtId="0" fontId="11" fillId="37" borderId="10" xfId="0" applyFont="1" applyFill="1" applyBorder="1">
      <alignment vertical="center"/>
    </xf>
    <xf numFmtId="38" fontId="11" fillId="37" borderId="10" xfId="0" applyNumberFormat="1" applyFont="1" applyFill="1" applyBorder="1">
      <alignment vertical="center"/>
    </xf>
    <xf numFmtId="0" fontId="0" fillId="37" borderId="16" xfId="0" quotePrefix="1" applyFill="1" applyBorder="1">
      <alignment vertical="center"/>
    </xf>
    <xf numFmtId="0" fontId="11" fillId="0" borderId="0" xfId="0" applyFont="1" applyAlignment="1">
      <alignment vertical="center" shrinkToFit="1"/>
    </xf>
    <xf numFmtId="40" fontId="11" fillId="25" borderId="10" xfId="34" applyNumberFormat="1" applyFont="1" applyFill="1" applyBorder="1" applyAlignment="1">
      <alignment horizontal="right" vertical="center"/>
    </xf>
    <xf numFmtId="40" fontId="11" fillId="25" borderId="10" xfId="0" applyNumberFormat="1" applyFont="1" applyFill="1" applyBorder="1">
      <alignment vertical="center"/>
    </xf>
    <xf numFmtId="38" fontId="11" fillId="25" borderId="10" xfId="0" applyNumberFormat="1" applyFont="1" applyFill="1" applyBorder="1">
      <alignment vertical="center"/>
    </xf>
    <xf numFmtId="0" fontId="0" fillId="0" borderId="0" xfId="0" applyAlignment="1">
      <alignment horizontal="center" vertical="center"/>
    </xf>
    <xf numFmtId="0" fontId="0" fillId="38" borderId="10" xfId="0" applyFill="1" applyBorder="1">
      <alignment vertical="center"/>
    </xf>
    <xf numFmtId="0" fontId="0" fillId="39" borderId="10" xfId="0" applyFill="1" applyBorder="1">
      <alignment vertical="center"/>
    </xf>
    <xf numFmtId="0" fontId="0" fillId="38" borderId="10" xfId="0" applyFill="1" applyBorder="1" applyAlignment="1">
      <alignment horizontal="center" vertical="center"/>
    </xf>
    <xf numFmtId="0" fontId="0" fillId="0" borderId="10" xfId="0" applyBorder="1" applyAlignment="1">
      <alignment vertical="center" shrinkToFit="1"/>
    </xf>
    <xf numFmtId="0" fontId="0" fillId="0" borderId="10" xfId="0" applyBorder="1" applyAlignment="1">
      <alignment horizontal="center" vertical="center"/>
    </xf>
    <xf numFmtId="38" fontId="0" fillId="0" borderId="10" xfId="0" applyNumberFormat="1" applyBorder="1">
      <alignment vertical="center"/>
    </xf>
    <xf numFmtId="188" fontId="0" fillId="0" borderId="10" xfId="0" applyNumberFormat="1" applyBorder="1">
      <alignment vertical="center"/>
    </xf>
    <xf numFmtId="0" fontId="21" fillId="36" borderId="0" xfId="43" applyFont="1" applyFill="1" applyAlignment="1">
      <alignment vertical="center"/>
    </xf>
    <xf numFmtId="176" fontId="11" fillId="36" borderId="0" xfId="43" applyNumberFormat="1" applyFont="1" applyFill="1" applyAlignment="1">
      <alignment horizontal="left" vertical="center"/>
    </xf>
    <xf numFmtId="0" fontId="11" fillId="36" borderId="0" xfId="43" applyFont="1" applyFill="1" applyAlignment="1">
      <alignment horizontal="right" vertical="center"/>
    </xf>
    <xf numFmtId="0" fontId="11" fillId="36" borderId="10" xfId="43" applyFont="1" applyFill="1" applyBorder="1" applyAlignment="1">
      <alignment vertical="center"/>
    </xf>
    <xf numFmtId="0" fontId="3" fillId="36" borderId="0" xfId="43" applyFont="1" applyFill="1" applyAlignment="1">
      <alignment vertical="center"/>
    </xf>
    <xf numFmtId="0" fontId="0" fillId="0" borderId="26" xfId="0" applyBorder="1">
      <alignment vertical="center"/>
    </xf>
    <xf numFmtId="0" fontId="0" fillId="0" borderId="23" xfId="0" applyBorder="1">
      <alignment vertical="center"/>
    </xf>
    <xf numFmtId="0" fontId="0" fillId="0" borderId="13" xfId="0" applyBorder="1">
      <alignment vertical="center"/>
    </xf>
    <xf numFmtId="0" fontId="0" fillId="38" borderId="10" xfId="0" applyFill="1" applyBorder="1" applyAlignment="1">
      <alignment horizontal="right" vertical="center"/>
    </xf>
    <xf numFmtId="0" fontId="1" fillId="26" borderId="26" xfId="43" applyFont="1" applyFill="1" applyBorder="1" applyAlignment="1">
      <alignment horizontal="left"/>
    </xf>
    <xf numFmtId="0" fontId="1" fillId="32" borderId="26" xfId="43" applyFont="1" applyFill="1" applyBorder="1" applyAlignment="1" applyProtection="1">
      <alignment horizontal="left" vertical="center"/>
      <protection hidden="1"/>
    </xf>
    <xf numFmtId="0" fontId="1" fillId="32" borderId="23" xfId="43" applyFont="1" applyFill="1" applyBorder="1" applyAlignment="1">
      <alignment horizontal="left"/>
    </xf>
    <xf numFmtId="0" fontId="1" fillId="32" borderId="13" xfId="43" applyFont="1" applyFill="1" applyBorder="1" applyAlignment="1">
      <alignment horizontal="left"/>
    </xf>
    <xf numFmtId="0" fontId="1" fillId="30" borderId="26" xfId="43" applyFont="1" applyFill="1" applyBorder="1" applyAlignment="1">
      <alignment horizontal="left"/>
    </xf>
    <xf numFmtId="186" fontId="1" fillId="30" borderId="13" xfId="43" applyNumberFormat="1" applyFont="1" applyFill="1" applyBorder="1" applyAlignment="1">
      <alignment horizontal="left"/>
    </xf>
    <xf numFmtId="0" fontId="1" fillId="30" borderId="10" xfId="43" applyFont="1" applyFill="1" applyBorder="1" applyAlignment="1">
      <alignment horizontal="left"/>
    </xf>
    <xf numFmtId="0" fontId="1" fillId="25" borderId="10" xfId="43" applyFont="1" applyFill="1" applyBorder="1" applyAlignment="1">
      <alignment horizontal="left"/>
    </xf>
    <xf numFmtId="0" fontId="1" fillId="32" borderId="10" xfId="43" applyFont="1" applyFill="1" applyBorder="1" applyAlignment="1">
      <alignment horizontal="center"/>
    </xf>
    <xf numFmtId="0" fontId="1" fillId="30" borderId="30" xfId="43" applyFont="1" applyFill="1" applyBorder="1" applyAlignment="1">
      <alignment horizontal="left"/>
    </xf>
    <xf numFmtId="186" fontId="1" fillId="30" borderId="45" xfId="43" applyNumberFormat="1" applyFont="1" applyFill="1" applyBorder="1" applyAlignment="1">
      <alignment horizontal="center"/>
    </xf>
    <xf numFmtId="0" fontId="1" fillId="30" borderId="24" xfId="43" applyFont="1" applyFill="1" applyBorder="1" applyAlignment="1">
      <alignment horizontal="center"/>
    </xf>
    <xf numFmtId="0" fontId="1" fillId="25" borderId="10" xfId="43" applyFont="1" applyFill="1" applyBorder="1" applyAlignment="1">
      <alignment horizontal="center"/>
    </xf>
    <xf numFmtId="0" fontId="1" fillId="24" borderId="10" xfId="49" applyFill="1" applyBorder="1">
      <alignment vertical="center"/>
    </xf>
    <xf numFmtId="0" fontId="59" fillId="0" borderId="0" xfId="43" applyFont="1" applyAlignment="1">
      <alignment vertical="center"/>
    </xf>
    <xf numFmtId="0" fontId="61" fillId="33" borderId="0" xfId="43" applyFont="1" applyFill="1" applyAlignment="1">
      <alignment vertical="center"/>
    </xf>
    <xf numFmtId="0" fontId="0" fillId="0" borderId="19" xfId="0" applyBorder="1">
      <alignment vertical="center"/>
    </xf>
    <xf numFmtId="0" fontId="0" fillId="0" borderId="14" xfId="0" applyBorder="1">
      <alignment vertical="center"/>
    </xf>
    <xf numFmtId="0" fontId="0" fillId="0" borderId="66" xfId="0" applyBorder="1">
      <alignment vertical="center"/>
    </xf>
    <xf numFmtId="0" fontId="0" fillId="0" borderId="69" xfId="0" applyBorder="1">
      <alignment vertical="center"/>
    </xf>
    <xf numFmtId="193" fontId="0" fillId="0" borderId="66" xfId="0" applyNumberFormat="1" applyBorder="1">
      <alignment vertical="center"/>
    </xf>
    <xf numFmtId="193" fontId="0" fillId="0" borderId="14" xfId="0" applyNumberFormat="1" applyBorder="1">
      <alignment vertical="center"/>
    </xf>
    <xf numFmtId="0" fontId="0" fillId="0" borderId="70" xfId="0" applyBorder="1" applyAlignment="1">
      <alignment horizontal="center" vertical="center"/>
    </xf>
    <xf numFmtId="0" fontId="0" fillId="0" borderId="14" xfId="0" applyBorder="1" applyAlignment="1">
      <alignment horizontal="center" vertical="center"/>
    </xf>
    <xf numFmtId="0" fontId="5" fillId="0" borderId="18" xfId="0" applyFont="1" applyBorder="1">
      <alignment vertical="center"/>
    </xf>
    <xf numFmtId="0" fontId="5" fillId="0" borderId="0" xfId="0" applyFont="1">
      <alignment vertical="center"/>
    </xf>
    <xf numFmtId="0" fontId="65" fillId="40" borderId="36" xfId="0" applyFont="1" applyFill="1" applyBorder="1">
      <alignment vertical="center"/>
    </xf>
    <xf numFmtId="0" fontId="67" fillId="40" borderId="37" xfId="0" applyFont="1" applyFill="1" applyBorder="1">
      <alignment vertical="center"/>
    </xf>
    <xf numFmtId="0" fontId="67" fillId="40" borderId="38" xfId="0" applyFont="1" applyFill="1" applyBorder="1">
      <alignment vertical="center"/>
    </xf>
    <xf numFmtId="0" fontId="0" fillId="0" borderId="52" xfId="0" applyBorder="1">
      <alignment vertical="center"/>
    </xf>
    <xf numFmtId="0" fontId="0" fillId="0" borderId="71" xfId="0" applyBorder="1">
      <alignment vertical="center"/>
    </xf>
    <xf numFmtId="0" fontId="0" fillId="0" borderId="72" xfId="0" applyBorder="1">
      <alignment vertical="center"/>
    </xf>
    <xf numFmtId="0" fontId="0" fillId="0" borderId="31" xfId="0" applyBorder="1">
      <alignment vertical="center"/>
    </xf>
    <xf numFmtId="0" fontId="65" fillId="41" borderId="18" xfId="0" applyFont="1" applyFill="1" applyBorder="1">
      <alignment vertical="center"/>
    </xf>
    <xf numFmtId="0" fontId="67" fillId="41" borderId="0" xfId="0" applyFont="1" applyFill="1">
      <alignment vertical="center"/>
    </xf>
    <xf numFmtId="0" fontId="67" fillId="41" borderId="15" xfId="0" applyFont="1" applyFill="1" applyBorder="1">
      <alignment vertical="center"/>
    </xf>
    <xf numFmtId="0" fontId="0" fillId="0" borderId="18" xfId="0" applyBorder="1">
      <alignment vertical="center"/>
    </xf>
    <xf numFmtId="0" fontId="0" fillId="0" borderId="15" xfId="0" applyBorder="1">
      <alignment vertical="center"/>
    </xf>
    <xf numFmtId="0" fontId="0" fillId="0" borderId="82" xfId="0" applyBorder="1">
      <alignment vertical="center"/>
    </xf>
    <xf numFmtId="0" fontId="0" fillId="0" borderId="68" xfId="0" applyBorder="1" applyAlignment="1">
      <alignment horizontal="center" vertical="center"/>
    </xf>
    <xf numFmtId="0" fontId="0" fillId="0" borderId="67" xfId="0" applyBorder="1">
      <alignment vertical="center"/>
    </xf>
    <xf numFmtId="0" fontId="0" fillId="0" borderId="78" xfId="0" applyBorder="1" applyAlignment="1">
      <alignment horizontal="center" vertical="center"/>
    </xf>
    <xf numFmtId="0" fontId="65" fillId="41" borderId="35" xfId="0" applyFont="1" applyFill="1" applyBorder="1">
      <alignment vertical="center"/>
    </xf>
    <xf numFmtId="0" fontId="65" fillId="41" borderId="31" xfId="0" applyFont="1" applyFill="1" applyBorder="1">
      <alignment vertical="center"/>
    </xf>
    <xf numFmtId="0" fontId="65" fillId="41" borderId="34" xfId="0" applyFont="1" applyFill="1" applyBorder="1">
      <alignment vertical="center"/>
    </xf>
    <xf numFmtId="2" fontId="0" fillId="0" borderId="68" xfId="0" applyNumberFormat="1" applyBorder="1">
      <alignment vertical="center"/>
    </xf>
    <xf numFmtId="0" fontId="0" fillId="0" borderId="84" xfId="0" applyBorder="1">
      <alignment vertical="center"/>
    </xf>
    <xf numFmtId="0" fontId="0" fillId="0" borderId="74" xfId="0" applyBorder="1">
      <alignment vertical="center"/>
    </xf>
    <xf numFmtId="0" fontId="11" fillId="0" borderId="82" xfId="0" applyFont="1" applyBorder="1" applyAlignment="1">
      <alignment horizontal="right" vertical="center"/>
    </xf>
    <xf numFmtId="0" fontId="0" fillId="0" borderId="85" xfId="0" applyBorder="1">
      <alignment vertical="center"/>
    </xf>
    <xf numFmtId="0" fontId="11" fillId="0" borderId="84" xfId="0" applyFont="1" applyBorder="1">
      <alignment vertical="center"/>
    </xf>
    <xf numFmtId="0" fontId="0" fillId="0" borderId="80" xfId="0" applyBorder="1" applyAlignment="1">
      <alignment horizontal="center" vertical="center"/>
    </xf>
    <xf numFmtId="0" fontId="65" fillId="40" borderId="37" xfId="0" applyFont="1" applyFill="1" applyBorder="1">
      <alignment vertical="center"/>
    </xf>
    <xf numFmtId="0" fontId="65" fillId="40" borderId="38" xfId="0" applyFont="1" applyFill="1" applyBorder="1">
      <alignment vertical="center"/>
    </xf>
    <xf numFmtId="0" fontId="0" fillId="0" borderId="65" xfId="0" applyBorder="1">
      <alignment vertical="center"/>
    </xf>
    <xf numFmtId="2" fontId="0" fillId="0" borderId="66" xfId="0" applyNumberFormat="1" applyBorder="1">
      <alignment vertical="center"/>
    </xf>
    <xf numFmtId="0" fontId="0" fillId="0" borderId="87" xfId="0" applyBorder="1">
      <alignment vertical="center"/>
    </xf>
    <xf numFmtId="0" fontId="68" fillId="0" borderId="0" xfId="0" applyFont="1">
      <alignment vertical="center"/>
    </xf>
    <xf numFmtId="0" fontId="0" fillId="0" borderId="90" xfId="0" applyBorder="1">
      <alignment vertical="center"/>
    </xf>
    <xf numFmtId="0" fontId="0" fillId="0" borderId="91" xfId="0" applyBorder="1">
      <alignment vertical="center"/>
    </xf>
    <xf numFmtId="0" fontId="65" fillId="33" borderId="18" xfId="0" applyFont="1" applyFill="1" applyBorder="1">
      <alignment vertical="center"/>
    </xf>
    <xf numFmtId="0" fontId="67" fillId="33" borderId="0" xfId="0" applyFont="1" applyFill="1">
      <alignment vertical="center"/>
    </xf>
    <xf numFmtId="0" fontId="5" fillId="38" borderId="0" xfId="0" applyFont="1" applyFill="1">
      <alignment vertical="center"/>
    </xf>
    <xf numFmtId="0" fontId="0" fillId="38" borderId="0" xfId="0" applyFill="1">
      <alignment vertical="center"/>
    </xf>
    <xf numFmtId="0" fontId="0" fillId="38" borderId="15" xfId="0" applyFill="1" applyBorder="1">
      <alignment vertical="center"/>
    </xf>
    <xf numFmtId="0" fontId="0" fillId="38" borderId="0" xfId="0" applyFill="1" applyAlignment="1">
      <alignment horizontal="right" vertical="center"/>
    </xf>
    <xf numFmtId="0" fontId="5" fillId="38" borderId="94" xfId="0" applyFont="1" applyFill="1" applyBorder="1">
      <alignment vertical="center"/>
    </xf>
    <xf numFmtId="0" fontId="0" fillId="38" borderId="66" xfId="0" applyFill="1" applyBorder="1">
      <alignment vertical="center"/>
    </xf>
    <xf numFmtId="0" fontId="5" fillId="0" borderId="35" xfId="0" applyFont="1" applyBorder="1">
      <alignment vertical="center"/>
    </xf>
    <xf numFmtId="0" fontId="5" fillId="38" borderId="30" xfId="0" applyFont="1" applyFill="1" applyBorder="1">
      <alignment vertical="center"/>
    </xf>
    <xf numFmtId="0" fontId="5" fillId="38" borderId="97" xfId="0" applyFont="1" applyFill="1" applyBorder="1">
      <alignment vertical="center"/>
    </xf>
    <xf numFmtId="0" fontId="0" fillId="0" borderId="96" xfId="0" applyBorder="1" applyAlignment="1">
      <alignment horizontal="center" vertical="center"/>
    </xf>
    <xf numFmtId="0" fontId="0" fillId="33" borderId="84" xfId="0" applyFill="1" applyBorder="1" applyAlignment="1">
      <alignment horizontal="right" vertical="center"/>
    </xf>
    <xf numFmtId="0" fontId="0" fillId="33" borderId="66" xfId="0" applyFill="1" applyBorder="1" applyAlignment="1">
      <alignment horizontal="right" vertical="center"/>
    </xf>
    <xf numFmtId="0" fontId="5" fillId="38" borderId="33" xfId="0" applyFont="1" applyFill="1" applyBorder="1">
      <alignment vertical="center"/>
    </xf>
    <xf numFmtId="0" fontId="0" fillId="33" borderId="16" xfId="0" applyFill="1" applyBorder="1" applyAlignment="1">
      <alignment horizontal="right" vertical="center"/>
    </xf>
    <xf numFmtId="0" fontId="0" fillId="0" borderId="99" xfId="0" applyBorder="1">
      <alignment vertical="center"/>
    </xf>
    <xf numFmtId="0" fontId="0" fillId="0" borderId="32" xfId="0" applyBorder="1">
      <alignment vertical="center"/>
    </xf>
    <xf numFmtId="0" fontId="5" fillId="38" borderId="11" xfId="0" applyFont="1" applyFill="1" applyBorder="1" applyAlignment="1">
      <alignment vertical="center" shrinkToFit="1"/>
    </xf>
    <xf numFmtId="0" fontId="7" fillId="38" borderId="97" xfId="0" applyFont="1" applyFill="1" applyBorder="1" applyAlignment="1">
      <alignment horizontal="center" vertical="center"/>
    </xf>
    <xf numFmtId="0" fontId="5" fillId="33" borderId="35" xfId="0" applyFont="1" applyFill="1" applyBorder="1">
      <alignment vertical="center"/>
    </xf>
    <xf numFmtId="0" fontId="0" fillId="33" borderId="31" xfId="0" applyFill="1" applyBorder="1">
      <alignment vertical="center"/>
    </xf>
    <xf numFmtId="0" fontId="0" fillId="33" borderId="34" xfId="0" applyFill="1" applyBorder="1">
      <alignment vertical="center"/>
    </xf>
    <xf numFmtId="0" fontId="0" fillId="33" borderId="18" xfId="0" applyFill="1" applyBorder="1">
      <alignment vertical="center"/>
    </xf>
    <xf numFmtId="0" fontId="0" fillId="38" borderId="75" xfId="0" applyFill="1" applyBorder="1">
      <alignment vertical="center"/>
    </xf>
    <xf numFmtId="0" fontId="0" fillId="38" borderId="76" xfId="0" applyFill="1" applyBorder="1">
      <alignment vertical="center"/>
    </xf>
    <xf numFmtId="0" fontId="0" fillId="33" borderId="66" xfId="0" applyFill="1" applyBorder="1">
      <alignment vertical="center"/>
    </xf>
    <xf numFmtId="0" fontId="5" fillId="38" borderId="97" xfId="0" applyFont="1" applyFill="1" applyBorder="1" applyAlignment="1">
      <alignment horizontal="left" vertical="center" shrinkToFit="1"/>
    </xf>
    <xf numFmtId="0" fontId="0" fillId="33" borderId="67" xfId="0" applyFill="1" applyBorder="1">
      <alignment vertical="center"/>
    </xf>
    <xf numFmtId="0" fontId="0" fillId="33" borderId="19" xfId="0" applyFill="1" applyBorder="1">
      <alignment vertical="center"/>
    </xf>
    <xf numFmtId="0" fontId="0" fillId="33" borderId="88" xfId="0" applyFill="1" applyBorder="1" applyAlignment="1">
      <alignment horizontal="left" vertical="center"/>
    </xf>
    <xf numFmtId="0" fontId="0" fillId="33" borderId="88" xfId="0" applyFill="1" applyBorder="1">
      <alignment vertical="center"/>
    </xf>
    <xf numFmtId="0" fontId="0" fillId="33" borderId="89" xfId="0" applyFill="1" applyBorder="1">
      <alignment vertical="center"/>
    </xf>
    <xf numFmtId="0" fontId="0" fillId="38" borderId="75" xfId="0" applyFill="1" applyBorder="1" applyAlignment="1">
      <alignment horizontal="right" vertical="center"/>
    </xf>
    <xf numFmtId="188" fontId="0" fillId="36" borderId="10" xfId="0" applyNumberFormat="1" applyFill="1" applyBorder="1">
      <alignment vertical="center"/>
    </xf>
    <xf numFmtId="0" fontId="0" fillId="36" borderId="10" xfId="0" applyFill="1" applyBorder="1">
      <alignment vertical="center"/>
    </xf>
    <xf numFmtId="0" fontId="5" fillId="0" borderId="82" xfId="0" applyFont="1" applyBorder="1" applyAlignment="1">
      <alignment horizontal="center" vertical="center"/>
    </xf>
    <xf numFmtId="0" fontId="11" fillId="0" borderId="82" xfId="0" applyFont="1" applyBorder="1" applyAlignment="1">
      <alignment horizontal="center" vertical="center"/>
    </xf>
    <xf numFmtId="0" fontId="5" fillId="38" borderId="68" xfId="0" applyFont="1" applyFill="1" applyBorder="1" applyAlignment="1">
      <alignment horizontal="center" vertical="center"/>
    </xf>
    <xf numFmtId="0" fontId="0" fillId="38" borderId="67" xfId="0" applyFill="1" applyBorder="1">
      <alignment vertical="center"/>
    </xf>
    <xf numFmtId="0" fontId="5" fillId="0" borderId="66" xfId="0" applyFont="1" applyBorder="1">
      <alignment vertical="center"/>
    </xf>
    <xf numFmtId="0" fontId="5" fillId="0" borderId="66" xfId="0" applyFont="1" applyBorder="1" applyAlignment="1">
      <alignment horizontal="center" vertical="center"/>
    </xf>
    <xf numFmtId="0" fontId="5" fillId="0" borderId="84" xfId="0" applyFont="1" applyBorder="1">
      <alignment vertical="center"/>
    </xf>
    <xf numFmtId="0" fontId="5" fillId="0" borderId="84" xfId="0" applyFont="1" applyBorder="1" applyAlignment="1">
      <alignment horizontal="center" vertical="center"/>
    </xf>
    <xf numFmtId="0" fontId="5" fillId="0" borderId="27" xfId="0" applyFont="1" applyBorder="1">
      <alignment vertical="center"/>
    </xf>
    <xf numFmtId="0" fontId="5" fillId="0" borderId="27" xfId="0" quotePrefix="1" applyFont="1" applyBorder="1" applyAlignment="1">
      <alignment horizontal="center" vertical="center"/>
    </xf>
    <xf numFmtId="9" fontId="5" fillId="0" borderId="100" xfId="46" applyFont="1" applyBorder="1" applyAlignment="1" applyProtection="1">
      <alignment vertical="center" shrinkToFit="1"/>
    </xf>
    <xf numFmtId="9" fontId="1" fillId="0" borderId="14" xfId="46" applyFont="1" applyBorder="1" applyProtection="1">
      <alignment vertical="center"/>
    </xf>
    <xf numFmtId="0" fontId="5" fillId="0" borderId="20" xfId="0" applyFont="1" applyBorder="1">
      <alignment vertical="center"/>
    </xf>
    <xf numFmtId="0" fontId="5" fillId="0" borderId="36" xfId="0" applyFont="1" applyBorder="1">
      <alignment vertical="center"/>
    </xf>
    <xf numFmtId="0" fontId="0" fillId="0" borderId="37" xfId="0" applyBorder="1">
      <alignment vertical="center"/>
    </xf>
    <xf numFmtId="0" fontId="0" fillId="38" borderId="69" xfId="0" applyFill="1" applyBorder="1">
      <alignment vertical="center"/>
    </xf>
    <xf numFmtId="0" fontId="5" fillId="0" borderId="69" xfId="0" applyFont="1" applyBorder="1">
      <alignment vertical="center"/>
    </xf>
    <xf numFmtId="0" fontId="5" fillId="0" borderId="83" xfId="0" applyFont="1" applyBorder="1">
      <alignment vertical="center"/>
    </xf>
    <xf numFmtId="0" fontId="5" fillId="0" borderId="21" xfId="0" applyFont="1" applyBorder="1">
      <alignment vertical="center"/>
    </xf>
    <xf numFmtId="0" fontId="0" fillId="0" borderId="96" xfId="0" applyBorder="1" applyAlignment="1">
      <alignment horizontal="right" vertical="center"/>
    </xf>
    <xf numFmtId="0" fontId="0" fillId="0" borderId="86" xfId="0" applyBorder="1" applyAlignment="1">
      <alignment horizontal="right" vertical="center"/>
    </xf>
    <xf numFmtId="0" fontId="11" fillId="25" borderId="26" xfId="43" applyFont="1" applyFill="1" applyBorder="1" applyAlignment="1">
      <alignment horizontal="right"/>
    </xf>
    <xf numFmtId="0" fontId="11" fillId="25" borderId="13" xfId="43" applyFont="1" applyFill="1" applyBorder="1" applyAlignment="1">
      <alignment horizontal="right"/>
    </xf>
    <xf numFmtId="194" fontId="11" fillId="25" borderId="10" xfId="43" applyNumberFormat="1" applyFont="1" applyFill="1" applyBorder="1" applyAlignment="1">
      <alignment horizontal="right"/>
    </xf>
    <xf numFmtId="194" fontId="11" fillId="25" borderId="13" xfId="43" applyNumberFormat="1" applyFont="1" applyFill="1" applyBorder="1" applyAlignment="1">
      <alignment horizontal="right"/>
    </xf>
    <xf numFmtId="0" fontId="11" fillId="25" borderId="26" xfId="0" applyFont="1" applyFill="1" applyBorder="1">
      <alignment vertical="center"/>
    </xf>
    <xf numFmtId="0" fontId="11" fillId="25" borderId="13" xfId="0" applyFont="1" applyFill="1" applyBorder="1">
      <alignment vertical="center"/>
    </xf>
    <xf numFmtId="0" fontId="1" fillId="25" borderId="0" xfId="43" applyFont="1" applyFill="1" applyAlignment="1">
      <alignment vertical="center"/>
    </xf>
    <xf numFmtId="178" fontId="1" fillId="25" borderId="0" xfId="43" applyNumberFormat="1" applyFont="1" applyFill="1" applyAlignment="1">
      <alignment horizontal="right" vertical="center"/>
    </xf>
    <xf numFmtId="38" fontId="1" fillId="25" borderId="10" xfId="34" applyFont="1" applyFill="1" applyBorder="1" applyAlignment="1" applyProtection="1">
      <alignment vertical="center"/>
    </xf>
    <xf numFmtId="38" fontId="1" fillId="25" borderId="58" xfId="34" applyFont="1" applyFill="1" applyBorder="1" applyAlignment="1" applyProtection="1">
      <alignment horizontal="center" vertical="center"/>
    </xf>
    <xf numFmtId="0" fontId="11" fillId="36" borderId="0" xfId="0" applyFont="1" applyFill="1" applyAlignment="1"/>
    <xf numFmtId="0" fontId="1" fillId="36" borderId="0" xfId="43" applyFont="1" applyFill="1" applyAlignment="1">
      <alignment vertical="center"/>
    </xf>
    <xf numFmtId="0" fontId="11" fillId="36" borderId="0" xfId="43" applyFont="1" applyFill="1" applyAlignment="1">
      <alignment horizontal="right"/>
    </xf>
    <xf numFmtId="178" fontId="1" fillId="36" borderId="0" xfId="43" applyNumberFormat="1" applyFont="1" applyFill="1" applyAlignment="1">
      <alignment horizontal="right" vertical="center"/>
    </xf>
    <xf numFmtId="0" fontId="11" fillId="36" borderId="0" xfId="43" applyFont="1" applyFill="1" applyAlignment="1">
      <alignment horizontal="left"/>
    </xf>
    <xf numFmtId="0" fontId="11" fillId="36" borderId="0" xfId="43" applyFont="1" applyFill="1" applyAlignment="1" applyProtection="1">
      <alignment horizontal="right"/>
      <protection hidden="1"/>
    </xf>
    <xf numFmtId="38" fontId="11" fillId="25" borderId="10" xfId="34" applyFont="1" applyFill="1" applyBorder="1">
      <alignment vertical="center"/>
    </xf>
    <xf numFmtId="191" fontId="11" fillId="36" borderId="10" xfId="0" applyNumberFormat="1" applyFont="1" applyFill="1" applyBorder="1">
      <alignment vertical="center"/>
    </xf>
    <xf numFmtId="38" fontId="11" fillId="36" borderId="10" xfId="34" applyFont="1" applyFill="1" applyBorder="1" applyAlignment="1" applyProtection="1">
      <alignment vertical="center"/>
    </xf>
    <xf numFmtId="2" fontId="1" fillId="36" borderId="10" xfId="43" applyNumberFormat="1" applyFont="1" applyFill="1" applyBorder="1" applyAlignment="1">
      <alignment vertical="center"/>
    </xf>
    <xf numFmtId="2" fontId="1" fillId="25" borderId="10" xfId="43" applyNumberFormat="1" applyFont="1" applyFill="1" applyBorder="1" applyAlignment="1">
      <alignment vertical="center"/>
    </xf>
    <xf numFmtId="0" fontId="1" fillId="25" borderId="13" xfId="43" applyFont="1" applyFill="1" applyBorder="1" applyAlignment="1">
      <alignment vertical="center"/>
    </xf>
    <xf numFmtId="0" fontId="1" fillId="25" borderId="45" xfId="43" applyFont="1" applyFill="1" applyBorder="1" applyAlignment="1">
      <alignment vertical="center"/>
    </xf>
    <xf numFmtId="176" fontId="1" fillId="25" borderId="0" xfId="43" applyNumberFormat="1" applyFont="1" applyFill="1" applyAlignment="1">
      <alignment vertical="center"/>
    </xf>
    <xf numFmtId="0" fontId="1" fillId="36" borderId="0" xfId="43" applyFont="1" applyFill="1" applyAlignment="1" applyProtection="1">
      <alignment vertical="center"/>
      <protection hidden="1"/>
    </xf>
    <xf numFmtId="178" fontId="1" fillId="25" borderId="25" xfId="43" applyNumberFormat="1" applyFont="1" applyFill="1" applyBorder="1" applyAlignment="1">
      <alignment horizontal="right" vertical="center"/>
    </xf>
    <xf numFmtId="177" fontId="2" fillId="25" borderId="44" xfId="43" applyNumberFormat="1" applyFill="1" applyBorder="1" applyAlignment="1">
      <alignment vertical="center"/>
    </xf>
    <xf numFmtId="177" fontId="11" fillId="25" borderId="0" xfId="43" applyNumberFormat="1" applyFont="1" applyFill="1" applyAlignment="1">
      <alignment vertical="center"/>
    </xf>
    <xf numFmtId="177" fontId="2" fillId="25" borderId="41" xfId="43" applyNumberFormat="1" applyFill="1" applyBorder="1" applyAlignment="1">
      <alignment vertical="center"/>
    </xf>
    <xf numFmtId="177" fontId="34" fillId="27" borderId="54" xfId="43" applyNumberFormat="1" applyFont="1" applyFill="1" applyBorder="1" applyAlignment="1">
      <alignment horizontal="right" vertical="center"/>
    </xf>
    <xf numFmtId="177" fontId="11" fillId="25" borderId="14" xfId="43" applyNumberFormat="1" applyFont="1" applyFill="1" applyBorder="1" applyAlignment="1">
      <alignment vertical="center"/>
    </xf>
    <xf numFmtId="4" fontId="11" fillId="25" borderId="10" xfId="34" applyNumberFormat="1" applyFont="1" applyFill="1" applyBorder="1" applyAlignment="1" applyProtection="1">
      <alignment horizontal="right" vertical="center"/>
    </xf>
    <xf numFmtId="4" fontId="11" fillId="25" borderId="25" xfId="34" applyNumberFormat="1" applyFont="1" applyFill="1" applyBorder="1" applyAlignment="1">
      <alignment horizontal="right" vertical="center"/>
    </xf>
    <xf numFmtId="4" fontId="11" fillId="25" borderId="56" xfId="34" applyNumberFormat="1" applyFont="1" applyFill="1" applyBorder="1" applyAlignment="1">
      <alignment horizontal="right" vertical="center"/>
    </xf>
    <xf numFmtId="0" fontId="0" fillId="33" borderId="66" xfId="0" applyFill="1" applyBorder="1" applyAlignment="1">
      <alignment horizontal="left" vertical="center"/>
    </xf>
    <xf numFmtId="0" fontId="0" fillId="0" borderId="89" xfId="0" applyBorder="1">
      <alignment vertical="center"/>
    </xf>
    <xf numFmtId="187" fontId="5" fillId="38" borderId="77" xfId="0" applyNumberFormat="1" applyFont="1" applyFill="1" applyBorder="1" applyAlignment="1">
      <alignment horizontal="center" vertical="center"/>
    </xf>
    <xf numFmtId="180" fontId="0" fillId="33" borderId="66" xfId="0" applyNumberFormat="1" applyFill="1" applyBorder="1">
      <alignment vertical="center"/>
    </xf>
    <xf numFmtId="38" fontId="0" fillId="33" borderId="66" xfId="0" applyNumberFormat="1" applyFill="1" applyBorder="1">
      <alignment vertical="center"/>
    </xf>
    <xf numFmtId="180" fontId="0" fillId="33" borderId="88" xfId="0" applyNumberFormat="1" applyFill="1" applyBorder="1">
      <alignment vertical="center"/>
    </xf>
    <xf numFmtId="38" fontId="0" fillId="33" borderId="88" xfId="0" applyNumberFormat="1" applyFill="1" applyBorder="1">
      <alignment vertical="center"/>
    </xf>
    <xf numFmtId="187" fontId="5" fillId="38" borderId="98" xfId="0" applyNumberFormat="1" applyFont="1" applyFill="1" applyBorder="1" applyAlignment="1">
      <alignment horizontal="center" vertical="center"/>
    </xf>
    <xf numFmtId="195" fontId="5" fillId="38" borderId="98" xfId="0" applyNumberFormat="1" applyFont="1" applyFill="1" applyBorder="1" applyAlignment="1">
      <alignment horizontal="center" vertical="center"/>
    </xf>
    <xf numFmtId="196" fontId="0" fillId="36" borderId="10" xfId="0" applyNumberFormat="1" applyFill="1" applyBorder="1">
      <alignment vertical="center"/>
    </xf>
    <xf numFmtId="196" fontId="0" fillId="0" borderId="10" xfId="0" applyNumberFormat="1" applyBorder="1">
      <alignment vertical="center"/>
    </xf>
    <xf numFmtId="0" fontId="0" fillId="35" borderId="103" xfId="0" applyFill="1" applyBorder="1">
      <alignment vertical="center"/>
    </xf>
    <xf numFmtId="0" fontId="0" fillId="0" borderId="104" xfId="0" applyBorder="1">
      <alignment vertical="center"/>
    </xf>
    <xf numFmtId="0" fontId="0" fillId="0" borderId="105" xfId="0" applyBorder="1">
      <alignment vertical="center"/>
    </xf>
    <xf numFmtId="0" fontId="0" fillId="0" borderId="98" xfId="0" applyBorder="1" applyAlignment="1">
      <alignment horizontal="center" vertical="center"/>
    </xf>
    <xf numFmtId="0" fontId="0" fillId="35" borderId="25" xfId="0" applyFill="1" applyBorder="1" applyAlignment="1" applyProtection="1">
      <alignment horizontal="center" vertical="center"/>
      <protection locked="0"/>
    </xf>
    <xf numFmtId="0" fontId="0" fillId="0" borderId="74" xfId="0" applyBorder="1" applyAlignment="1">
      <alignment horizontal="center" vertical="center"/>
    </xf>
    <xf numFmtId="0" fontId="0" fillId="33" borderId="73" xfId="0" applyFill="1" applyBorder="1" applyAlignment="1">
      <alignment horizontal="right" vertical="center"/>
    </xf>
    <xf numFmtId="0" fontId="0" fillId="38" borderId="71" xfId="0" applyFill="1" applyBorder="1" applyAlignment="1">
      <alignment horizontal="right" vertical="center"/>
    </xf>
    <xf numFmtId="0" fontId="0" fillId="0" borderId="107" xfId="0" applyBorder="1" applyAlignment="1">
      <alignment horizontal="center" vertical="center"/>
    </xf>
    <xf numFmtId="0" fontId="0" fillId="38" borderId="31" xfId="0" applyFill="1" applyBorder="1">
      <alignment vertical="center"/>
    </xf>
    <xf numFmtId="0" fontId="0" fillId="33" borderId="109" xfId="0" applyFill="1" applyBorder="1" applyAlignment="1">
      <alignment horizontal="right" vertical="center"/>
    </xf>
    <xf numFmtId="0" fontId="0" fillId="33" borderId="0" xfId="0" applyFill="1" applyAlignment="1">
      <alignment horizontal="right" vertical="center"/>
    </xf>
    <xf numFmtId="0" fontId="0" fillId="33" borderId="74" xfId="0" applyFill="1" applyBorder="1" applyAlignment="1">
      <alignment horizontal="right" vertical="center"/>
    </xf>
    <xf numFmtId="0" fontId="0" fillId="35" borderId="110" xfId="0" applyFill="1" applyBorder="1" applyAlignment="1" applyProtection="1">
      <alignment horizontal="center" vertical="center"/>
      <protection locked="0"/>
    </xf>
    <xf numFmtId="0" fontId="0" fillId="35" borderId="43" xfId="0" applyFill="1" applyBorder="1" applyAlignment="1" applyProtection="1">
      <alignment horizontal="center" vertical="center"/>
      <protection locked="0"/>
    </xf>
    <xf numFmtId="0" fontId="5" fillId="38" borderId="11" xfId="0" applyFont="1" applyFill="1" applyBorder="1">
      <alignment vertical="center"/>
    </xf>
    <xf numFmtId="0" fontId="5" fillId="38" borderId="79" xfId="0" applyFont="1" applyFill="1" applyBorder="1" applyAlignment="1">
      <alignment horizontal="center" vertical="center"/>
    </xf>
    <xf numFmtId="0" fontId="0" fillId="33" borderId="0" xfId="0" applyFill="1">
      <alignment vertical="center"/>
    </xf>
    <xf numFmtId="0" fontId="0" fillId="35" borderId="111" xfId="0" applyFill="1" applyBorder="1" applyAlignment="1" applyProtection="1">
      <alignment horizontal="center" vertical="center"/>
      <protection locked="0"/>
    </xf>
    <xf numFmtId="0" fontId="0" fillId="35" borderId="112" xfId="0" applyFill="1" applyBorder="1" applyAlignment="1" applyProtection="1">
      <alignment horizontal="center" vertical="center"/>
      <protection locked="0"/>
    </xf>
    <xf numFmtId="0" fontId="0" fillId="38" borderId="11" xfId="0" applyFill="1" applyBorder="1" applyAlignment="1">
      <alignment horizontal="left" vertical="center" shrinkToFit="1"/>
    </xf>
    <xf numFmtId="0" fontId="0" fillId="38" borderId="39" xfId="0" applyFill="1" applyBorder="1" applyAlignment="1">
      <alignment horizontal="left" vertical="center" shrinkToFit="1"/>
    </xf>
    <xf numFmtId="1" fontId="0" fillId="0" borderId="0" xfId="0" applyNumberFormat="1">
      <alignment vertical="center"/>
    </xf>
    <xf numFmtId="1" fontId="0" fillId="0" borderId="10" xfId="0" applyNumberFormat="1" applyBorder="1">
      <alignment vertical="center"/>
    </xf>
    <xf numFmtId="9" fontId="0" fillId="0" borderId="74" xfId="28" applyFont="1" applyBorder="1" applyProtection="1">
      <alignment vertical="center"/>
    </xf>
    <xf numFmtId="9" fontId="0" fillId="0" borderId="81" xfId="28" applyFont="1" applyBorder="1" applyProtection="1">
      <alignment vertical="center"/>
    </xf>
    <xf numFmtId="0" fontId="0" fillId="35" borderId="65" xfId="0" applyFill="1" applyBorder="1">
      <alignment vertical="center"/>
    </xf>
    <xf numFmtId="14" fontId="11" fillId="35" borderId="65" xfId="0" applyNumberFormat="1" applyFont="1" applyFill="1" applyBorder="1" applyAlignment="1">
      <alignment horizontal="right" vertical="center"/>
    </xf>
    <xf numFmtId="0" fontId="0" fillId="0" borderId="113" xfId="0" applyBorder="1" applyAlignment="1">
      <alignment horizontal="right" vertical="center"/>
    </xf>
    <xf numFmtId="0" fontId="0" fillId="0" borderId="72" xfId="0" applyBorder="1" applyAlignment="1">
      <alignment horizontal="center" vertical="center"/>
    </xf>
    <xf numFmtId="0" fontId="0" fillId="0" borderId="108" xfId="0" applyBorder="1" applyAlignment="1">
      <alignment horizontal="right" vertical="center"/>
    </xf>
    <xf numFmtId="0" fontId="0" fillId="0" borderId="67" xfId="0" applyBorder="1" applyAlignment="1">
      <alignment horizontal="center" vertical="center"/>
    </xf>
    <xf numFmtId="0" fontId="0" fillId="0" borderId="83" xfId="0" applyBorder="1">
      <alignment vertical="center"/>
    </xf>
    <xf numFmtId="0" fontId="0" fillId="33" borderId="66" xfId="0" applyFill="1" applyBorder="1" applyAlignment="1">
      <alignment vertical="center" shrinkToFit="1"/>
    </xf>
    <xf numFmtId="0" fontId="0" fillId="33" borderId="65" xfId="0" applyFill="1" applyBorder="1">
      <alignment vertical="center"/>
    </xf>
    <xf numFmtId="180" fontId="0" fillId="0" borderId="10" xfId="0" applyNumberFormat="1" applyBorder="1">
      <alignment vertical="center"/>
    </xf>
    <xf numFmtId="38" fontId="0" fillId="0" borderId="10" xfId="34" applyFont="1" applyBorder="1">
      <alignment vertical="center"/>
    </xf>
    <xf numFmtId="0" fontId="11" fillId="0" borderId="0" xfId="43" applyFont="1" applyAlignment="1">
      <alignment horizontal="right" vertical="center"/>
    </xf>
    <xf numFmtId="3" fontId="11" fillId="25" borderId="10" xfId="0" applyNumberFormat="1" applyFont="1" applyFill="1" applyBorder="1">
      <alignment vertical="center"/>
    </xf>
    <xf numFmtId="0" fontId="0" fillId="38" borderId="34" xfId="0" applyFill="1" applyBorder="1">
      <alignment vertical="center"/>
    </xf>
    <xf numFmtId="0" fontId="3" fillId="42" borderId="10" xfId="43" applyFont="1" applyFill="1" applyBorder="1" applyAlignment="1">
      <alignment horizontal="center" vertical="center"/>
    </xf>
    <xf numFmtId="2" fontId="1" fillId="25" borderId="56" xfId="43" applyNumberFormat="1" applyFont="1" applyFill="1" applyBorder="1" applyAlignment="1">
      <alignment vertical="center"/>
    </xf>
    <xf numFmtId="2" fontId="1" fillId="25" borderId="58" xfId="43" applyNumberFormat="1" applyFont="1" applyFill="1" applyBorder="1" applyAlignment="1">
      <alignment vertical="center"/>
    </xf>
    <xf numFmtId="0" fontId="11" fillId="25" borderId="25" xfId="43" applyFont="1" applyFill="1" applyBorder="1" applyAlignment="1">
      <alignment horizontal="right" vertical="center"/>
    </xf>
    <xf numFmtId="0" fontId="0" fillId="0" borderId="116" xfId="0" applyBorder="1">
      <alignment vertical="center"/>
    </xf>
    <xf numFmtId="40" fontId="0" fillId="24" borderId="10" xfId="34" applyNumberFormat="1" applyFont="1" applyFill="1" applyBorder="1">
      <alignment vertical="center"/>
    </xf>
    <xf numFmtId="9" fontId="0" fillId="43" borderId="74" xfId="28" applyFont="1" applyFill="1" applyBorder="1" applyProtection="1">
      <alignment vertical="center"/>
    </xf>
    <xf numFmtId="9" fontId="1" fillId="43" borderId="74" xfId="28" applyFont="1" applyFill="1" applyBorder="1" applyProtection="1">
      <alignment vertical="center"/>
    </xf>
    <xf numFmtId="0" fontId="0" fillId="0" borderId="70" xfId="0" applyBorder="1">
      <alignment vertical="center"/>
    </xf>
    <xf numFmtId="192" fontId="1" fillId="25" borderId="0" xfId="28" applyNumberFormat="1" applyFont="1" applyFill="1" applyBorder="1" applyAlignment="1" applyProtection="1">
      <alignment vertical="center"/>
    </xf>
    <xf numFmtId="0" fontId="2" fillId="38" borderId="117" xfId="43" applyFill="1" applyBorder="1"/>
    <xf numFmtId="0" fontId="2" fillId="38" borderId="118" xfId="43" applyFill="1" applyBorder="1"/>
    <xf numFmtId="0" fontId="5" fillId="38" borderId="118" xfId="43" applyFont="1" applyFill="1" applyBorder="1"/>
    <xf numFmtId="0" fontId="0" fillId="38" borderId="118" xfId="43" applyFont="1" applyFill="1" applyBorder="1"/>
    <xf numFmtId="0" fontId="0" fillId="38" borderId="120" xfId="0" applyFill="1" applyBorder="1">
      <alignment vertical="center"/>
    </xf>
    <xf numFmtId="0" fontId="11" fillId="38" borderId="0" xfId="43" applyFont="1" applyFill="1" applyAlignment="1">
      <alignment vertical="center"/>
    </xf>
    <xf numFmtId="0" fontId="11" fillId="38" borderId="0" xfId="43" applyFont="1" applyFill="1"/>
    <xf numFmtId="0" fontId="11" fillId="38" borderId="0" xfId="43" applyFont="1" applyFill="1" applyAlignment="1">
      <alignment horizontal="right"/>
    </xf>
    <xf numFmtId="0" fontId="2" fillId="38" borderId="0" xfId="43" applyFill="1"/>
    <xf numFmtId="191" fontId="11" fillId="38" borderId="26" xfId="43" applyNumberFormat="1" applyFont="1" applyFill="1" applyBorder="1"/>
    <xf numFmtId="0" fontId="11" fillId="38" borderId="30" xfId="43" applyFont="1" applyFill="1" applyBorder="1"/>
    <xf numFmtId="0" fontId="11" fillId="38" borderId="31" xfId="43" applyFont="1" applyFill="1" applyBorder="1"/>
    <xf numFmtId="0" fontId="11" fillId="38" borderId="31" xfId="43" applyFont="1" applyFill="1" applyBorder="1" applyAlignment="1">
      <alignment horizontal="right"/>
    </xf>
    <xf numFmtId="0" fontId="11" fillId="38" borderId="31" xfId="43" applyFont="1" applyFill="1" applyBorder="1" applyAlignment="1">
      <alignment horizontal="left"/>
    </xf>
    <xf numFmtId="0" fontId="2" fillId="38" borderId="45" xfId="43" applyFill="1" applyBorder="1"/>
    <xf numFmtId="0" fontId="5" fillId="38" borderId="0" xfId="43" applyFont="1" applyFill="1" applyAlignment="1">
      <alignment vertical="center"/>
    </xf>
    <xf numFmtId="0" fontId="17" fillId="38" borderId="0" xfId="43" applyFont="1" applyFill="1" applyAlignment="1">
      <alignment vertical="center"/>
    </xf>
    <xf numFmtId="0" fontId="11" fillId="38" borderId="11" xfId="43" applyFont="1" applyFill="1" applyBorder="1"/>
    <xf numFmtId="0" fontId="3" fillId="38" borderId="0" xfId="43" applyFont="1" applyFill="1"/>
    <xf numFmtId="0" fontId="11" fillId="38" borderId="12" xfId="43" applyFont="1" applyFill="1" applyBorder="1"/>
    <xf numFmtId="0" fontId="3" fillId="38" borderId="11" xfId="43" applyFont="1" applyFill="1" applyBorder="1"/>
    <xf numFmtId="0" fontId="3" fillId="38" borderId="33" xfId="43" applyFont="1" applyFill="1" applyBorder="1"/>
    <xf numFmtId="0" fontId="11" fillId="38" borderId="16" xfId="43" applyFont="1" applyFill="1" applyBorder="1"/>
    <xf numFmtId="0" fontId="11" fillId="38" borderId="29" xfId="43" applyFont="1" applyFill="1" applyBorder="1"/>
    <xf numFmtId="191" fontId="11" fillId="38" borderId="0" xfId="43" applyNumberFormat="1" applyFont="1" applyFill="1"/>
    <xf numFmtId="191" fontId="11" fillId="38" borderId="0" xfId="43" applyNumberFormat="1" applyFont="1" applyFill="1" applyAlignment="1">
      <alignment horizontal="right"/>
    </xf>
    <xf numFmtId="0" fontId="3" fillId="38" borderId="0" xfId="43" applyFont="1" applyFill="1" applyAlignment="1">
      <alignment horizontal="right"/>
    </xf>
    <xf numFmtId="192" fontId="11" fillId="38" borderId="10" xfId="28" applyNumberFormat="1" applyFont="1" applyFill="1" applyBorder="1" applyAlignment="1"/>
    <xf numFmtId="191" fontId="11" fillId="38" borderId="10" xfId="43" applyNumberFormat="1" applyFont="1" applyFill="1" applyBorder="1"/>
    <xf numFmtId="0" fontId="63" fillId="38" borderId="0" xfId="43" applyFont="1" applyFill="1"/>
    <xf numFmtId="0" fontId="64" fillId="38" borderId="0" xfId="43" applyFont="1" applyFill="1"/>
    <xf numFmtId="0" fontId="0" fillId="38" borderId="122" xfId="0" applyFill="1" applyBorder="1">
      <alignment vertical="center"/>
    </xf>
    <xf numFmtId="0" fontId="0" fillId="38" borderId="123" xfId="0" applyFill="1" applyBorder="1">
      <alignment vertical="center"/>
    </xf>
    <xf numFmtId="0" fontId="5" fillId="38" borderId="123" xfId="43" applyFont="1" applyFill="1" applyBorder="1" applyAlignment="1">
      <alignment vertical="center"/>
    </xf>
    <xf numFmtId="0" fontId="17" fillId="38" borderId="123" xfId="43" applyFont="1" applyFill="1" applyBorder="1" applyAlignment="1">
      <alignment vertical="center"/>
    </xf>
    <xf numFmtId="0" fontId="11" fillId="38" borderId="123" xfId="43" applyFont="1" applyFill="1" applyBorder="1"/>
    <xf numFmtId="0" fontId="2" fillId="38" borderId="123" xfId="43" applyFill="1" applyBorder="1"/>
    <xf numFmtId="0" fontId="11" fillId="38" borderId="123" xfId="43" applyFont="1" applyFill="1" applyBorder="1" applyAlignment="1">
      <alignment horizontal="right"/>
    </xf>
    <xf numFmtId="191" fontId="11" fillId="38" borderId="124" xfId="43" applyNumberFormat="1" applyFont="1" applyFill="1" applyBorder="1"/>
    <xf numFmtId="0" fontId="21" fillId="38" borderId="118" xfId="43" applyFont="1" applyFill="1" applyBorder="1" applyAlignment="1">
      <alignment vertical="center"/>
    </xf>
    <xf numFmtId="0" fontId="11" fillId="38" borderId="118" xfId="43" applyFont="1" applyFill="1" applyBorder="1" applyAlignment="1">
      <alignment horizontal="left" vertical="center"/>
    </xf>
    <xf numFmtId="0" fontId="11" fillId="38" borderId="118" xfId="43" applyFont="1" applyFill="1" applyBorder="1" applyAlignment="1">
      <alignment vertical="center"/>
    </xf>
    <xf numFmtId="0" fontId="2" fillId="38" borderId="118" xfId="43" applyFill="1" applyBorder="1" applyAlignment="1">
      <alignment vertical="center"/>
    </xf>
    <xf numFmtId="178" fontId="11" fillId="38" borderId="119" xfId="43" applyNumberFormat="1" applyFont="1" applyFill="1" applyBorder="1" applyAlignment="1">
      <alignment horizontal="right" vertical="center"/>
    </xf>
    <xf numFmtId="0" fontId="21" fillId="38" borderId="0" xfId="43" applyFont="1" applyFill="1" applyAlignment="1">
      <alignment vertical="center"/>
    </xf>
    <xf numFmtId="0" fontId="11" fillId="38" borderId="0" xfId="43" applyFont="1" applyFill="1" applyAlignment="1">
      <alignment horizontal="left" vertical="center"/>
    </xf>
    <xf numFmtId="0" fontId="0" fillId="38" borderId="0" xfId="43" applyFont="1" applyFill="1" applyAlignment="1">
      <alignment vertical="center"/>
    </xf>
    <xf numFmtId="0" fontId="2" fillId="38" borderId="0" xfId="43" applyFill="1" applyAlignment="1">
      <alignment vertical="center"/>
    </xf>
    <xf numFmtId="178" fontId="11" fillId="38" borderId="121" xfId="43" applyNumberFormat="1" applyFont="1" applyFill="1" applyBorder="1" applyAlignment="1">
      <alignment horizontal="right" vertical="center"/>
    </xf>
    <xf numFmtId="0" fontId="2" fillId="38" borderId="121" xfId="43" applyFill="1" applyBorder="1" applyAlignment="1">
      <alignment vertical="center"/>
    </xf>
    <xf numFmtId="179" fontId="11" fillId="38" borderId="0" xfId="43" applyNumberFormat="1" applyFont="1" applyFill="1" applyAlignment="1">
      <alignment horizontal="left" vertical="center"/>
    </xf>
    <xf numFmtId="178" fontId="2" fillId="38" borderId="0" xfId="43" applyNumberFormat="1" applyFill="1" applyAlignment="1">
      <alignment horizontal="right" vertical="center"/>
    </xf>
    <xf numFmtId="178" fontId="2" fillId="38" borderId="121" xfId="43" applyNumberFormat="1" applyFill="1" applyBorder="1" applyAlignment="1">
      <alignment horizontal="right" vertical="center"/>
    </xf>
    <xf numFmtId="0" fontId="11" fillId="38" borderId="123" xfId="43" applyFont="1" applyFill="1" applyBorder="1" applyAlignment="1">
      <alignment vertical="center"/>
    </xf>
    <xf numFmtId="0" fontId="11" fillId="38" borderId="123" xfId="43" applyFont="1" applyFill="1" applyBorder="1" applyAlignment="1">
      <alignment horizontal="left" vertical="center"/>
    </xf>
    <xf numFmtId="179" fontId="11" fillId="38" borderId="123" xfId="43" applyNumberFormat="1" applyFont="1" applyFill="1" applyBorder="1" applyAlignment="1">
      <alignment horizontal="left" vertical="center"/>
    </xf>
    <xf numFmtId="178" fontId="11" fillId="38" borderId="123" xfId="43" applyNumberFormat="1" applyFont="1" applyFill="1" applyBorder="1" applyAlignment="1">
      <alignment horizontal="right" vertical="center"/>
    </xf>
    <xf numFmtId="178" fontId="11" fillId="38" borderId="125" xfId="43" applyNumberFormat="1" applyFont="1" applyFill="1" applyBorder="1" applyAlignment="1">
      <alignment horizontal="right" vertical="center"/>
    </xf>
    <xf numFmtId="0" fontId="0" fillId="33" borderId="0" xfId="0" applyFill="1" applyAlignment="1">
      <alignment horizontal="center" vertical="center"/>
    </xf>
    <xf numFmtId="178" fontId="0" fillId="33" borderId="0" xfId="0" applyNumberFormat="1" applyFill="1">
      <alignment vertical="center"/>
    </xf>
    <xf numFmtId="0" fontId="3" fillId="38" borderId="10" xfId="43" applyFont="1" applyFill="1" applyBorder="1" applyAlignment="1">
      <alignment vertical="center"/>
    </xf>
    <xf numFmtId="0" fontId="11" fillId="38" borderId="10" xfId="43" applyFont="1" applyFill="1" applyBorder="1" applyAlignment="1">
      <alignment horizontal="right" vertical="center"/>
    </xf>
    <xf numFmtId="0" fontId="11" fillId="38" borderId="10" xfId="43" applyFont="1" applyFill="1" applyBorder="1" applyAlignment="1">
      <alignment vertical="center"/>
    </xf>
    <xf numFmtId="0" fontId="11" fillId="38" borderId="10" xfId="43" applyFont="1" applyFill="1" applyBorder="1" applyAlignment="1">
      <alignment horizontal="left" vertical="center"/>
    </xf>
    <xf numFmtId="38" fontId="11" fillId="38" borderId="10" xfId="43" applyNumberFormat="1" applyFont="1" applyFill="1" applyBorder="1" applyAlignment="1">
      <alignment vertical="center"/>
    </xf>
    <xf numFmtId="0" fontId="72" fillId="29" borderId="36" xfId="0" applyFont="1" applyFill="1" applyBorder="1">
      <alignment vertical="center"/>
    </xf>
    <xf numFmtId="0" fontId="71" fillId="0" borderId="0" xfId="0" applyFont="1">
      <alignment vertical="center"/>
    </xf>
    <xf numFmtId="0" fontId="74" fillId="0" borderId="0" xfId="0" applyFont="1">
      <alignment vertical="center"/>
    </xf>
    <xf numFmtId="0" fontId="76" fillId="0" borderId="0" xfId="0" applyFont="1">
      <alignment vertical="center"/>
    </xf>
    <xf numFmtId="0" fontId="0" fillId="35" borderId="126" xfId="0" applyFill="1" applyBorder="1" applyAlignment="1">
      <alignment horizontal="center" vertical="center"/>
    </xf>
    <xf numFmtId="0" fontId="0" fillId="33" borderId="0" xfId="0" applyFill="1" applyProtection="1">
      <alignment vertical="center"/>
      <protection locked="0"/>
    </xf>
    <xf numFmtId="0" fontId="0" fillId="33" borderId="93" xfId="0" applyFill="1" applyBorder="1">
      <alignment vertical="center"/>
    </xf>
    <xf numFmtId="0" fontId="0" fillId="33" borderId="14" xfId="0" applyFill="1" applyBorder="1">
      <alignment vertical="center"/>
    </xf>
    <xf numFmtId="0" fontId="0" fillId="33" borderId="95" xfId="0" applyFill="1" applyBorder="1">
      <alignment vertical="center"/>
    </xf>
    <xf numFmtId="0" fontId="0" fillId="33" borderId="84" xfId="0" applyFill="1" applyBorder="1" applyAlignment="1">
      <alignment vertical="center" shrinkToFit="1"/>
    </xf>
    <xf numFmtId="0" fontId="71" fillId="0" borderId="65" xfId="0" applyFont="1" applyBorder="1">
      <alignment vertical="center"/>
    </xf>
    <xf numFmtId="0" fontId="71" fillId="0" borderId="65" xfId="0" applyFont="1" applyBorder="1" applyAlignment="1">
      <alignment vertical="center" wrapText="1"/>
    </xf>
    <xf numFmtId="0" fontId="0" fillId="0" borderId="129" xfId="0" applyBorder="1">
      <alignment vertical="center"/>
    </xf>
    <xf numFmtId="0" fontId="0" fillId="35" borderId="131" xfId="0" applyFill="1" applyBorder="1" applyProtection="1">
      <alignment vertical="center"/>
      <protection locked="0"/>
    </xf>
    <xf numFmtId="0" fontId="0" fillId="35" borderId="132" xfId="0" applyFill="1" applyBorder="1" applyProtection="1">
      <alignment vertical="center"/>
      <protection locked="0"/>
    </xf>
    <xf numFmtId="0" fontId="0" fillId="35" borderId="133" xfId="0" applyFill="1" applyBorder="1" applyProtection="1">
      <alignment vertical="center"/>
      <protection locked="0"/>
    </xf>
    <xf numFmtId="178" fontId="0" fillId="35" borderId="134" xfId="0" applyNumberFormat="1" applyFill="1" applyBorder="1" applyProtection="1">
      <alignment vertical="center"/>
      <protection locked="0"/>
    </xf>
    <xf numFmtId="0" fontId="67" fillId="41" borderId="145" xfId="0" applyFont="1" applyFill="1" applyBorder="1">
      <alignment vertical="center"/>
    </xf>
    <xf numFmtId="0" fontId="67" fillId="41" borderId="37" xfId="0" applyFont="1" applyFill="1" applyBorder="1">
      <alignment vertical="center"/>
    </xf>
    <xf numFmtId="187" fontId="5" fillId="35" borderId="130" xfId="0" applyNumberFormat="1" applyFont="1" applyFill="1" applyBorder="1" applyAlignment="1" applyProtection="1">
      <alignment horizontal="center" vertical="center"/>
      <protection locked="0"/>
    </xf>
    <xf numFmtId="0" fontId="17" fillId="35" borderId="130" xfId="0" applyFont="1" applyFill="1" applyBorder="1" applyAlignment="1" applyProtection="1">
      <alignment horizontal="center" vertical="center"/>
      <protection locked="0"/>
    </xf>
    <xf numFmtId="191" fontId="11" fillId="38" borderId="24" xfId="43" applyNumberFormat="1" applyFont="1" applyFill="1" applyBorder="1"/>
    <xf numFmtId="0" fontId="2" fillId="33" borderId="0" xfId="43" applyFill="1"/>
    <xf numFmtId="180" fontId="0" fillId="0" borderId="0" xfId="0" applyNumberFormat="1">
      <alignment vertical="center"/>
    </xf>
    <xf numFmtId="4" fontId="11" fillId="36" borderId="10" xfId="34" applyNumberFormat="1" applyFont="1" applyFill="1" applyBorder="1" applyAlignment="1" applyProtection="1">
      <alignment horizontal="right" vertical="center"/>
    </xf>
    <xf numFmtId="0" fontId="5" fillId="38" borderId="11" xfId="0" applyFont="1" applyFill="1" applyBorder="1" applyAlignment="1">
      <alignment horizontal="left" vertical="center" shrinkToFit="1"/>
    </xf>
    <xf numFmtId="0" fontId="0" fillId="33" borderId="16" xfId="0" applyFill="1" applyBorder="1" applyAlignment="1">
      <alignment vertical="center" shrinkToFit="1"/>
    </xf>
    <xf numFmtId="0" fontId="0" fillId="33" borderId="16" xfId="0" applyFill="1" applyBorder="1">
      <alignment vertical="center"/>
    </xf>
    <xf numFmtId="0" fontId="0" fillId="44" borderId="95" xfId="0" applyFill="1" applyBorder="1">
      <alignment vertical="center"/>
    </xf>
    <xf numFmtId="0" fontId="0" fillId="44" borderId="155" xfId="0" applyFill="1" applyBorder="1">
      <alignment vertical="center"/>
    </xf>
    <xf numFmtId="0" fontId="0" fillId="44" borderId="66" xfId="0" applyFill="1" applyBorder="1">
      <alignment vertical="center"/>
    </xf>
    <xf numFmtId="180" fontId="0" fillId="35" borderId="110" xfId="0" applyNumberFormat="1" applyFill="1" applyBorder="1" applyProtection="1">
      <alignment vertical="center"/>
      <protection locked="0"/>
    </xf>
    <xf numFmtId="180" fontId="0" fillId="35" borderId="111" xfId="0" applyNumberFormat="1" applyFill="1" applyBorder="1" applyProtection="1">
      <alignment vertical="center"/>
      <protection locked="0"/>
    </xf>
    <xf numFmtId="180" fontId="0" fillId="35" borderId="43" xfId="0" applyNumberFormat="1" applyFill="1" applyBorder="1" applyProtection="1">
      <alignment vertical="center"/>
      <protection locked="0"/>
    </xf>
    <xf numFmtId="38" fontId="0" fillId="35" borderId="111" xfId="0" applyNumberFormat="1" applyFill="1" applyBorder="1" applyProtection="1">
      <alignment vertical="center"/>
      <protection locked="0"/>
    </xf>
    <xf numFmtId="0" fontId="65" fillId="0" borderId="0" xfId="0" applyFont="1">
      <alignment vertical="center"/>
    </xf>
    <xf numFmtId="0" fontId="57" fillId="0" borderId="0" xfId="0" applyFont="1" applyAlignment="1">
      <alignment horizontal="right" vertical="center"/>
    </xf>
    <xf numFmtId="0" fontId="65" fillId="0" borderId="15" xfId="0" applyFont="1" applyBorder="1">
      <alignment vertical="center"/>
    </xf>
    <xf numFmtId="0" fontId="5" fillId="38" borderId="114" xfId="0" applyFont="1" applyFill="1" applyBorder="1" applyAlignment="1">
      <alignment horizontal="center" vertical="center"/>
    </xf>
    <xf numFmtId="0" fontId="0" fillId="38" borderId="115" xfId="0" applyFill="1" applyBorder="1">
      <alignment vertical="center"/>
    </xf>
    <xf numFmtId="0" fontId="0" fillId="38" borderId="31" xfId="0" applyFill="1" applyBorder="1" applyAlignment="1">
      <alignment horizontal="right" vertical="center"/>
    </xf>
    <xf numFmtId="0" fontId="5" fillId="38" borderId="65" xfId="0" applyFont="1" applyFill="1" applyBorder="1">
      <alignment vertical="center"/>
    </xf>
    <xf numFmtId="2" fontId="0" fillId="35" borderId="146" xfId="0" applyNumberFormat="1" applyFill="1" applyBorder="1" applyAlignment="1" applyProtection="1">
      <alignment horizontal="center" vertical="center"/>
      <protection locked="0"/>
    </xf>
    <xf numFmtId="0" fontId="0" fillId="35" borderId="147" xfId="0" applyFill="1" applyBorder="1" applyAlignment="1" applyProtection="1">
      <alignment horizontal="center" vertical="center"/>
      <protection locked="0"/>
    </xf>
    <xf numFmtId="9" fontId="0" fillId="0" borderId="92" xfId="0" applyNumberFormat="1" applyBorder="1">
      <alignment vertical="center"/>
    </xf>
    <xf numFmtId="2" fontId="0" fillId="35" borderId="148" xfId="0" applyNumberFormat="1" applyFill="1" applyBorder="1" applyAlignment="1" applyProtection="1">
      <alignment horizontal="center" vertical="center"/>
      <protection locked="0"/>
    </xf>
    <xf numFmtId="0" fontId="0" fillId="35" borderId="149" xfId="0" applyFill="1" applyBorder="1" applyAlignment="1" applyProtection="1">
      <alignment horizontal="center" vertical="center"/>
      <protection locked="0"/>
    </xf>
    <xf numFmtId="0" fontId="5" fillId="38" borderId="95" xfId="0" applyFont="1" applyFill="1" applyBorder="1">
      <alignment vertical="center"/>
    </xf>
    <xf numFmtId="0" fontId="0" fillId="38" borderId="84" xfId="0" applyFill="1" applyBorder="1">
      <alignment vertical="center"/>
    </xf>
    <xf numFmtId="2" fontId="0" fillId="35" borderId="150" xfId="0" applyNumberFormat="1" applyFill="1" applyBorder="1" applyAlignment="1" applyProtection="1">
      <alignment horizontal="center" vertical="center"/>
      <protection locked="0"/>
    </xf>
    <xf numFmtId="0" fontId="0" fillId="35" borderId="151" xfId="0" applyFill="1" applyBorder="1" applyAlignment="1" applyProtection="1">
      <alignment horizontal="center" vertical="center"/>
      <protection locked="0"/>
    </xf>
    <xf numFmtId="9" fontId="0" fillId="0" borderId="107" xfId="0" applyNumberFormat="1" applyBorder="1">
      <alignment vertical="center"/>
    </xf>
    <xf numFmtId="0" fontId="71" fillId="38" borderId="42" xfId="0" applyFont="1" applyFill="1" applyBorder="1" applyAlignment="1">
      <alignment horizontal="right" vertical="center"/>
    </xf>
    <xf numFmtId="0" fontId="3" fillId="0" borderId="0" xfId="0" applyFont="1" applyAlignment="1">
      <alignment horizontal="left" vertical="center"/>
    </xf>
    <xf numFmtId="0" fontId="3" fillId="24" borderId="0" xfId="0" applyFont="1" applyFill="1" applyAlignment="1">
      <alignment horizontal="left" vertical="center"/>
    </xf>
    <xf numFmtId="0" fontId="5" fillId="38" borderId="66" xfId="0" applyFont="1" applyFill="1" applyBorder="1" applyAlignment="1">
      <alignment horizontal="center" vertical="center"/>
    </xf>
    <xf numFmtId="0" fontId="1" fillId="0" borderId="0" xfId="0" applyFont="1">
      <alignment vertical="center"/>
    </xf>
    <xf numFmtId="0" fontId="1" fillId="0" borderId="0" xfId="0" applyFont="1" applyProtection="1">
      <alignment vertical="center"/>
      <protection hidden="1"/>
    </xf>
    <xf numFmtId="0" fontId="1" fillId="0" borderId="0" xfId="43" applyFont="1" applyAlignment="1">
      <alignment vertical="center"/>
    </xf>
    <xf numFmtId="0" fontId="1" fillId="25" borderId="18" xfId="43" applyFont="1" applyFill="1" applyBorder="1" applyAlignment="1">
      <alignment vertical="center"/>
    </xf>
    <xf numFmtId="0" fontId="1" fillId="0" borderId="0" xfId="43" applyFont="1" applyAlignment="1" applyProtection="1">
      <alignment vertical="center"/>
      <protection hidden="1"/>
    </xf>
    <xf numFmtId="0" fontId="1" fillId="25" borderId="10" xfId="43" applyFont="1" applyFill="1" applyBorder="1" applyAlignment="1">
      <alignment vertical="center"/>
    </xf>
    <xf numFmtId="177" fontId="1" fillId="25" borderId="10" xfId="43" applyNumberFormat="1" applyFont="1" applyFill="1" applyBorder="1" applyAlignment="1">
      <alignment vertical="center"/>
    </xf>
    <xf numFmtId="177" fontId="1" fillId="25" borderId="26" xfId="43" applyNumberFormat="1" applyFont="1" applyFill="1" applyBorder="1" applyAlignment="1">
      <alignment vertical="center"/>
    </xf>
    <xf numFmtId="177" fontId="1" fillId="25" borderId="56" xfId="28" applyNumberFormat="1" applyFont="1" applyFill="1" applyBorder="1" applyAlignment="1" applyProtection="1">
      <alignment horizontal="center" vertical="center"/>
    </xf>
    <xf numFmtId="177" fontId="1" fillId="25" borderId="58" xfId="28" applyNumberFormat="1" applyFont="1" applyFill="1" applyBorder="1" applyAlignment="1" applyProtection="1">
      <alignment horizontal="center" vertical="center"/>
    </xf>
    <xf numFmtId="40" fontId="1" fillId="25" borderId="56" xfId="34" applyNumberFormat="1" applyFont="1" applyFill="1" applyBorder="1" applyAlignment="1" applyProtection="1">
      <alignment vertical="center"/>
    </xf>
    <xf numFmtId="189" fontId="1" fillId="25" borderId="18" xfId="43" applyNumberFormat="1" applyFont="1" applyFill="1" applyBorder="1" applyAlignment="1">
      <alignment vertical="center"/>
    </xf>
    <xf numFmtId="0" fontId="1" fillId="25" borderId="48" xfId="43" applyFont="1" applyFill="1" applyBorder="1" applyAlignment="1">
      <alignment vertical="center"/>
    </xf>
    <xf numFmtId="0" fontId="1" fillId="25" borderId="39" xfId="43" applyFont="1" applyFill="1" applyBorder="1" applyAlignment="1">
      <alignment vertical="center"/>
    </xf>
    <xf numFmtId="0" fontId="1" fillId="25" borderId="14" xfId="43" applyFont="1" applyFill="1" applyBorder="1" applyAlignment="1">
      <alignment vertical="center"/>
    </xf>
    <xf numFmtId="177" fontId="1" fillId="25" borderId="56" xfId="43" applyNumberFormat="1" applyFont="1" applyFill="1" applyBorder="1" applyAlignment="1">
      <alignment vertical="center"/>
    </xf>
    <xf numFmtId="177" fontId="1" fillId="25" borderId="58" xfId="43" applyNumberFormat="1" applyFont="1" applyFill="1" applyBorder="1" applyAlignment="1">
      <alignment vertical="center"/>
    </xf>
    <xf numFmtId="0" fontId="1" fillId="38" borderId="117" xfId="43" applyFont="1" applyFill="1" applyBorder="1" applyAlignment="1">
      <alignment vertical="center"/>
    </xf>
    <xf numFmtId="0" fontId="1" fillId="38" borderId="118" xfId="43" applyFont="1" applyFill="1" applyBorder="1" applyAlignment="1">
      <alignment vertical="center"/>
    </xf>
    <xf numFmtId="0" fontId="1" fillId="38" borderId="120" xfId="43" applyFont="1" applyFill="1" applyBorder="1" applyAlignment="1">
      <alignment vertical="center"/>
    </xf>
    <xf numFmtId="0" fontId="1" fillId="38" borderId="0" xfId="43" applyFont="1" applyFill="1" applyAlignment="1">
      <alignment vertical="center"/>
    </xf>
    <xf numFmtId="0" fontId="1" fillId="38" borderId="10" xfId="43" applyFont="1" applyFill="1" applyBorder="1" applyAlignment="1">
      <alignment vertical="center"/>
    </xf>
    <xf numFmtId="38" fontId="1" fillId="38" borderId="10" xfId="34" applyFont="1" applyFill="1" applyBorder="1" applyAlignment="1" applyProtection="1">
      <alignment vertical="center"/>
    </xf>
    <xf numFmtId="2" fontId="1" fillId="38" borderId="10" xfId="43" applyNumberFormat="1" applyFont="1" applyFill="1" applyBorder="1" applyAlignment="1">
      <alignment vertical="center"/>
    </xf>
    <xf numFmtId="0" fontId="1" fillId="38" borderId="122" xfId="43" applyFont="1" applyFill="1" applyBorder="1" applyAlignment="1">
      <alignment vertical="center"/>
    </xf>
    <xf numFmtId="0" fontId="1" fillId="38" borderId="123" xfId="43" applyFont="1" applyFill="1" applyBorder="1" applyAlignment="1">
      <alignment vertical="center"/>
    </xf>
    <xf numFmtId="38" fontId="1" fillId="0" borderId="10" xfId="34" applyFont="1" applyBorder="1" applyAlignment="1"/>
    <xf numFmtId="38" fontId="1" fillId="0" borderId="0" xfId="34" applyFont="1" applyBorder="1" applyAlignment="1"/>
    <xf numFmtId="38" fontId="1" fillId="25" borderId="23" xfId="34" applyFont="1" applyFill="1" applyBorder="1" applyAlignment="1"/>
    <xf numFmtId="38" fontId="1" fillId="25" borderId="13" xfId="34" applyFont="1" applyFill="1" applyBorder="1" applyAlignment="1"/>
    <xf numFmtId="0" fontId="1" fillId="0" borderId="10" xfId="34" applyNumberFormat="1" applyFont="1" applyBorder="1" applyAlignment="1"/>
    <xf numFmtId="40" fontId="5" fillId="24" borderId="10" xfId="34" applyNumberFormat="1" applyFont="1" applyFill="1" applyBorder="1">
      <alignment vertical="center"/>
    </xf>
    <xf numFmtId="197" fontId="0" fillId="35" borderId="111" xfId="0" applyNumberFormat="1" applyFill="1" applyBorder="1" applyProtection="1">
      <alignment vertical="center"/>
      <protection locked="0"/>
    </xf>
    <xf numFmtId="38" fontId="0" fillId="35" borderId="112" xfId="0" applyNumberFormat="1" applyFill="1" applyBorder="1" applyProtection="1">
      <alignment vertical="center"/>
      <protection locked="0"/>
    </xf>
    <xf numFmtId="2" fontId="1" fillId="33" borderId="10" xfId="49" applyNumberFormat="1" applyFill="1" applyBorder="1" applyAlignment="1">
      <alignment horizontal="right" vertical="center"/>
    </xf>
    <xf numFmtId="40" fontId="1" fillId="33" borderId="10" xfId="34" applyNumberFormat="1" applyFont="1" applyFill="1" applyBorder="1" applyAlignment="1">
      <alignment horizontal="right" vertical="center"/>
    </xf>
    <xf numFmtId="2" fontId="5" fillId="33" borderId="10" xfId="49" applyNumberFormat="1" applyFont="1" applyFill="1" applyBorder="1" applyAlignment="1">
      <alignment horizontal="right" vertical="center"/>
    </xf>
    <xf numFmtId="40" fontId="5" fillId="33" borderId="10" xfId="34" applyNumberFormat="1" applyFont="1" applyFill="1" applyBorder="1" applyAlignment="1">
      <alignment horizontal="right" vertical="center"/>
    </xf>
    <xf numFmtId="40" fontId="1" fillId="33" borderId="10" xfId="34" applyNumberFormat="1" applyFont="1" applyFill="1" applyBorder="1">
      <alignment vertical="center"/>
    </xf>
    <xf numFmtId="40" fontId="5" fillId="33" borderId="10" xfId="34" applyNumberFormat="1" applyFont="1" applyFill="1" applyBorder="1">
      <alignment vertical="center"/>
    </xf>
    <xf numFmtId="40" fontId="0" fillId="33" borderId="10" xfId="34" applyNumberFormat="1" applyFont="1" applyFill="1" applyBorder="1">
      <alignment vertical="center"/>
    </xf>
    <xf numFmtId="179" fontId="11" fillId="26" borderId="63" xfId="43" applyNumberFormat="1" applyFont="1" applyFill="1" applyBorder="1" applyAlignment="1">
      <alignment horizontal="center" vertical="center"/>
    </xf>
    <xf numFmtId="179" fontId="11" fillId="26" borderId="64" xfId="43" applyNumberFormat="1" applyFont="1" applyFill="1" applyBorder="1" applyAlignment="1">
      <alignment horizontal="center" vertical="center"/>
    </xf>
    <xf numFmtId="0" fontId="11" fillId="26" borderId="63" xfId="0" applyFont="1" applyFill="1" applyBorder="1" applyAlignment="1">
      <alignment horizontal="center" vertical="center"/>
    </xf>
    <xf numFmtId="0" fontId="11" fillId="26" borderId="64" xfId="0" applyFont="1" applyFill="1" applyBorder="1" applyAlignment="1">
      <alignment horizontal="center" vertical="center"/>
    </xf>
    <xf numFmtId="0" fontId="3" fillId="0" borderId="0" xfId="0" applyFont="1" applyAlignment="1">
      <alignment horizontal="left" vertical="center"/>
    </xf>
    <xf numFmtId="0" fontId="3" fillId="24" borderId="0" xfId="0" applyFont="1" applyFill="1" applyAlignment="1">
      <alignment horizontal="left" vertical="center"/>
    </xf>
    <xf numFmtId="0" fontId="0" fillId="35" borderId="135" xfId="0" applyFill="1" applyBorder="1" applyAlignment="1" applyProtection="1">
      <alignment horizontal="left" vertical="center"/>
      <protection locked="0"/>
    </xf>
    <xf numFmtId="0" fontId="0" fillId="35" borderId="136" xfId="0" applyFill="1" applyBorder="1" applyAlignment="1" applyProtection="1">
      <alignment horizontal="left" vertical="center"/>
      <protection locked="0"/>
    </xf>
    <xf numFmtId="0" fontId="0" fillId="35" borderId="137" xfId="0" applyFill="1" applyBorder="1" applyAlignment="1" applyProtection="1">
      <alignment horizontal="left" vertical="center"/>
      <protection locked="0"/>
    </xf>
    <xf numFmtId="0" fontId="0" fillId="35" borderId="142" xfId="0" applyFill="1" applyBorder="1" applyAlignment="1" applyProtection="1">
      <alignment horizontal="left" vertical="center"/>
      <protection locked="0"/>
    </xf>
    <xf numFmtId="0" fontId="0" fillId="35" borderId="143" xfId="0" applyFill="1" applyBorder="1" applyAlignment="1" applyProtection="1">
      <alignment horizontal="left" vertical="center"/>
      <protection locked="0"/>
    </xf>
    <xf numFmtId="0" fontId="0" fillId="35" borderId="144" xfId="0" applyFill="1" applyBorder="1" applyAlignment="1" applyProtection="1">
      <alignment horizontal="left" vertical="center"/>
      <protection locked="0"/>
    </xf>
    <xf numFmtId="0" fontId="0" fillId="33" borderId="128" xfId="0" applyFill="1" applyBorder="1" applyAlignment="1" applyProtection="1">
      <alignment horizontal="left" vertical="center"/>
      <protection locked="0"/>
    </xf>
    <xf numFmtId="0" fontId="71" fillId="0" borderId="101" xfId="0" applyFont="1" applyBorder="1" applyAlignment="1">
      <alignment horizontal="center" vertical="center" shrinkToFit="1"/>
    </xf>
    <xf numFmtId="0" fontId="71" fillId="0" borderId="102" xfId="0" applyFont="1" applyBorder="1" applyAlignment="1">
      <alignment horizontal="center" vertical="center" shrinkToFit="1"/>
    </xf>
    <xf numFmtId="0" fontId="0" fillId="0" borderId="66" xfId="0" applyBorder="1" applyAlignment="1">
      <alignment vertical="top" wrapText="1"/>
    </xf>
    <xf numFmtId="0" fontId="0" fillId="0" borderId="86" xfId="0" applyBorder="1" applyAlignment="1">
      <alignment vertical="top" wrapText="1"/>
    </xf>
    <xf numFmtId="0" fontId="0" fillId="35" borderId="152" xfId="0" applyFill="1" applyBorder="1" applyAlignment="1" applyProtection="1">
      <alignment horizontal="left" vertical="center"/>
      <protection locked="0"/>
    </xf>
    <xf numFmtId="0" fontId="0" fillId="35" borderId="153" xfId="0" applyFill="1" applyBorder="1" applyAlignment="1" applyProtection="1">
      <alignment horizontal="left" vertical="center"/>
      <protection locked="0"/>
    </xf>
    <xf numFmtId="0" fontId="0" fillId="35" borderId="154" xfId="0" applyFill="1" applyBorder="1" applyAlignment="1" applyProtection="1">
      <alignment horizontal="left" vertical="center"/>
      <protection locked="0"/>
    </xf>
    <xf numFmtId="0" fontId="0" fillId="33" borderId="74" xfId="0" applyFill="1" applyBorder="1" applyAlignment="1">
      <alignment horizontal="left" vertical="center"/>
    </xf>
    <xf numFmtId="0" fontId="0" fillId="33" borderId="71" xfId="0" applyFill="1" applyBorder="1" applyAlignment="1">
      <alignment horizontal="left" vertical="center"/>
    </xf>
    <xf numFmtId="0" fontId="0" fillId="33" borderId="73" xfId="0" applyFill="1" applyBorder="1" applyAlignment="1">
      <alignment horizontal="left" vertical="center"/>
    </xf>
    <xf numFmtId="0" fontId="0" fillId="33" borderId="16" xfId="0" applyFill="1" applyBorder="1" applyAlignment="1">
      <alignment horizontal="left" vertical="center"/>
    </xf>
    <xf numFmtId="0" fontId="5" fillId="38" borderId="74" xfId="0" applyFont="1" applyFill="1" applyBorder="1" applyAlignment="1">
      <alignment horizontal="center" vertical="center"/>
    </xf>
    <xf numFmtId="0" fontId="5" fillId="38" borderId="66" xfId="0" applyFont="1" applyFill="1" applyBorder="1" applyAlignment="1">
      <alignment horizontal="center" vertical="center"/>
    </xf>
    <xf numFmtId="0" fontId="5" fillId="38" borderId="67" xfId="0" applyFont="1" applyFill="1" applyBorder="1" applyAlignment="1">
      <alignment horizontal="center" vertical="center"/>
    </xf>
    <xf numFmtId="0" fontId="0" fillId="0" borderId="74" xfId="0" applyBorder="1" applyAlignment="1">
      <alignment horizontal="left" vertical="center" shrinkToFit="1"/>
    </xf>
    <xf numFmtId="0" fontId="0" fillId="0" borderId="66" xfId="0" applyBorder="1" applyAlignment="1">
      <alignment horizontal="left" vertical="center" shrinkToFit="1"/>
    </xf>
    <xf numFmtId="0" fontId="0" fillId="0" borderId="67" xfId="0" applyBorder="1" applyAlignment="1">
      <alignment horizontal="left" vertical="center" shrinkToFit="1"/>
    </xf>
    <xf numFmtId="0" fontId="0" fillId="35" borderId="140" xfId="0" applyFill="1" applyBorder="1" applyAlignment="1" applyProtection="1">
      <alignment horizontal="left" vertical="center"/>
      <protection locked="0"/>
    </xf>
    <xf numFmtId="0" fontId="0" fillId="35" borderId="0" xfId="0" applyFill="1" applyAlignment="1" applyProtection="1">
      <alignment horizontal="left" vertical="center"/>
      <protection locked="0"/>
    </xf>
    <xf numFmtId="0" fontId="0" fillId="35" borderId="141" xfId="0" applyFill="1" applyBorder="1" applyAlignment="1" applyProtection="1">
      <alignment horizontal="left" vertical="center"/>
      <protection locked="0"/>
    </xf>
    <xf numFmtId="0" fontId="0" fillId="35" borderId="138" xfId="0" applyFill="1" applyBorder="1" applyAlignment="1" applyProtection="1">
      <alignment horizontal="left" vertical="center"/>
      <protection locked="0"/>
    </xf>
    <xf numFmtId="0" fontId="0" fillId="35" borderId="127" xfId="0" applyFill="1" applyBorder="1" applyAlignment="1" applyProtection="1">
      <alignment horizontal="left" vertical="center"/>
      <protection locked="0"/>
    </xf>
    <xf numFmtId="0" fontId="0" fillId="35" borderId="139" xfId="0" applyFill="1" applyBorder="1" applyAlignment="1" applyProtection="1">
      <alignment horizontal="left" vertical="center"/>
      <protection locked="0"/>
    </xf>
    <xf numFmtId="0" fontId="5" fillId="38" borderId="94" xfId="0" applyFont="1" applyFill="1" applyBorder="1" applyAlignment="1">
      <alignment horizontal="center" vertical="center"/>
    </xf>
    <xf numFmtId="0" fontId="5" fillId="38" borderId="106" xfId="0" applyFont="1" applyFill="1" applyBorder="1" applyAlignment="1">
      <alignment horizontal="center" vertical="center"/>
    </xf>
    <xf numFmtId="0" fontId="69" fillId="0" borderId="18" xfId="0" applyFont="1" applyBorder="1" applyAlignment="1">
      <alignment horizontal="center" vertical="center"/>
    </xf>
    <xf numFmtId="0" fontId="69" fillId="0" borderId="0" xfId="0" applyFont="1" applyAlignment="1">
      <alignment horizontal="center" vertical="center"/>
    </xf>
    <xf numFmtId="0" fontId="69" fillId="0" borderId="15" xfId="0" applyFont="1" applyBorder="1" applyAlignment="1">
      <alignment horizontal="center" vertical="center"/>
    </xf>
    <xf numFmtId="0" fontId="11" fillId="25" borderId="16" xfId="43" applyFont="1" applyFill="1" applyBorder="1" applyAlignment="1">
      <alignment horizontal="left" wrapText="1"/>
    </xf>
    <xf numFmtId="0" fontId="11" fillId="25" borderId="26" xfId="43" applyFont="1" applyFill="1" applyBorder="1" applyAlignment="1">
      <alignment horizontal="center"/>
    </xf>
    <xf numFmtId="0" fontId="11" fillId="25" borderId="13" xfId="43" applyFont="1" applyFill="1" applyBorder="1" applyAlignment="1">
      <alignment horizontal="center"/>
    </xf>
    <xf numFmtId="0" fontId="11" fillId="25" borderId="26" xfId="43" applyFont="1" applyFill="1" applyBorder="1" applyAlignment="1">
      <alignment horizontal="center" vertical="center"/>
    </xf>
    <xf numFmtId="0" fontId="11" fillId="25" borderId="13" xfId="43" applyFont="1" applyFill="1" applyBorder="1" applyAlignment="1">
      <alignment horizontal="center" vertical="center"/>
    </xf>
    <xf numFmtId="0" fontId="11" fillId="24" borderId="26" xfId="43" applyFont="1" applyFill="1" applyBorder="1" applyAlignment="1" applyProtection="1">
      <alignment horizontal="left"/>
      <protection locked="0"/>
    </xf>
    <xf numFmtId="0" fontId="11" fillId="24" borderId="32" xfId="43" applyFont="1" applyFill="1" applyBorder="1" applyAlignment="1" applyProtection="1">
      <alignment horizontal="left"/>
      <protection locked="0"/>
    </xf>
    <xf numFmtId="0" fontId="3" fillId="25" borderId="23" xfId="48" applyFont="1" applyFill="1" applyBorder="1" applyAlignment="1">
      <alignment horizontal="left" wrapText="1"/>
    </xf>
    <xf numFmtId="0" fontId="3" fillId="25" borderId="23" xfId="48" applyFont="1" applyFill="1" applyBorder="1" applyAlignment="1">
      <alignment horizontal="left"/>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46"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7" xr:uid="{00000000-0005-0000-0000-000023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9" xr:uid="{00000000-0005-0000-0000-00002D000000}"/>
    <cellStyle name="標準 3 4" xfId="48" xr:uid="{00000000-0005-0000-0000-00002E000000}"/>
    <cellStyle name="標準_070627LCCO2計算" xfId="43" xr:uid="{00000000-0005-0000-0000-00002F000000}"/>
    <cellStyle name="標準_選定シートV1.0" xfId="44" xr:uid="{00000000-0005-0000-0000-000030000000}"/>
    <cellStyle name="良い" xfId="45" builtinId="26" customBuiltin="1"/>
  </cellStyles>
  <dxfs count="56">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1"/>
        </patternFill>
      </fill>
    </dxf>
    <dxf>
      <fill>
        <patternFill>
          <bgColor indexed="51"/>
        </patternFill>
      </fill>
    </dxf>
    <dxf>
      <fill>
        <patternFill>
          <bgColor indexed="1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27"/>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auto="1"/>
      </font>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s>
  <tableStyles count="0" defaultTableStyle="TableStyleMedium9" defaultPivotStyle="PivotStyleLight16"/>
  <colors>
    <mruColors>
      <color rgb="FFFFFFCC"/>
      <color rgb="FFCCFFFF"/>
      <color rgb="FF008000"/>
      <color rgb="FFFF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34290</xdr:colOff>
      <xdr:row>0</xdr:row>
      <xdr:rowOff>106680</xdr:rowOff>
    </xdr:from>
    <xdr:to>
      <xdr:col>7</xdr:col>
      <xdr:colOff>167681</xdr:colOff>
      <xdr:row>35</xdr:row>
      <xdr:rowOff>160020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110490" y="106680"/>
          <a:ext cx="3790991"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 「</a:t>
          </a:r>
          <a:r>
            <a:rPr lang="en-US" altLang="ja-JP" sz="1100" b="0" i="0" u="none" strike="noStrike" baseline="0">
              <a:solidFill>
                <a:srgbClr val="000000"/>
              </a:solidFill>
              <a:latin typeface="ＭＳ Ｐゴシック"/>
              <a:ea typeface="ＭＳ Ｐゴシック"/>
            </a:rPr>
            <a:t>LCCM</a:t>
          </a:r>
          <a:r>
            <a:rPr lang="ja-JP" altLang="en-US" sz="1100" b="0" i="0" u="none" strike="noStrike" baseline="0">
              <a:solidFill>
                <a:srgbClr val="000000"/>
              </a:solidFill>
              <a:latin typeface="ＭＳ Ｐゴシック"/>
              <a:ea typeface="ＭＳ Ｐゴシック"/>
            </a:rPr>
            <a:t>住宅部門の基本要件（</a:t>
          </a:r>
          <a:r>
            <a:rPr lang="en-US" altLang="ja-JP" sz="1100" b="0" i="0" u="none" strike="noStrike" baseline="0">
              <a:solidFill>
                <a:srgbClr val="000000"/>
              </a:solidFill>
              <a:latin typeface="ＭＳ Ｐゴシック"/>
              <a:ea typeface="ＭＳ Ｐゴシック"/>
            </a:rPr>
            <a:t>LCCO</a:t>
          </a:r>
          <a:r>
            <a:rPr lang="en-US" altLang="ja-JP" sz="1100" b="0" i="0" u="none" strike="noStrike" baseline="-2500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）適合判定ツール</a:t>
          </a:r>
        </a:p>
        <a:p>
          <a:pPr algn="l" rtl="0">
            <a:lnSpc>
              <a:spcPts val="1300"/>
            </a:lnSpc>
            <a:defRPr sz="1000"/>
          </a:pPr>
          <a:r>
            <a:rPr lang="ja-JP" altLang="en-US" sz="1100" b="0" i="0" u="none" strike="noStrike" baseline="0">
              <a:solidFill>
                <a:srgbClr val="000000"/>
              </a:solidFill>
              <a:latin typeface="ＭＳ Ｐゴシック"/>
              <a:ea typeface="ＭＳ Ｐゴシック"/>
            </a:rPr>
            <a:t>」は、Microsoft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317500</xdr:colOff>
      <xdr:row>0</xdr:row>
      <xdr:rowOff>114300</xdr:rowOff>
    </xdr:from>
    <xdr:to>
      <xdr:col>18</xdr:col>
      <xdr:colOff>16628</xdr:colOff>
      <xdr:row>35</xdr:row>
      <xdr:rowOff>167640</xdr:rowOff>
    </xdr:to>
    <xdr:sp macro="" textlink="">
      <xdr:nvSpPr>
        <xdr:cNvPr id="4"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4051300" y="114300"/>
          <a:ext cx="6404728"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CASBEE-</a:t>
          </a:r>
          <a:r>
            <a:rPr lang="ja-JP" altLang="en-US" sz="1100" b="0" i="0" u="none" strike="noStrike" baseline="0">
              <a:solidFill>
                <a:sysClr val="windowText" lastClr="000000"/>
              </a:solidFill>
              <a:latin typeface="ＭＳ Ｐゴシック"/>
              <a:ea typeface="ＭＳ Ｐゴシック"/>
            </a:rPr>
            <a:t>戸建（新築）</a:t>
          </a:r>
          <a:r>
            <a:rPr lang="en-US" altLang="ja-JP" sz="1100" b="0" i="0" u="none" strike="noStrike" baseline="0">
              <a:solidFill>
                <a:sysClr val="windowText" lastClr="000000"/>
              </a:solidFill>
              <a:latin typeface="ＭＳ Ｐゴシック"/>
              <a:ea typeface="ＭＳ Ｐゴシック"/>
            </a:rPr>
            <a:t>2018</a:t>
          </a:r>
          <a:r>
            <a:rPr lang="ja-JP" altLang="en-US" sz="1100" b="0" i="0" u="none" strike="noStrike" baseline="0">
              <a:solidFill>
                <a:sysClr val="windowText" lastClr="000000"/>
              </a:solidFill>
              <a:latin typeface="ＭＳ Ｐゴシック"/>
              <a:ea typeface="ＭＳ Ｐゴシック"/>
            </a:rPr>
            <a:t>年版に基づく</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a:t>
          </a:r>
          <a:r>
            <a:rPr lang="ja-JP" altLang="en-US" sz="1100" b="0" i="0" u="none" strike="noStrike" baseline="0">
              <a:solidFill>
                <a:sysClr val="windowText" lastClr="000000"/>
              </a:solidFill>
              <a:latin typeface="ＭＳ Ｐゴシック"/>
              <a:ea typeface="ＭＳ Ｐゴシック"/>
            </a:rPr>
            <a:t>低層共同住宅部門の基本要件（</a:t>
          </a:r>
          <a:r>
            <a:rPr lang="en-US" altLang="ja-JP" sz="1100" b="0" i="0" u="none" strike="noStrike" baseline="0">
              <a:solidFill>
                <a:sysClr val="windowText" lastClr="000000"/>
              </a:solidFill>
              <a:latin typeface="ＭＳ Ｐゴシック"/>
              <a:ea typeface="ＭＳ Ｐゴシック"/>
            </a:rPr>
            <a:t>LCCO2</a:t>
          </a:r>
          <a:r>
            <a:rPr lang="ja-JP" altLang="en-US" sz="1100" b="0" i="0" u="none" strike="noStrike" baseline="0">
              <a:solidFill>
                <a:sysClr val="windowText" lastClr="000000"/>
              </a:solidFill>
              <a:latin typeface="ＭＳ Ｐゴシック"/>
              <a:ea typeface="ＭＳ Ｐゴシック"/>
            </a:rPr>
            <a:t>）適合判定ツール　</a:t>
          </a:r>
          <a:r>
            <a:rPr lang="en-US" altLang="ja-JP" sz="1100" b="0" i="0" u="none" strike="noStrike" baseline="0">
              <a:solidFill>
                <a:sysClr val="windowText" lastClr="000000"/>
              </a:solidFill>
              <a:latin typeface="ＭＳ Ｐゴシック"/>
              <a:ea typeface="ＭＳ Ｐゴシック"/>
            </a:rPr>
            <a:t>2024</a:t>
          </a:r>
          <a:r>
            <a:rPr lang="ja-JP" altLang="en-US" sz="1100" b="0" i="0" u="none" strike="noStrike" baseline="0">
              <a:solidFill>
                <a:sysClr val="windowText" lastClr="000000"/>
              </a:solidFill>
              <a:latin typeface="ＭＳ Ｐゴシック"/>
              <a:ea typeface="ＭＳ Ｐゴシック"/>
            </a:rPr>
            <a:t>年度</a:t>
          </a:r>
          <a:r>
            <a:rPr lang="en-US" altLang="ja-JP" sz="1100" b="0" i="0" u="none" strike="noStrike" baseline="0">
              <a:solidFill>
                <a:sysClr val="windowText" lastClr="000000"/>
              </a:solidFill>
              <a:latin typeface="ＭＳ Ｐゴシック"/>
              <a:ea typeface="ＭＳ Ｐゴシック"/>
            </a:rPr>
            <a:t>ver.2.0</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Microsoft Excel 2013 </a:t>
          </a:r>
          <a:r>
            <a:rPr lang="ja-JP" altLang="en-US" sz="1100" b="0" i="0" u="none" strike="noStrike" baseline="0">
              <a:solidFill>
                <a:sysClr val="windowText" lastClr="000000"/>
              </a:solidFill>
              <a:latin typeface="ＭＳ Ｐゴシック"/>
              <a:ea typeface="ＭＳ Ｐゴシック"/>
            </a:rPr>
            <a:t>版</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LCCM-AH_2024v.2.0</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2022</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月初版発行</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2022</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月</a:t>
          </a:r>
          <a:r>
            <a:rPr lang="en-US" altLang="ja-JP" sz="1100" b="0" i="0" u="none" strike="noStrike" baseline="0">
              <a:solidFill>
                <a:sysClr val="windowText" lastClr="000000"/>
              </a:solidFill>
              <a:latin typeface="ＭＳ Ｐゴシック"/>
              <a:ea typeface="ＭＳ Ｐゴシック"/>
            </a:rPr>
            <a:t>ver.1.1</a:t>
          </a:r>
          <a:r>
            <a:rPr lang="ja-JP" altLang="en-US" sz="1100" b="0" i="0" u="none" strike="noStrike" baseline="0">
              <a:solidFill>
                <a:sysClr val="windowText" lastClr="000000"/>
              </a:solidFill>
              <a:latin typeface="ＭＳ Ｐゴシック"/>
              <a:ea typeface="ＭＳ Ｐゴシック"/>
            </a:rPr>
            <a:t>発行</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2022</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9</a:t>
          </a:r>
          <a:r>
            <a:rPr lang="ja-JP" altLang="en-US" sz="1100" b="0" i="0" u="none" strike="noStrike" baseline="0">
              <a:solidFill>
                <a:sysClr val="windowText" lastClr="000000"/>
              </a:solidFill>
              <a:latin typeface="ＭＳ Ｐゴシック"/>
              <a:ea typeface="ＭＳ Ｐゴシック"/>
            </a:rPr>
            <a:t>月</a:t>
          </a:r>
          <a:r>
            <a:rPr lang="en-US" altLang="ja-JP" sz="1100" b="0" i="0" u="none" strike="noStrike" baseline="0">
              <a:solidFill>
                <a:sysClr val="windowText" lastClr="000000"/>
              </a:solidFill>
              <a:latin typeface="ＭＳ Ｐゴシック"/>
              <a:ea typeface="ＭＳ Ｐゴシック"/>
            </a:rPr>
            <a:t>ver.1.2</a:t>
          </a:r>
          <a:r>
            <a:rPr lang="ja-JP" altLang="en-US" sz="1100" b="0" i="0" u="none" strike="noStrike" baseline="0">
              <a:solidFill>
                <a:sysClr val="windowText" lastClr="000000"/>
              </a:solidFill>
              <a:latin typeface="ＭＳ Ｐゴシック"/>
              <a:ea typeface="ＭＳ Ｐゴシック"/>
            </a:rPr>
            <a:t>発行</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ja-JP" sz="1000" b="0" i="0" baseline="0">
              <a:effectLst/>
              <a:latin typeface="+mn-lt"/>
              <a:ea typeface="+mn-ea"/>
              <a:cs typeface="+mn-cs"/>
            </a:rPr>
            <a:t>       </a:t>
          </a:r>
          <a:r>
            <a:rPr lang="en-US" altLang="ja-JP" sz="1000" b="0" i="0" baseline="0">
              <a:effectLst/>
              <a:latin typeface="+mn-lt"/>
              <a:ea typeface="+mn-ea"/>
              <a:cs typeface="+mn-cs"/>
            </a:rPr>
            <a:t>   </a:t>
          </a:r>
          <a:r>
            <a:rPr lang="en-US" altLang="ja-JP" sz="1100" b="0" i="0" u="none" strike="noStrike" baseline="0">
              <a:solidFill>
                <a:sysClr val="windowText" lastClr="000000"/>
              </a:solidFill>
              <a:latin typeface="ＭＳ Ｐゴシック"/>
              <a:ea typeface="ＭＳ Ｐゴシック"/>
            </a:rPr>
            <a:t>2024</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月</a:t>
          </a:r>
          <a:r>
            <a:rPr lang="en-US" altLang="ja-JP" sz="1100" b="0" i="0" u="none" strike="noStrike" baseline="0">
              <a:solidFill>
                <a:sysClr val="windowText" lastClr="000000"/>
              </a:solidFill>
              <a:latin typeface="ＭＳ Ｐゴシック"/>
              <a:ea typeface="ＭＳ Ｐゴシック"/>
            </a:rPr>
            <a:t>ver.2.0</a:t>
          </a:r>
          <a:r>
            <a:rPr lang="ja-JP" altLang="en-US" sz="1100" b="0" i="0" u="none" strike="noStrike" baseline="0">
              <a:solidFill>
                <a:sysClr val="windowText" lastClr="000000"/>
              </a:solidFill>
              <a:latin typeface="ＭＳ Ｐゴシック"/>
              <a:ea typeface="ＭＳ Ｐゴシック"/>
            </a:rPr>
            <a:t>発行</a:t>
          </a:r>
        </a:p>
        <a:p>
          <a:pPr algn="l" rtl="0">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編集協力　　 　国土交通省住宅局</a:t>
          </a:r>
        </a:p>
        <a:p>
          <a:pPr algn="l" rtl="0">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ソフト開発者　一般社団法人　日本サステナブル建築協会　（</a:t>
          </a:r>
          <a:r>
            <a:rPr lang="en-US" altLang="ja-JP" sz="1100" b="0" i="0" u="none" strike="noStrike" baseline="0">
              <a:solidFill>
                <a:sysClr val="windowText" lastClr="000000"/>
              </a:solidFill>
              <a:latin typeface="ＭＳ Ｐゴシック"/>
              <a:ea typeface="ＭＳ Ｐゴシック"/>
            </a:rPr>
            <a:t>JSBC)</a:t>
          </a: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一般社団法人　日本サステナブル建築協会</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E-Mail  lccm@jsbc.or.jp</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Copyright ©2022 Japan Sustainable Building Consortium (JSBC)</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35"/>
  <sheetViews>
    <sheetView showGridLines="0" zoomScaleNormal="75" zoomScaleSheetLayoutView="100" workbookViewId="0">
      <selection activeCell="I17" sqref="I17"/>
    </sheetView>
  </sheetViews>
  <sheetFormatPr defaultColWidth="0" defaultRowHeight="0" customHeight="1" zeroHeight="1" x14ac:dyDescent="0.15"/>
  <cols>
    <col min="1" max="1" width="2.25" style="13" customWidth="1"/>
    <col min="2" max="2" width="3.625" style="31" customWidth="1"/>
    <col min="3" max="3" width="5.75" style="19" customWidth="1"/>
    <col min="4" max="4" width="4.625" style="18" customWidth="1"/>
    <col min="5" max="5" width="17.375" style="19" customWidth="1"/>
    <col min="6" max="6" width="9.75" style="19" customWidth="1"/>
    <col min="7" max="7" width="9.75" style="15" customWidth="1"/>
    <col min="8" max="8" width="0.5" style="15" customWidth="1"/>
    <col min="9" max="11" width="9.75" style="15" customWidth="1"/>
    <col min="12" max="12" width="9.75" style="14" customWidth="1"/>
    <col min="13" max="13" width="9.75" style="13" customWidth="1"/>
    <col min="14" max="14" width="3.125" style="13" customWidth="1"/>
    <col min="15" max="15" width="11.75" style="13" customWidth="1"/>
    <col min="16" max="16" width="9.5" style="13" customWidth="1"/>
    <col min="17" max="17" width="2" style="13" customWidth="1"/>
    <col min="18" max="18" width="4.625" style="13" hidden="1"/>
    <col min="19" max="19" width="10.25" style="13" hidden="1"/>
    <col min="20" max="255" width="9" style="13" hidden="1"/>
    <col min="256" max="16383" width="1.875" style="13" hidden="1"/>
    <col min="16384" max="16384" width="3.75" style="13" hidden="1"/>
  </cols>
  <sheetData>
    <row r="1" spans="1:28" s="9" customFormat="1" ht="12.6" customHeight="1" thickBot="1" x14ac:dyDescent="0.25">
      <c r="A1" s="634"/>
      <c r="B1" s="634"/>
      <c r="C1" s="634"/>
      <c r="D1" s="66"/>
      <c r="E1" s="1"/>
      <c r="F1" s="634"/>
      <c r="G1" s="634"/>
      <c r="H1" s="634"/>
      <c r="I1" s="67"/>
      <c r="J1" s="67"/>
      <c r="K1" s="67"/>
      <c r="L1" s="67"/>
      <c r="M1" s="67"/>
      <c r="N1" s="67"/>
      <c r="O1" s="68"/>
      <c r="P1" s="69"/>
      <c r="Q1" s="635"/>
      <c r="R1" s="10"/>
      <c r="S1" s="10"/>
      <c r="T1" s="11"/>
      <c r="U1" s="10"/>
      <c r="V1" s="11"/>
      <c r="W1" s="10"/>
      <c r="X1" s="10"/>
      <c r="Y1" s="10"/>
      <c r="Z1" s="8"/>
      <c r="AA1" s="8"/>
      <c r="AB1" s="8"/>
    </row>
    <row r="2" spans="1:28" s="9" customFormat="1" ht="17.25" x14ac:dyDescent="0.2">
      <c r="A2" s="634"/>
      <c r="B2" s="70" t="e">
        <f>#REF!</f>
        <v>#REF!</v>
      </c>
      <c r="C2" s="71"/>
      <c r="D2" s="72"/>
      <c r="E2" s="73"/>
      <c r="F2" s="74"/>
      <c r="G2" s="634"/>
      <c r="H2" s="634"/>
      <c r="I2" s="67"/>
      <c r="J2" s="67"/>
      <c r="K2" s="67"/>
      <c r="L2" s="679" t="s">
        <v>0</v>
      </c>
      <c r="M2" s="679"/>
      <c r="N2" s="631" t="e">
        <f>#REF!</f>
        <v>#REF!</v>
      </c>
      <c r="O2" s="75"/>
      <c r="P2" s="69"/>
      <c r="Q2" s="635"/>
      <c r="R2" s="10"/>
      <c r="S2" s="10"/>
      <c r="T2" s="11"/>
      <c r="U2" s="10"/>
      <c r="V2" s="11"/>
      <c r="W2" s="10"/>
      <c r="X2" s="10"/>
      <c r="Y2" s="10"/>
      <c r="Z2" s="8"/>
      <c r="AA2" s="8"/>
      <c r="AB2" s="8"/>
    </row>
    <row r="3" spans="1:28" s="9" customFormat="1" ht="15.75" customHeight="1" thickBot="1" x14ac:dyDescent="0.25">
      <c r="A3" s="634"/>
      <c r="B3" s="76" t="e">
        <f>#REF!</f>
        <v>#REF!</v>
      </c>
      <c r="C3" s="77"/>
      <c r="D3" s="78"/>
      <c r="E3" s="79"/>
      <c r="F3" s="80"/>
      <c r="G3" s="634"/>
      <c r="H3" s="634"/>
      <c r="I3" s="67"/>
      <c r="J3" s="67"/>
      <c r="K3" s="67"/>
      <c r="L3" s="680" t="s">
        <v>1</v>
      </c>
      <c r="M3" s="680"/>
      <c r="N3" s="632" t="e">
        <f>#REF!</f>
        <v>#REF!</v>
      </c>
      <c r="O3" s="81"/>
      <c r="P3" s="69"/>
      <c r="Q3" s="635"/>
      <c r="R3" s="10"/>
      <c r="S3" s="10"/>
      <c r="T3" s="11"/>
      <c r="U3" s="10"/>
      <c r="V3" s="11"/>
      <c r="W3" s="10"/>
      <c r="X3" s="10"/>
      <c r="Y3" s="10"/>
      <c r="Z3" s="8"/>
      <c r="AA3" s="8"/>
      <c r="AB3" s="8"/>
    </row>
    <row r="4" spans="1:28" ht="15" customHeight="1" thickBot="1" x14ac:dyDescent="0.2">
      <c r="B4" s="636"/>
      <c r="C4" s="13"/>
      <c r="D4" s="82"/>
      <c r="E4" s="13"/>
      <c r="F4" s="13"/>
      <c r="G4" s="636"/>
      <c r="H4" s="636"/>
      <c r="I4" s="636"/>
      <c r="J4" s="636"/>
      <c r="K4" s="636"/>
      <c r="L4" s="83"/>
    </row>
    <row r="5" spans="1:28" ht="21" customHeight="1" x14ac:dyDescent="0.15">
      <c r="B5" s="273" t="s">
        <v>2</v>
      </c>
      <c r="C5" s="84"/>
      <c r="D5" s="85"/>
      <c r="E5" s="84"/>
      <c r="F5" s="84"/>
      <c r="G5" s="86"/>
      <c r="H5" s="86"/>
      <c r="I5" s="86"/>
      <c r="J5" s="86"/>
      <c r="K5" s="86"/>
      <c r="L5" s="84"/>
      <c r="M5" s="64"/>
      <c r="N5" s="65"/>
      <c r="O5" s="87"/>
      <c r="P5" s="88"/>
    </row>
    <row r="6" spans="1:28" ht="7.5" customHeight="1" x14ac:dyDescent="0.15">
      <c r="B6" s="637"/>
      <c r="C6" s="89"/>
      <c r="D6" s="90"/>
      <c r="E6" s="91"/>
      <c r="F6" s="91"/>
      <c r="G6" s="424"/>
      <c r="H6" s="424"/>
      <c r="I6" s="424"/>
      <c r="J6" s="424"/>
      <c r="K6" s="424"/>
      <c r="L6" s="92"/>
      <c r="M6" s="91"/>
      <c r="N6" s="91"/>
      <c r="O6" s="91"/>
      <c r="P6" s="148"/>
    </row>
    <row r="7" spans="1:28" ht="18" customHeight="1" x14ac:dyDescent="0.15">
      <c r="B7" s="207" t="s">
        <v>3</v>
      </c>
      <c r="C7" s="91"/>
      <c r="D7" s="90"/>
      <c r="E7" s="91"/>
      <c r="F7" s="91"/>
      <c r="G7" s="424"/>
      <c r="H7" s="424"/>
      <c r="I7" s="91"/>
      <c r="J7" s="424"/>
      <c r="K7" s="424"/>
      <c r="L7" s="424"/>
      <c r="M7" s="91"/>
      <c r="N7" s="424"/>
      <c r="O7" s="424"/>
      <c r="P7" s="150"/>
    </row>
    <row r="8" spans="1:28" ht="18" customHeight="1" thickBot="1" x14ac:dyDescent="0.2">
      <c r="B8" s="637"/>
      <c r="C8" s="168" t="s">
        <v>4</v>
      </c>
      <c r="D8" s="90"/>
      <c r="E8" s="91"/>
      <c r="F8" s="91"/>
      <c r="G8" s="424"/>
      <c r="H8" s="424"/>
      <c r="I8" s="96"/>
      <c r="J8" s="96"/>
      <c r="K8" s="96"/>
      <c r="L8" s="94"/>
      <c r="M8" s="108" t="s">
        <v>5</v>
      </c>
      <c r="N8" s="91"/>
      <c r="O8" s="94"/>
      <c r="P8" s="150" t="s">
        <v>5</v>
      </c>
    </row>
    <row r="9" spans="1:28" ht="18" customHeight="1" x14ac:dyDescent="0.15">
      <c r="B9" s="637"/>
      <c r="C9" s="91" t="s">
        <v>6</v>
      </c>
      <c r="D9" s="90" t="s">
        <v>7</v>
      </c>
      <c r="E9" s="91"/>
      <c r="F9" s="91"/>
      <c r="G9" s="424"/>
      <c r="H9" s="424"/>
      <c r="I9" s="91"/>
      <c r="J9" s="424"/>
      <c r="K9" s="108" t="s">
        <v>5</v>
      </c>
      <c r="L9" s="675" t="s">
        <v>8</v>
      </c>
      <c r="M9" s="676"/>
      <c r="N9" s="424"/>
      <c r="O9" s="677" t="s">
        <v>9</v>
      </c>
      <c r="P9" s="678"/>
      <c r="Q9" s="638"/>
    </row>
    <row r="10" spans="1:28" ht="18" customHeight="1" x14ac:dyDescent="0.15">
      <c r="B10" s="637"/>
      <c r="C10" s="100">
        <v>1</v>
      </c>
      <c r="D10" s="116" t="s">
        <v>10</v>
      </c>
      <c r="E10" s="117"/>
      <c r="F10" s="117"/>
      <c r="G10" s="147" t="s">
        <v>11</v>
      </c>
      <c r="H10" s="424"/>
      <c r="I10" s="97" t="s">
        <v>12</v>
      </c>
      <c r="J10" s="97" t="s">
        <v>13</v>
      </c>
      <c r="K10" s="98" t="s">
        <v>14</v>
      </c>
      <c r="L10" s="141" t="s">
        <v>15</v>
      </c>
      <c r="M10" s="142" t="s">
        <v>16</v>
      </c>
      <c r="N10" s="91"/>
      <c r="O10" s="141" t="s">
        <v>15</v>
      </c>
      <c r="P10" s="142" t="s">
        <v>16</v>
      </c>
      <c r="Q10" s="638"/>
    </row>
    <row r="11" spans="1:28" ht="18" customHeight="1" x14ac:dyDescent="0.15">
      <c r="B11" s="637"/>
      <c r="C11" s="104"/>
      <c r="D11" s="118">
        <v>1.1000000000000001</v>
      </c>
      <c r="E11" s="117" t="s">
        <v>17</v>
      </c>
      <c r="F11" s="119" t="s">
        <v>18</v>
      </c>
      <c r="G11" s="639" t="e">
        <f>#REF!</f>
        <v>#REF!</v>
      </c>
      <c r="H11" s="424"/>
      <c r="I11" s="640" t="e">
        <f>VLOOKUP($R11,CO2データ_㎡!$H$6:$Q$53,2)</f>
        <v>#REF!</v>
      </c>
      <c r="J11" s="640" t="e">
        <f>VLOOKUP($R11,CO2データ_㎡!$H$6:$Q$53,3)</f>
        <v>#REF!</v>
      </c>
      <c r="K11" s="641" t="e">
        <f>VLOOKUP($R11,CO2データ_㎡!$H$6:$Q$53,4)</f>
        <v>#REF!</v>
      </c>
      <c r="L11" s="102" t="e">
        <f>L37</f>
        <v>#REF!</v>
      </c>
      <c r="M11" s="642" t="e">
        <f>IF(L11&gt;=4.5,$K11,IF(L11&gt;=3.5,$J11,IF(L11&gt;=2.5,$I11,IF(L11&gt;=1.5,$H11,$G11))))</f>
        <v>#REF!</v>
      </c>
      <c r="N11" s="91"/>
      <c r="O11" s="102">
        <v>3</v>
      </c>
      <c r="P11" s="110">
        <f>CO2データ_㎡!I36</f>
        <v>8.9364493041147846</v>
      </c>
      <c r="R11" s="13" t="e">
        <f>R37</f>
        <v>#REF!</v>
      </c>
    </row>
    <row r="12" spans="1:28" ht="18" customHeight="1" x14ac:dyDescent="0.15">
      <c r="B12" s="637"/>
      <c r="C12" s="104"/>
      <c r="D12" s="121"/>
      <c r="E12" s="91"/>
      <c r="F12" s="122" t="s">
        <v>19</v>
      </c>
      <c r="G12" s="639" t="e">
        <f>#REF!</f>
        <v>#REF!</v>
      </c>
      <c r="H12" s="424"/>
      <c r="I12" s="640" t="e">
        <f>VLOOKUP($R12,CO2データ_㎡!$H$6:$Q$53,5)</f>
        <v>#REF!</v>
      </c>
      <c r="J12" s="640" t="e">
        <f>VLOOKUP($R12,CO2データ_㎡!$H$6:$Q$53,6)</f>
        <v>#REF!</v>
      </c>
      <c r="K12" s="641" t="e">
        <f>VLOOKUP($R12,CO2データ_㎡!$H$6:$Q$53,7)</f>
        <v>#REF!</v>
      </c>
      <c r="L12" s="102" t="e">
        <f>L11</f>
        <v>#REF!</v>
      </c>
      <c r="M12" s="642" t="e">
        <f>IF(L12&gt;=4.5,$K12,IF(L12&gt;=3.5,$J12,IF(L12&gt;=2.5,$I12,IF(L12&gt;=1.5,$H12,$G12))))</f>
        <v>#REF!</v>
      </c>
      <c r="N12" s="91"/>
      <c r="O12" s="102">
        <v>3</v>
      </c>
      <c r="P12" s="110">
        <f>CO2データ_㎡!L36</f>
        <v>13.857536086289198</v>
      </c>
      <c r="R12" s="13" t="e">
        <f>R11</f>
        <v>#REF!</v>
      </c>
    </row>
    <row r="13" spans="1:28" ht="18" customHeight="1" thickBot="1" x14ac:dyDescent="0.2">
      <c r="B13" s="637"/>
      <c r="C13" s="104"/>
      <c r="D13" s="123"/>
      <c r="E13" s="124"/>
      <c r="F13" s="125" t="s">
        <v>20</v>
      </c>
      <c r="G13" s="639" t="e">
        <f>#REF!</f>
        <v>#REF!</v>
      </c>
      <c r="H13" s="424"/>
      <c r="I13" s="640" t="e">
        <f>VLOOKUP($R13,CO2データ_㎡!$H$6:$Q$53,8)</f>
        <v>#REF!</v>
      </c>
      <c r="J13" s="640" t="e">
        <f>VLOOKUP($R13,CO2データ_㎡!$H$6:$Q$53,9)</f>
        <v>#REF!</v>
      </c>
      <c r="K13" s="641" t="e">
        <f>VLOOKUP($R13,CO2データ_㎡!$H$6:$Q$53,10)</f>
        <v>#REF!</v>
      </c>
      <c r="L13" s="102" t="e">
        <f>L11</f>
        <v>#REF!</v>
      </c>
      <c r="M13" s="643" t="e">
        <f>IF(L13&gt;=4.5,$K13,IF(L13&gt;=3.5,$J13,IF(L13&gt;=2.5,$I13,IF(L13&gt;=1.5,$H13,$G13))))</f>
        <v>#REF!</v>
      </c>
      <c r="N13" s="91"/>
      <c r="O13" s="102">
        <v>3</v>
      </c>
      <c r="P13" s="139">
        <f>CO2データ_㎡!O36</f>
        <v>14.191383846258077</v>
      </c>
      <c r="R13" s="13" t="e">
        <f>R11</f>
        <v>#REF!</v>
      </c>
    </row>
    <row r="14" spans="1:28" ht="18" customHeight="1" x14ac:dyDescent="0.15">
      <c r="B14" s="637"/>
      <c r="C14" s="104"/>
      <c r="D14" s="126">
        <v>1.2</v>
      </c>
      <c r="E14" s="109" t="s">
        <v>21</v>
      </c>
      <c r="F14" s="109"/>
      <c r="G14" s="439"/>
      <c r="H14" s="424"/>
      <c r="I14" s="424"/>
      <c r="J14" s="424"/>
      <c r="K14" s="424"/>
      <c r="L14" s="135" t="e">
        <f>#REF!</f>
        <v>#REF!</v>
      </c>
      <c r="M14" s="91"/>
      <c r="N14" s="91"/>
      <c r="O14" s="137">
        <v>3</v>
      </c>
      <c r="P14" s="151"/>
    </row>
    <row r="15" spans="1:28" ht="18" customHeight="1" thickBot="1" x14ac:dyDescent="0.2">
      <c r="B15" s="637"/>
      <c r="C15" s="105"/>
      <c r="D15" s="126">
        <v>1.3</v>
      </c>
      <c r="E15" s="109" t="s">
        <v>22</v>
      </c>
      <c r="F15" s="109"/>
      <c r="G15" s="439"/>
      <c r="H15" s="424"/>
      <c r="I15" s="424"/>
      <c r="J15" s="424"/>
      <c r="K15" s="424"/>
      <c r="L15" s="136" t="e">
        <f>#REF!</f>
        <v>#REF!</v>
      </c>
      <c r="M15" s="91"/>
      <c r="N15" s="91"/>
      <c r="O15" s="138">
        <v>3</v>
      </c>
      <c r="P15" s="152"/>
    </row>
    <row r="16" spans="1:28" ht="18" customHeight="1" thickBot="1" x14ac:dyDescent="0.2">
      <c r="B16" s="637"/>
      <c r="C16" s="100">
        <v>2</v>
      </c>
      <c r="D16" s="116" t="s">
        <v>23</v>
      </c>
      <c r="E16" s="117"/>
      <c r="F16" s="117"/>
      <c r="G16" s="440"/>
      <c r="H16" s="424"/>
      <c r="I16" s="424"/>
      <c r="J16" s="424"/>
      <c r="K16" s="424"/>
      <c r="L16" s="441"/>
      <c r="M16" s="91"/>
      <c r="N16" s="91"/>
      <c r="O16" s="127"/>
      <c r="P16" s="148"/>
    </row>
    <row r="17" spans="2:16" ht="18" customHeight="1" thickBot="1" x14ac:dyDescent="0.2">
      <c r="B17" s="637"/>
      <c r="C17" s="105"/>
      <c r="D17" s="126">
        <v>2.2000000000000002</v>
      </c>
      <c r="E17" s="109" t="s">
        <v>24</v>
      </c>
      <c r="F17" s="109"/>
      <c r="G17" s="439"/>
      <c r="H17" s="424"/>
      <c r="I17" s="424"/>
      <c r="J17" s="424"/>
      <c r="K17" s="424"/>
      <c r="L17" s="140" t="e">
        <f>#REF!</f>
        <v>#REF!</v>
      </c>
      <c r="M17" s="91"/>
      <c r="N17" s="91"/>
      <c r="O17" s="140">
        <v>3</v>
      </c>
      <c r="P17" s="148"/>
    </row>
    <row r="18" spans="2:16" ht="3.75" customHeight="1" thickBot="1" x14ac:dyDescent="0.2">
      <c r="B18" s="637"/>
      <c r="C18" s="91"/>
      <c r="D18" s="90"/>
      <c r="E18" s="91"/>
      <c r="F18" s="91"/>
      <c r="G18" s="424"/>
      <c r="H18" s="424"/>
      <c r="I18" s="424"/>
      <c r="J18" s="424"/>
      <c r="K18" s="424"/>
      <c r="L18" s="424"/>
      <c r="M18" s="107"/>
      <c r="N18" s="91"/>
      <c r="O18" s="91"/>
      <c r="P18" s="148"/>
    </row>
    <row r="19" spans="2:16" ht="18" hidden="1" customHeight="1" thickBot="1" x14ac:dyDescent="0.2">
      <c r="B19" s="637"/>
      <c r="C19" s="95" t="s">
        <v>25</v>
      </c>
      <c r="D19" s="90"/>
      <c r="E19" s="91"/>
      <c r="F19" s="91"/>
      <c r="G19" s="91"/>
      <c r="H19" s="424"/>
      <c r="I19" s="424"/>
      <c r="J19" s="424"/>
      <c r="K19" s="424"/>
      <c r="L19" s="128"/>
      <c r="M19" s="265"/>
      <c r="N19" s="91"/>
      <c r="O19" s="127"/>
      <c r="P19" s="148"/>
    </row>
    <row r="20" spans="2:16" ht="18" hidden="1" customHeight="1" x14ac:dyDescent="0.15">
      <c r="B20" s="637"/>
      <c r="C20" s="95"/>
      <c r="D20" s="90"/>
      <c r="E20" s="91"/>
      <c r="F20" s="91"/>
      <c r="G20" s="424"/>
      <c r="H20" s="424"/>
      <c r="I20" s="91"/>
      <c r="J20" s="424"/>
      <c r="K20" s="108"/>
      <c r="L20" s="675" t="s">
        <v>8</v>
      </c>
      <c r="M20" s="676"/>
      <c r="N20" s="91"/>
      <c r="O20" s="127"/>
      <c r="P20" s="148"/>
    </row>
    <row r="21" spans="2:16" ht="18" hidden="1" customHeight="1" x14ac:dyDescent="0.15">
      <c r="B21" s="637"/>
      <c r="C21" s="95"/>
      <c r="D21" s="90"/>
      <c r="E21" s="91"/>
      <c r="F21" s="91"/>
      <c r="G21" s="424"/>
      <c r="H21" s="424"/>
      <c r="I21" s="97" t="s">
        <v>12</v>
      </c>
      <c r="J21" s="97" t="s">
        <v>13</v>
      </c>
      <c r="K21" s="98" t="s">
        <v>14</v>
      </c>
      <c r="L21" s="141" t="s">
        <v>15</v>
      </c>
      <c r="M21" s="269" t="s">
        <v>26</v>
      </c>
      <c r="N21" s="91"/>
      <c r="O21" s="127"/>
      <c r="P21" s="148"/>
    </row>
    <row r="22" spans="2:16" ht="18" hidden="1" customHeight="1" thickBot="1" x14ac:dyDescent="0.2">
      <c r="B22" s="637"/>
      <c r="C22" s="95"/>
      <c r="D22" s="90" t="s">
        <v>27</v>
      </c>
      <c r="E22" s="91"/>
      <c r="F22" s="91" t="s">
        <v>28</v>
      </c>
      <c r="G22" s="424"/>
      <c r="H22" s="424"/>
      <c r="I22" s="426">
        <f>CO2データ_㎡!I267</f>
        <v>30</v>
      </c>
      <c r="J22" s="426">
        <f>CO2データ_㎡!J267</f>
        <v>60</v>
      </c>
      <c r="K22" s="426">
        <f>CO2データ_㎡!K267</f>
        <v>90</v>
      </c>
      <c r="L22" s="106" t="e">
        <f>L11</f>
        <v>#REF!</v>
      </c>
      <c r="M22" s="427" t="e">
        <f>IF(L22&gt;=4.5,$K22,IF(L22&gt;=3.5,$J22,IF(L22&gt;=2.5,$I22,IF(L22&gt;=1.5,$H22,$G22))))</f>
        <v>#REF!</v>
      </c>
      <c r="N22" s="91"/>
      <c r="O22" s="127"/>
      <c r="P22" s="148"/>
    </row>
    <row r="23" spans="2:16" ht="17.25" hidden="1" customHeight="1" x14ac:dyDescent="0.15">
      <c r="B23" s="637"/>
      <c r="C23" s="95"/>
      <c r="D23" s="90"/>
      <c r="E23" s="177" t="s">
        <v>29</v>
      </c>
      <c r="F23" s="229" t="e">
        <f>#REF!</f>
        <v>#REF!</v>
      </c>
      <c r="G23" s="214" t="s">
        <v>30</v>
      </c>
      <c r="H23" s="424"/>
      <c r="I23" s="424"/>
      <c r="J23" s="424"/>
      <c r="K23" s="424"/>
      <c r="L23" s="128"/>
      <c r="M23" s="265"/>
      <c r="N23" s="91"/>
      <c r="O23" s="127"/>
      <c r="P23" s="148"/>
    </row>
    <row r="24" spans="2:16" ht="17.25" hidden="1" customHeight="1" x14ac:dyDescent="0.15">
      <c r="B24" s="637"/>
      <c r="C24" s="95"/>
      <c r="D24" s="90"/>
      <c r="E24" s="91"/>
      <c r="F24" s="91" t="s">
        <v>31</v>
      </c>
      <c r="G24" s="424"/>
      <c r="H24" s="424"/>
      <c r="I24" s="267" t="s">
        <v>32</v>
      </c>
      <c r="J24" s="424"/>
      <c r="K24" s="424"/>
      <c r="L24" s="424"/>
      <c r="M24" s="108" t="s">
        <v>5</v>
      </c>
      <c r="N24" s="91"/>
      <c r="O24" s="127"/>
      <c r="P24" s="148"/>
    </row>
    <row r="25" spans="2:16" ht="17.25" hidden="1" customHeight="1" x14ac:dyDescent="0.15">
      <c r="B25" s="637"/>
      <c r="C25" s="95"/>
      <c r="D25" s="90" t="s">
        <v>33</v>
      </c>
      <c r="E25" s="91"/>
      <c r="F25" s="270" t="e">
        <f>#REF!</f>
        <v>#REF!</v>
      </c>
      <c r="G25" s="424"/>
      <c r="H25" s="424"/>
      <c r="I25" s="266">
        <f>CO2データ_㎡!F212</f>
        <v>10.99</v>
      </c>
      <c r="J25" s="424"/>
      <c r="K25" s="424"/>
      <c r="L25" s="267"/>
      <c r="M25" s="438" t="e">
        <f>F25*I25/$F$23/$M$22</f>
        <v>#REF!</v>
      </c>
      <c r="N25" s="91"/>
      <c r="O25" s="127"/>
      <c r="P25" s="155"/>
    </row>
    <row r="26" spans="2:16" ht="17.25" hidden="1" customHeight="1" x14ac:dyDescent="0.15">
      <c r="B26" s="637"/>
      <c r="C26" s="95"/>
      <c r="D26" s="90" t="s">
        <v>34</v>
      </c>
      <c r="E26" s="91"/>
      <c r="F26" s="270" t="e">
        <f>#REF!</f>
        <v>#REF!</v>
      </c>
      <c r="G26" s="424"/>
      <c r="H26" s="424"/>
      <c r="I26" s="266">
        <f>CO2データ_㎡!F213</f>
        <v>5.09</v>
      </c>
      <c r="J26" s="424"/>
      <c r="K26" s="424"/>
      <c r="L26" s="267"/>
      <c r="M26" s="438" t="e">
        <f>F26*I26/$F$23/$M$22</f>
        <v>#REF!</v>
      </c>
      <c r="N26" s="91"/>
      <c r="O26" s="127"/>
      <c r="P26" s="155"/>
    </row>
    <row r="27" spans="2:16" ht="17.25" hidden="1" customHeight="1" x14ac:dyDescent="0.15">
      <c r="B27" s="637"/>
      <c r="C27" s="95"/>
      <c r="D27" s="90" t="s">
        <v>35</v>
      </c>
      <c r="E27" s="91"/>
      <c r="F27" s="270" t="e">
        <f>#REF!</f>
        <v>#REF!</v>
      </c>
      <c r="G27" s="424"/>
      <c r="H27" s="424"/>
      <c r="I27" s="266">
        <f>CO2データ_㎡!F214</f>
        <v>5.09</v>
      </c>
      <c r="J27" s="424"/>
      <c r="K27" s="424"/>
      <c r="L27" s="267"/>
      <c r="M27" s="438" t="e">
        <f t="shared" ref="M27:M28" si="0">F27*I27/$F$23/$M$22</f>
        <v>#REF!</v>
      </c>
      <c r="N27" s="91"/>
      <c r="O27" s="127"/>
      <c r="P27" s="155"/>
    </row>
    <row r="28" spans="2:16" ht="17.25" hidden="1" customHeight="1" x14ac:dyDescent="0.15">
      <c r="B28" s="637"/>
      <c r="C28" s="95"/>
      <c r="D28" s="90" t="s">
        <v>36</v>
      </c>
      <c r="E28" s="91"/>
      <c r="F28" s="270" t="e">
        <f>#REF!</f>
        <v>#REF!</v>
      </c>
      <c r="G28" s="424"/>
      <c r="H28" s="424"/>
      <c r="I28" s="266">
        <f>CO2データ_㎡!F215</f>
        <v>5.09</v>
      </c>
      <c r="J28" s="424"/>
      <c r="K28" s="424"/>
      <c r="L28" s="267"/>
      <c r="M28" s="438" t="e">
        <f t="shared" si="0"/>
        <v>#REF!</v>
      </c>
      <c r="N28" s="91"/>
      <c r="O28" s="127"/>
      <c r="P28" s="155"/>
    </row>
    <row r="29" spans="2:16" ht="17.25" hidden="1" customHeight="1" thickBot="1" x14ac:dyDescent="0.2">
      <c r="B29" s="637"/>
      <c r="C29" s="95"/>
      <c r="D29" s="90"/>
      <c r="E29" s="90"/>
      <c r="F29" s="90"/>
      <c r="G29" s="424"/>
      <c r="H29" s="424"/>
      <c r="I29" s="424"/>
      <c r="J29" s="424"/>
      <c r="K29" s="424"/>
      <c r="L29" s="424"/>
      <c r="M29" s="107"/>
      <c r="N29" s="91"/>
      <c r="O29" s="127"/>
      <c r="P29" s="155"/>
    </row>
    <row r="30" spans="2:16" ht="18" customHeight="1" thickBot="1" x14ac:dyDescent="0.2">
      <c r="B30" s="637"/>
      <c r="C30" s="168" t="s">
        <v>37</v>
      </c>
      <c r="D30" s="90"/>
      <c r="E30" s="91"/>
      <c r="F30" s="91"/>
      <c r="G30" s="91"/>
      <c r="H30" s="424"/>
      <c r="I30" s="424"/>
      <c r="J30" s="424"/>
      <c r="K30" s="424"/>
      <c r="L30" s="128"/>
      <c r="M30" s="129" t="e">
        <f>M11*G11+M12*G12+M13*G13+SUM(M25:M28)</f>
        <v>#REF!</v>
      </c>
      <c r="N30" s="91"/>
      <c r="O30" s="127"/>
      <c r="P30" s="129" t="e">
        <f>P11*G11+P12*G12+P13*G13</f>
        <v>#REF!</v>
      </c>
    </row>
    <row r="31" spans="2:16" ht="13.5" x14ac:dyDescent="0.15">
      <c r="B31" s="637"/>
      <c r="C31" s="91"/>
      <c r="D31" s="90"/>
      <c r="E31" s="91"/>
      <c r="F31" s="91"/>
      <c r="G31" s="91"/>
      <c r="H31" s="424"/>
      <c r="I31" s="424"/>
      <c r="J31" s="424"/>
      <c r="K31" s="424"/>
      <c r="L31" s="128"/>
      <c r="M31" s="130"/>
      <c r="N31" s="91"/>
      <c r="O31" s="127"/>
      <c r="P31" s="155"/>
    </row>
    <row r="32" spans="2:16" ht="15.75" hidden="1" customHeight="1" x14ac:dyDescent="0.15">
      <c r="B32" s="637"/>
      <c r="C32" s="91"/>
      <c r="D32" s="90"/>
      <c r="E32" s="91"/>
      <c r="F32" s="91" t="s">
        <v>38</v>
      </c>
      <c r="G32" s="424"/>
      <c r="H32" s="424"/>
      <c r="I32" s="426">
        <f>CO2データ_㎡!I267</f>
        <v>30</v>
      </c>
      <c r="J32" s="426">
        <f>CO2データ_㎡!J267</f>
        <v>60</v>
      </c>
      <c r="K32" s="426">
        <f>CO2データ_㎡!K267</f>
        <v>90</v>
      </c>
      <c r="L32" s="120" t="e">
        <f>L37</f>
        <v>#REF!</v>
      </c>
      <c r="M32" s="131" t="e">
        <f>IF(L32&gt;=4.5,$K32,IF(L32&gt;=3.5,$J32,IF(L32&gt;=2.5,$I32,IF(L32&gt;=1.5,$H32,$G32))))</f>
        <v>#REF!</v>
      </c>
      <c r="N32" s="91"/>
      <c r="O32" s="120">
        <v>3</v>
      </c>
      <c r="P32" s="154">
        <f>CO2データ_㎡!I267</f>
        <v>30</v>
      </c>
    </row>
    <row r="33" spans="2:18" ht="16.5" x14ac:dyDescent="0.15">
      <c r="B33" s="207" t="s">
        <v>39</v>
      </c>
      <c r="C33" s="91"/>
      <c r="D33" s="90"/>
      <c r="E33" s="91"/>
      <c r="F33" s="91"/>
      <c r="G33" s="424"/>
      <c r="H33" s="424"/>
      <c r="I33" s="424"/>
      <c r="J33" s="424"/>
      <c r="K33" s="424"/>
      <c r="L33" s="103"/>
      <c r="M33" s="91"/>
      <c r="N33" s="91"/>
      <c r="O33" s="103"/>
      <c r="P33" s="148"/>
    </row>
    <row r="34" spans="2:18" ht="15" thickBot="1" x14ac:dyDescent="0.2">
      <c r="B34" s="149"/>
      <c r="C34" s="168" t="s">
        <v>40</v>
      </c>
      <c r="D34" s="90"/>
      <c r="E34" s="91"/>
      <c r="F34" s="91"/>
      <c r="G34" s="424"/>
      <c r="H34" s="424"/>
      <c r="I34" s="424"/>
      <c r="J34" s="424"/>
      <c r="K34" s="424"/>
      <c r="L34" s="103"/>
      <c r="M34" s="108" t="s">
        <v>5</v>
      </c>
      <c r="N34" s="91"/>
      <c r="O34" s="103"/>
      <c r="P34" s="150" t="s">
        <v>5</v>
      </c>
    </row>
    <row r="35" spans="2:18" ht="18" customHeight="1" x14ac:dyDescent="0.15">
      <c r="B35" s="637"/>
      <c r="C35" s="91" t="s">
        <v>6</v>
      </c>
      <c r="D35" s="90" t="s">
        <v>7</v>
      </c>
      <c r="E35" s="91"/>
      <c r="F35" s="91"/>
      <c r="G35" s="424"/>
      <c r="H35" s="424"/>
      <c r="I35" s="91"/>
      <c r="J35" s="424"/>
      <c r="K35" s="108" t="s">
        <v>5</v>
      </c>
      <c r="L35" s="675" t="s">
        <v>8</v>
      </c>
      <c r="M35" s="676"/>
      <c r="N35" s="424"/>
      <c r="O35" s="677" t="s">
        <v>9</v>
      </c>
      <c r="P35" s="678"/>
      <c r="Q35" s="638"/>
    </row>
    <row r="36" spans="2:18" ht="18" customHeight="1" x14ac:dyDescent="0.15">
      <c r="B36" s="637"/>
      <c r="C36" s="100">
        <v>1</v>
      </c>
      <c r="D36" s="116" t="s">
        <v>10</v>
      </c>
      <c r="E36" s="117"/>
      <c r="F36" s="117"/>
      <c r="G36" s="440"/>
      <c r="H36" s="424"/>
      <c r="I36" s="97" t="s">
        <v>12</v>
      </c>
      <c r="J36" s="97" t="s">
        <v>13</v>
      </c>
      <c r="K36" s="98" t="s">
        <v>14</v>
      </c>
      <c r="L36" s="141" t="s">
        <v>15</v>
      </c>
      <c r="M36" s="142" t="s">
        <v>16</v>
      </c>
      <c r="N36" s="91"/>
      <c r="O36" s="141" t="s">
        <v>15</v>
      </c>
      <c r="P36" s="142" t="s">
        <v>16</v>
      </c>
      <c r="Q36" s="638"/>
    </row>
    <row r="37" spans="2:18" ht="18" customHeight="1" x14ac:dyDescent="0.15">
      <c r="B37" s="637"/>
      <c r="C37" s="104"/>
      <c r="D37" s="118">
        <v>1.1000000000000001</v>
      </c>
      <c r="E37" s="117" t="s">
        <v>17</v>
      </c>
      <c r="F37" s="119" t="s">
        <v>18</v>
      </c>
      <c r="G37" s="639" t="e">
        <f>G11</f>
        <v>#REF!</v>
      </c>
      <c r="H37" s="424"/>
      <c r="I37" s="640" t="e">
        <f>VLOOKUP($R37,CO2データ_㎡!$H$58:$Q$105,2)</f>
        <v>#REF!</v>
      </c>
      <c r="J37" s="640" t="e">
        <f>VLOOKUP($R37,CO2データ_㎡!$H$58:$Q$105,3)</f>
        <v>#REF!</v>
      </c>
      <c r="K37" s="641" t="e">
        <f>VLOOKUP($R37,CO2データ_㎡!$H$58:$Q$105,4)</f>
        <v>#REF!</v>
      </c>
      <c r="L37" s="102" t="e">
        <f>#REF!</f>
        <v>#REF!</v>
      </c>
      <c r="M37" s="642" t="e">
        <f>IF(L37&gt;=4.5,$K37,IF(L37&gt;=3.5,$J37,IF(L37&gt;=2.5,$I37,IF(L37&gt;=1.5,$H37,$G37))))</f>
        <v>#REF!</v>
      </c>
      <c r="N37" s="91"/>
      <c r="O37" s="102">
        <v>3</v>
      </c>
      <c r="P37" s="644">
        <f>CO2データ_㎡!I88</f>
        <v>2.304881027767042</v>
      </c>
      <c r="R37" s="30" t="e">
        <f>L14*100+L15*10+L17</f>
        <v>#REF!</v>
      </c>
    </row>
    <row r="38" spans="2:18" ht="18" customHeight="1" x14ac:dyDescent="0.15">
      <c r="B38" s="637"/>
      <c r="C38" s="104"/>
      <c r="D38" s="121"/>
      <c r="E38" s="91"/>
      <c r="F38" s="122" t="s">
        <v>19</v>
      </c>
      <c r="G38" s="639" t="e">
        <f>G12</f>
        <v>#REF!</v>
      </c>
      <c r="H38" s="424"/>
      <c r="I38" s="640" t="e">
        <f>VLOOKUP($R38,CO2データ_㎡!$H$58:$Q$105,5)</f>
        <v>#REF!</v>
      </c>
      <c r="J38" s="640" t="e">
        <f>VLOOKUP($R38,CO2データ_㎡!$H$58:$Q$105,6)</f>
        <v>#REF!</v>
      </c>
      <c r="K38" s="641" t="e">
        <f>VLOOKUP($R38,CO2データ_㎡!$H$58:$Q$105,7)</f>
        <v>#REF!</v>
      </c>
      <c r="L38" s="102" t="e">
        <f>L37</f>
        <v>#REF!</v>
      </c>
      <c r="M38" s="642" t="e">
        <f>IF(L38&gt;=4.5,$K38,IF(L38&gt;=3.5,$J38,IF(L38&gt;=2.5,$I38,IF(L38&gt;=1.5,$H38,$G38))))</f>
        <v>#REF!</v>
      </c>
      <c r="N38" s="91"/>
      <c r="O38" s="102">
        <v>3</v>
      </c>
      <c r="P38" s="132">
        <f>CO2データ_㎡!L88</f>
        <v>2.3641093734704062</v>
      </c>
      <c r="R38" s="13" t="e">
        <f>R37</f>
        <v>#REF!</v>
      </c>
    </row>
    <row r="39" spans="2:18" ht="18" customHeight="1" thickBot="1" x14ac:dyDescent="0.2">
      <c r="B39" s="637"/>
      <c r="C39" s="105"/>
      <c r="D39" s="123"/>
      <c r="E39" s="124"/>
      <c r="F39" s="125" t="s">
        <v>20</v>
      </c>
      <c r="G39" s="639" t="e">
        <f>G13</f>
        <v>#REF!</v>
      </c>
      <c r="H39" s="424"/>
      <c r="I39" s="640" t="e">
        <f>VLOOKUP($R39,CO2データ_㎡!$H$58:$Q$105,8)</f>
        <v>#REF!</v>
      </c>
      <c r="J39" s="640" t="e">
        <f>VLOOKUP($R39,CO2データ_㎡!$H$58:$Q$105,9)</f>
        <v>#REF!</v>
      </c>
      <c r="K39" s="641" t="e">
        <f>VLOOKUP($R39,CO2データ_㎡!$H$58:$Q$105,10)</f>
        <v>#REF!</v>
      </c>
      <c r="L39" s="106" t="e">
        <f>L37</f>
        <v>#REF!</v>
      </c>
      <c r="M39" s="643" t="e">
        <f>IF(L39&gt;=4.5,$K39,IF(L39&gt;=3.5,$J39,IF(L39&gt;=2.5,$I39,IF(L39&gt;=1.5,$H39,$G39))))</f>
        <v>#REF!</v>
      </c>
      <c r="N39" s="91"/>
      <c r="O39" s="106">
        <v>3</v>
      </c>
      <c r="P39" s="134">
        <f>CO2データ_㎡!O88</f>
        <v>2.5246005434050436</v>
      </c>
      <c r="R39" s="13" t="e">
        <f>R38</f>
        <v>#REF!</v>
      </c>
    </row>
    <row r="40" spans="2:18" ht="14.25" thickBot="1" x14ac:dyDescent="0.2">
      <c r="B40" s="637"/>
      <c r="C40" s="91"/>
      <c r="D40" s="90"/>
      <c r="E40" s="91"/>
      <c r="F40" s="91"/>
      <c r="G40" s="424"/>
      <c r="H40" s="424"/>
      <c r="I40" s="424"/>
      <c r="J40" s="424"/>
      <c r="K40" s="424"/>
      <c r="L40" s="424"/>
      <c r="M40" s="107"/>
      <c r="N40" s="91"/>
      <c r="O40" s="91"/>
      <c r="P40" s="155"/>
    </row>
    <row r="41" spans="2:18" ht="15" hidden="1" thickBot="1" x14ac:dyDescent="0.2">
      <c r="B41" s="637"/>
      <c r="C41" s="95" t="s">
        <v>41</v>
      </c>
      <c r="D41" s="90"/>
      <c r="E41" s="91"/>
      <c r="F41" s="91"/>
      <c r="G41" s="424"/>
      <c r="H41" s="424"/>
      <c r="I41" s="424"/>
      <c r="J41" s="424"/>
      <c r="K41" s="424"/>
      <c r="L41" s="424"/>
      <c r="M41" s="107"/>
      <c r="N41" s="91"/>
      <c r="O41" s="91"/>
      <c r="P41" s="155"/>
    </row>
    <row r="42" spans="2:18" ht="15" hidden="1" customHeight="1" x14ac:dyDescent="0.15">
      <c r="B42" s="637"/>
      <c r="C42" s="95"/>
      <c r="D42" s="90" t="s">
        <v>42</v>
      </c>
      <c r="E42" s="91"/>
      <c r="F42" s="266">
        <f>CO2データ_㎡!L212</f>
        <v>20</v>
      </c>
      <c r="G42" s="268" t="s">
        <v>43</v>
      </c>
      <c r="H42" s="424"/>
      <c r="I42" s="424"/>
      <c r="J42" s="424"/>
      <c r="K42" s="424"/>
      <c r="L42" s="424"/>
      <c r="M42" s="107"/>
      <c r="N42" s="91"/>
      <c r="O42" s="91"/>
      <c r="P42" s="155"/>
    </row>
    <row r="43" spans="2:18" ht="15" hidden="1" thickBot="1" x14ac:dyDescent="0.2">
      <c r="B43" s="637"/>
      <c r="C43" s="91"/>
      <c r="D43" s="90"/>
      <c r="E43" s="91"/>
      <c r="F43" s="91" t="s">
        <v>31</v>
      </c>
      <c r="G43" s="424"/>
      <c r="H43" s="424"/>
      <c r="I43" s="267" t="s">
        <v>44</v>
      </c>
      <c r="J43" s="267" t="s">
        <v>45</v>
      </c>
      <c r="K43" s="267" t="s">
        <v>46</v>
      </c>
      <c r="L43" s="424"/>
      <c r="M43" s="108" t="s">
        <v>5</v>
      </c>
      <c r="N43" s="91"/>
      <c r="O43" s="91"/>
      <c r="P43" s="155"/>
    </row>
    <row r="44" spans="2:18" ht="14.25" hidden="1" thickBot="1" x14ac:dyDescent="0.2">
      <c r="B44" s="637"/>
      <c r="C44" s="91"/>
      <c r="D44" s="90" t="s">
        <v>33</v>
      </c>
      <c r="E44" s="91"/>
      <c r="F44" s="270" t="e">
        <f>#REF!</f>
        <v>#REF!</v>
      </c>
      <c r="G44" s="424"/>
      <c r="H44" s="424"/>
      <c r="I44" s="266">
        <f>CO2データ_㎡!F212</f>
        <v>10.99</v>
      </c>
      <c r="J44" s="639" t="e">
        <f>ROUNDDOWN($M$22/$F$42,0)</f>
        <v>#REF!</v>
      </c>
      <c r="K44" s="426" t="e">
        <f>F44*I44*J44</f>
        <v>#REF!</v>
      </c>
      <c r="L44" s="267" t="s">
        <v>47</v>
      </c>
      <c r="M44" s="438" t="e">
        <f>K44/$M$22/$F$23</f>
        <v>#REF!</v>
      </c>
      <c r="N44" s="91"/>
      <c r="O44" s="91"/>
      <c r="P44" s="155"/>
    </row>
    <row r="45" spans="2:18" ht="14.25" hidden="1" thickBot="1" x14ac:dyDescent="0.2">
      <c r="B45" s="637"/>
      <c r="C45" s="91"/>
      <c r="D45" s="90" t="s">
        <v>34</v>
      </c>
      <c r="E45" s="91"/>
      <c r="F45" s="270" t="e">
        <f>#REF!</f>
        <v>#REF!</v>
      </c>
      <c r="G45" s="424"/>
      <c r="H45" s="424"/>
      <c r="I45" s="266">
        <f>CO2データ_㎡!F213</f>
        <v>5.09</v>
      </c>
      <c r="J45" s="639" t="e">
        <f>ROUNDDOWN($M$22/$F$42,0)</f>
        <v>#REF!</v>
      </c>
      <c r="K45" s="426" t="e">
        <f t="shared" ref="K45:K47" si="1">F45*I45*J45</f>
        <v>#REF!</v>
      </c>
      <c r="L45" s="267" t="s">
        <v>47</v>
      </c>
      <c r="M45" s="438" t="e">
        <f t="shared" ref="M45:M47" si="2">K45/$M$22/$F$23</f>
        <v>#REF!</v>
      </c>
      <c r="N45" s="91"/>
      <c r="O45" s="91"/>
      <c r="P45" s="155"/>
    </row>
    <row r="46" spans="2:18" ht="14.25" hidden="1" thickBot="1" x14ac:dyDescent="0.2">
      <c r="B46" s="637"/>
      <c r="C46" s="91"/>
      <c r="D46" s="90" t="s">
        <v>35</v>
      </c>
      <c r="E46" s="91"/>
      <c r="F46" s="270" t="e">
        <f>#REF!</f>
        <v>#REF!</v>
      </c>
      <c r="G46" s="424"/>
      <c r="H46" s="424"/>
      <c r="I46" s="266">
        <f>CO2データ_㎡!F214</f>
        <v>5.09</v>
      </c>
      <c r="J46" s="639" t="e">
        <f>ROUNDDOWN($M$22/$F$42,0)</f>
        <v>#REF!</v>
      </c>
      <c r="K46" s="426" t="e">
        <f t="shared" si="1"/>
        <v>#REF!</v>
      </c>
      <c r="L46" s="267" t="s">
        <v>47</v>
      </c>
      <c r="M46" s="438" t="e">
        <f t="shared" si="2"/>
        <v>#REF!</v>
      </c>
      <c r="N46" s="91"/>
      <c r="O46" s="91"/>
      <c r="P46" s="155"/>
    </row>
    <row r="47" spans="2:18" ht="14.25" hidden="1" thickBot="1" x14ac:dyDescent="0.2">
      <c r="B47" s="637"/>
      <c r="C47" s="91"/>
      <c r="D47" s="90" t="s">
        <v>36</v>
      </c>
      <c r="E47" s="91"/>
      <c r="F47" s="270" t="e">
        <f>#REF!</f>
        <v>#REF!</v>
      </c>
      <c r="G47" s="424"/>
      <c r="H47" s="424"/>
      <c r="I47" s="266">
        <f>CO2データ_㎡!F215</f>
        <v>5.09</v>
      </c>
      <c r="J47" s="639" t="e">
        <f>ROUNDDOWN($M$22/$F$42,0)</f>
        <v>#REF!</v>
      </c>
      <c r="K47" s="426" t="e">
        <f t="shared" si="1"/>
        <v>#REF!</v>
      </c>
      <c r="L47" s="267" t="s">
        <v>47</v>
      </c>
      <c r="M47" s="438" t="e">
        <f t="shared" si="2"/>
        <v>#REF!</v>
      </c>
      <c r="N47" s="91"/>
      <c r="O47" s="91"/>
      <c r="P47" s="155"/>
    </row>
    <row r="48" spans="2:18" ht="14.25" hidden="1" thickBot="1" x14ac:dyDescent="0.2">
      <c r="B48" s="637"/>
      <c r="C48" s="91"/>
      <c r="D48" s="90"/>
      <c r="E48" s="91"/>
      <c r="F48" s="91"/>
      <c r="G48" s="424"/>
      <c r="H48" s="424"/>
      <c r="I48" s="424"/>
      <c r="J48" s="424"/>
      <c r="K48" s="424"/>
      <c r="L48" s="424"/>
      <c r="M48" s="107"/>
      <c r="N48" s="91"/>
      <c r="O48" s="91"/>
      <c r="P48" s="153"/>
    </row>
    <row r="49" spans="1:256" ht="18" customHeight="1" thickBot="1" x14ac:dyDescent="0.2">
      <c r="B49" s="637"/>
      <c r="C49" s="168" t="s">
        <v>48</v>
      </c>
      <c r="D49" s="90"/>
      <c r="E49" s="91"/>
      <c r="F49" s="91"/>
      <c r="G49" s="91"/>
      <c r="H49" s="424"/>
      <c r="I49" s="424"/>
      <c r="J49" s="424"/>
      <c r="K49" s="424"/>
      <c r="L49" s="111"/>
      <c r="M49" s="129" t="e">
        <f>M37*G37+M38*G38+M39*G39+SUM(M44:M47)</f>
        <v>#REF!</v>
      </c>
      <c r="N49" s="91"/>
      <c r="O49" s="91"/>
      <c r="P49" s="129" t="e">
        <f>P37*G37+P38*G38+P39*G39</f>
        <v>#REF!</v>
      </c>
    </row>
    <row r="50" spans="1:256" ht="18" customHeight="1" x14ac:dyDescent="0.15">
      <c r="B50" s="637"/>
      <c r="C50" s="91"/>
      <c r="D50" s="90"/>
      <c r="E50" s="91"/>
      <c r="F50" s="91"/>
      <c r="G50" s="91"/>
      <c r="H50" s="424"/>
      <c r="I50" s="424"/>
      <c r="J50" s="424"/>
      <c r="K50" s="424"/>
      <c r="L50" s="111"/>
      <c r="M50" s="130"/>
      <c r="N50" s="91"/>
      <c r="O50" s="91"/>
      <c r="P50" s="155"/>
    </row>
    <row r="51" spans="1:256" ht="18" customHeight="1" thickBot="1" x14ac:dyDescent="0.2">
      <c r="B51" s="207" t="s">
        <v>49</v>
      </c>
      <c r="C51" s="89"/>
      <c r="D51" s="93"/>
      <c r="E51" s="89"/>
      <c r="F51" s="91"/>
      <c r="G51" s="424"/>
      <c r="H51" s="424"/>
      <c r="I51" s="424"/>
      <c r="J51" s="424"/>
      <c r="K51" s="424"/>
      <c r="L51" s="271"/>
      <c r="M51" s="108" t="s">
        <v>5</v>
      </c>
      <c r="N51" s="91"/>
      <c r="O51" s="103"/>
      <c r="P51" s="150" t="s">
        <v>5</v>
      </c>
    </row>
    <row r="52" spans="1:256" ht="16.5" customHeight="1" thickBot="1" x14ac:dyDescent="0.2">
      <c r="A52"/>
      <c r="B52" s="207"/>
      <c r="C52" s="168" t="s">
        <v>50</v>
      </c>
      <c r="D52" s="4"/>
      <c r="E52" s="4"/>
      <c r="F52" s="208"/>
      <c r="G52" s="4"/>
      <c r="H52" s="4"/>
      <c r="I52" s="4"/>
      <c r="J52" s="4"/>
      <c r="K52" s="4"/>
      <c r="L52" s="209" t="s">
        <v>51</v>
      </c>
      <c r="M52" s="210" t="e">
        <f>IF(#REF!=#REF!,'CO2計算 (旧)'!M55,'CO2計算 (旧)'!M59)+'CO2計算 (旧)'!M64</f>
        <v>#REF!</v>
      </c>
      <c r="N52" s="91"/>
      <c r="O52" s="169" t="s">
        <v>52</v>
      </c>
      <c r="P52" s="210" t="e">
        <f>IF(#REF!=#REF!,'CO2計算 (旧)'!P55,'CO2計算 (旧)'!P59)+'CO2計算 (旧)'!P64</f>
        <v>#REF!</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8" customHeight="1" x14ac:dyDescent="0.15">
      <c r="A53"/>
      <c r="B53" s="207"/>
      <c r="C53" s="168"/>
      <c r="D53" s="4"/>
      <c r="E53" s="4"/>
      <c r="F53" s="4"/>
      <c r="G53" s="4"/>
      <c r="H53" s="4"/>
      <c r="I53" s="4" t="s">
        <v>53</v>
      </c>
      <c r="J53" s="4"/>
      <c r="K53" s="4" t="s">
        <v>54</v>
      </c>
      <c r="L53" s="211"/>
      <c r="M53" s="108"/>
      <c r="N53" s="91"/>
      <c r="O53" s="169"/>
      <c r="P53" s="212"/>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8" customHeight="1" x14ac:dyDescent="0.15">
      <c r="A54"/>
      <c r="B54" s="207"/>
      <c r="C54" s="168"/>
      <c r="D54" s="4"/>
      <c r="E54" s="4"/>
      <c r="F54" s="4"/>
      <c r="G54" s="108" t="s">
        <v>55</v>
      </c>
      <c r="H54" s="4"/>
      <c r="I54" s="205" t="s">
        <v>56</v>
      </c>
      <c r="J54" s="205" t="s">
        <v>57</v>
      </c>
      <c r="K54" s="90" t="s">
        <v>58</v>
      </c>
      <c r="L54" s="213"/>
      <c r="M54" s="108" t="s">
        <v>5</v>
      </c>
      <c r="N54" s="91"/>
      <c r="O54" s="103"/>
      <c r="P54" s="150" t="s">
        <v>5</v>
      </c>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8" customHeight="1" x14ac:dyDescent="0.15">
      <c r="A55"/>
      <c r="B55" s="207"/>
      <c r="C55" s="168"/>
      <c r="D55" s="4" t="s">
        <v>59</v>
      </c>
      <c r="E55" s="214"/>
      <c r="F55" s="177" t="s">
        <v>29</v>
      </c>
      <c r="G55" s="229" t="e">
        <f>#REF!</f>
        <v>#REF!</v>
      </c>
      <c r="H55" s="4"/>
      <c r="I55" s="281" t="e">
        <f>#REF!</f>
        <v>#REF!</v>
      </c>
      <c r="J55" s="282" t="e">
        <f>#REF!-#REF!-#REF!</f>
        <v>#REF!</v>
      </c>
      <c r="K55" s="215">
        <f>CO2データ_㎡!K236</f>
        <v>5.4560734426229503E-2</v>
      </c>
      <c r="L55" s="216"/>
      <c r="M55" s="229" t="e">
        <f>J55*K55/G55</f>
        <v>#REF!</v>
      </c>
      <c r="N55" s="91"/>
      <c r="O55" s="169"/>
      <c r="P55" s="260" t="e">
        <f>I55*K55/G55</f>
        <v>#REF!</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8" customHeight="1" x14ac:dyDescent="0.15">
      <c r="A56"/>
      <c r="B56" s="207"/>
      <c r="C56" s="168"/>
      <c r="D56" s="4"/>
      <c r="E56" s="214"/>
      <c r="F56" s="214"/>
      <c r="G56" s="214"/>
      <c r="H56" s="214"/>
      <c r="I56" s="214"/>
      <c r="J56" s="214"/>
      <c r="K56" s="214"/>
      <c r="L56" s="219"/>
      <c r="M56" s="219"/>
      <c r="N56" s="219"/>
      <c r="O56" s="169"/>
      <c r="P56" s="212"/>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8" customHeight="1" x14ac:dyDescent="0.15">
      <c r="A57"/>
      <c r="B57" s="207"/>
      <c r="C57" s="168"/>
      <c r="D57" s="4"/>
      <c r="E57" s="214"/>
      <c r="F57" s="261"/>
      <c r="G57" s="214"/>
      <c r="H57" s="4"/>
      <c r="I57" s="205" t="s">
        <v>56</v>
      </c>
      <c r="J57" s="205" t="s">
        <v>57</v>
      </c>
      <c r="K57" s="177"/>
      <c r="L57" s="219"/>
      <c r="M57" s="219"/>
      <c r="N57" s="219"/>
      <c r="O57" s="169"/>
      <c r="P57" s="212"/>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4.25" x14ac:dyDescent="0.15">
      <c r="A58"/>
      <c r="B58" s="207"/>
      <c r="C58" s="168"/>
      <c r="D58" s="4"/>
      <c r="E58" s="4"/>
      <c r="F58" s="261"/>
      <c r="G58" s="214"/>
      <c r="H58" s="4"/>
      <c r="I58" s="108" t="s">
        <v>60</v>
      </c>
      <c r="J58" s="108" t="s">
        <v>60</v>
      </c>
      <c r="K58" s="177"/>
      <c r="L58" s="219"/>
      <c r="M58" s="219"/>
      <c r="N58" s="219"/>
      <c r="O58" s="169"/>
      <c r="P58" s="212"/>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18" customHeight="1" x14ac:dyDescent="0.15">
      <c r="A59"/>
      <c r="B59" s="207"/>
      <c r="C59" s="168"/>
      <c r="D59" s="4"/>
      <c r="E59" s="214" t="s">
        <v>61</v>
      </c>
      <c r="F59" s="261"/>
      <c r="G59" s="214"/>
      <c r="H59" s="177"/>
      <c r="I59" s="229" t="e">
        <f>CO2データ_㎡!I260</f>
        <v>#REF!</v>
      </c>
      <c r="J59" s="229" t="e">
        <f>CO2データ_㎡!I259</f>
        <v>#REF!</v>
      </c>
      <c r="K59" s="215">
        <f>K55</f>
        <v>5.4560734426229503E-2</v>
      </c>
      <c r="L59" s="219"/>
      <c r="M59" s="229" t="e">
        <f>J59*K59</f>
        <v>#REF!</v>
      </c>
      <c r="N59" s="219"/>
      <c r="O59" s="169"/>
      <c r="P59" s="260" t="e">
        <f>I59*K59</f>
        <v>#REF!</v>
      </c>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ht="18" customHeight="1" x14ac:dyDescent="0.15">
      <c r="A60"/>
      <c r="B60" s="207"/>
      <c r="C60" s="168"/>
      <c r="D60" s="4"/>
      <c r="E60" s="214"/>
      <c r="F60" s="217"/>
      <c r="G60" s="214"/>
      <c r="H60" s="177"/>
      <c r="I60" s="218"/>
      <c r="J60" s="214"/>
      <c r="K60" s="219"/>
      <c r="L60" s="219"/>
      <c r="M60" s="219"/>
      <c r="N60" s="219"/>
      <c r="O60" s="169"/>
      <c r="P60" s="212"/>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ht="18" customHeight="1" x14ac:dyDescent="0.15">
      <c r="A61"/>
      <c r="B61" s="207"/>
      <c r="C61" s="168"/>
      <c r="D61" s="4"/>
      <c r="E61" s="214"/>
      <c r="F61" s="97" t="s">
        <v>62</v>
      </c>
      <c r="G61" s="98" t="s">
        <v>63</v>
      </c>
      <c r="H61" s="220"/>
      <c r="I61" s="97" t="s">
        <v>64</v>
      </c>
      <c r="J61" s="97" t="s">
        <v>13</v>
      </c>
      <c r="K61" s="97" t="s">
        <v>65</v>
      </c>
      <c r="L61" s="221" t="s">
        <v>66</v>
      </c>
      <c r="M61" s="97" t="s">
        <v>67</v>
      </c>
      <c r="N61" s="219"/>
      <c r="O61" s="221" t="s">
        <v>66</v>
      </c>
      <c r="P61" s="99" t="s">
        <v>67</v>
      </c>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ht="18" customHeight="1" x14ac:dyDescent="0.15">
      <c r="A62"/>
      <c r="B62" s="207"/>
      <c r="C62" s="168"/>
      <c r="D62" s="222" t="s">
        <v>68</v>
      </c>
      <c r="E62" s="214"/>
      <c r="F62" s="101">
        <v>1.1499999999999999</v>
      </c>
      <c r="G62" s="223" t="s">
        <v>69</v>
      </c>
      <c r="H62" s="224"/>
      <c r="I62" s="101">
        <v>1</v>
      </c>
      <c r="J62" s="101">
        <v>0.85</v>
      </c>
      <c r="K62" s="101">
        <v>0.7</v>
      </c>
      <c r="L62" s="225" t="e">
        <f>#REF!</f>
        <v>#REF!</v>
      </c>
      <c r="M62" s="226" t="e">
        <f>IF(L62&gt;=5,$K62,IF(L62&gt;=4,$J62,IF(L62&gt;=3,$I62,$F62)))</f>
        <v>#REF!</v>
      </c>
      <c r="N62" s="91"/>
      <c r="O62" s="225">
        <v>3</v>
      </c>
      <c r="P62" s="262">
        <v>1</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8" customHeight="1" x14ac:dyDescent="0.15">
      <c r="A63"/>
      <c r="B63" s="207"/>
      <c r="C63" s="168"/>
      <c r="D63" s="222"/>
      <c r="E63" s="214"/>
      <c r="F63" s="217"/>
      <c r="G63" s="214"/>
      <c r="H63" s="177"/>
      <c r="I63" s="227" t="s">
        <v>70</v>
      </c>
      <c r="J63" s="214"/>
      <c r="K63" s="219"/>
      <c r="L63" s="213"/>
      <c r="M63" s="114"/>
      <c r="N63" s="91"/>
      <c r="O63" s="169"/>
      <c r="P63" s="228"/>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8" customHeight="1" x14ac:dyDescent="0.15">
      <c r="A64"/>
      <c r="B64" s="207"/>
      <c r="C64" s="168"/>
      <c r="D64" s="222"/>
      <c r="E64" s="214" t="s">
        <v>71</v>
      </c>
      <c r="F64" s="217"/>
      <c r="G64" s="214"/>
      <c r="H64" s="177"/>
      <c r="I64" s="229">
        <v>0.91</v>
      </c>
      <c r="J64" s="90" t="s">
        <v>5</v>
      </c>
      <c r="K64" s="219"/>
      <c r="L64" s="213"/>
      <c r="M64" s="229" t="e">
        <f>I64*M62</f>
        <v>#REF!</v>
      </c>
      <c r="N64" s="91"/>
      <c r="O64" s="169"/>
      <c r="P64" s="230">
        <f>I64*P62</f>
        <v>0.91</v>
      </c>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18" hidden="1" customHeight="1" x14ac:dyDescent="0.15">
      <c r="A65"/>
      <c r="B65" s="207"/>
      <c r="C65" s="168"/>
      <c r="D65" s="4"/>
      <c r="E65" s="4"/>
      <c r="F65" s="4"/>
      <c r="G65" s="4"/>
      <c r="H65" s="4"/>
      <c r="I65" s="4"/>
      <c r="J65" s="4"/>
      <c r="K65" s="4"/>
      <c r="L65" s="4"/>
      <c r="M65" s="231"/>
      <c r="N65" s="91"/>
      <c r="O65" s="169"/>
      <c r="P65" s="212"/>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8" hidden="1" customHeight="1" x14ac:dyDescent="0.15">
      <c r="A66"/>
      <c r="B66" s="207"/>
      <c r="C66" s="168"/>
      <c r="D66" s="232" t="s">
        <v>72</v>
      </c>
      <c r="E66" s="4"/>
      <c r="F66" s="4"/>
      <c r="G66" s="4"/>
      <c r="H66" s="4"/>
      <c r="I66" s="97" t="s">
        <v>12</v>
      </c>
      <c r="J66" s="97" t="s">
        <v>13</v>
      </c>
      <c r="K66" s="97" t="s">
        <v>14</v>
      </c>
      <c r="L66" s="221" t="s">
        <v>66</v>
      </c>
      <c r="M66" s="221" t="s">
        <v>73</v>
      </c>
      <c r="N66" s="91"/>
      <c r="O66" s="169"/>
      <c r="P66" s="212"/>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18" hidden="1" customHeight="1" x14ac:dyDescent="0.15">
      <c r="A67"/>
      <c r="B67" s="207"/>
      <c r="C67" s="168"/>
      <c r="D67" s="4"/>
      <c r="E67" s="4"/>
      <c r="F67" s="4"/>
      <c r="G67" s="4"/>
      <c r="H67" s="4"/>
      <c r="I67" s="233">
        <v>1</v>
      </c>
      <c r="J67" s="234">
        <v>0.97499999999999998</v>
      </c>
      <c r="K67" s="233">
        <v>0.95</v>
      </c>
      <c r="L67" s="225"/>
      <c r="M67" s="235">
        <f>IF(L67&gt;=5,$K67,IF(L67&gt;=4,$J67,$I67))</f>
        <v>1</v>
      </c>
      <c r="N67" s="91"/>
      <c r="O67" s="169"/>
      <c r="P67" s="212"/>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8" customHeight="1" thickBot="1" x14ac:dyDescent="0.2">
      <c r="A68"/>
      <c r="B68" s="207"/>
      <c r="C68" s="4"/>
      <c r="D68" s="4"/>
      <c r="E68" s="4"/>
      <c r="F68" s="4"/>
      <c r="G68" s="4"/>
      <c r="H68" s="4"/>
      <c r="I68" s="4"/>
      <c r="J68" s="4"/>
      <c r="K68" s="4"/>
      <c r="L68" s="4"/>
      <c r="M68" s="108"/>
      <c r="N68" s="91"/>
      <c r="O68" s="91"/>
      <c r="P68" s="150"/>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18" customHeight="1" thickBot="1" x14ac:dyDescent="0.2">
      <c r="A69"/>
      <c r="B69" s="236"/>
      <c r="C69" s="168" t="s">
        <v>74</v>
      </c>
      <c r="D69" s="4"/>
      <c r="E69" s="4"/>
      <c r="F69" s="4"/>
      <c r="G69" s="4"/>
      <c r="H69" s="4"/>
      <c r="I69" s="4"/>
      <c r="J69" s="4"/>
      <c r="K69" s="4"/>
      <c r="L69" s="209" t="s">
        <v>75</v>
      </c>
      <c r="M69" s="237" t="e">
        <f>M73+M64</f>
        <v>#REF!</v>
      </c>
      <c r="N69" s="4"/>
      <c r="O69" s="4"/>
      <c r="P69" s="238"/>
      <c r="Q69"/>
      <c r="R69"/>
      <c r="S69" t="s">
        <v>76</v>
      </c>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ht="18" customHeight="1" x14ac:dyDescent="0.15">
      <c r="A70"/>
      <c r="B70" s="236"/>
      <c r="C70" s="168"/>
      <c r="D70" s="4"/>
      <c r="E70" s="4" t="s">
        <v>77</v>
      </c>
      <c r="F70" s="4"/>
      <c r="G70" s="4"/>
      <c r="H70" s="4"/>
      <c r="I70" s="229" t="e">
        <f>#REF!</f>
        <v>#REF!</v>
      </c>
      <c r="J70" s="214" t="s">
        <v>78</v>
      </c>
      <c r="K70" s="4"/>
      <c r="L70" s="4"/>
      <c r="M70" s="4"/>
      <c r="N70" s="4"/>
      <c r="O70" s="4"/>
      <c r="P70" s="238"/>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ht="13.5" x14ac:dyDescent="0.15">
      <c r="A71"/>
      <c r="B71" s="236"/>
      <c r="C71" s="168"/>
      <c r="D71" s="4"/>
      <c r="E71" s="4"/>
      <c r="F71" s="4"/>
      <c r="G71" s="4"/>
      <c r="H71" s="4"/>
      <c r="I71" s="263"/>
      <c r="J71" s="177" t="s">
        <v>79</v>
      </c>
      <c r="K71" s="4" t="s">
        <v>54</v>
      </c>
      <c r="L71" s="4"/>
      <c r="M71" s="4"/>
      <c r="N71" s="4"/>
      <c r="O71" s="4"/>
      <c r="P71" s="238"/>
      <c r="Q71"/>
      <c r="R71"/>
      <c r="S71" s="44" t="s">
        <v>80</v>
      </c>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ht="14.25" x14ac:dyDescent="0.15">
      <c r="A72"/>
      <c r="B72" s="236"/>
      <c r="C72" s="168"/>
      <c r="D72" s="4"/>
      <c r="E72" s="4"/>
      <c r="F72" s="4"/>
      <c r="G72" s="108" t="s">
        <v>55</v>
      </c>
      <c r="H72" s="4"/>
      <c r="I72" s="205"/>
      <c r="J72" s="205" t="s">
        <v>78</v>
      </c>
      <c r="K72" s="90" t="s">
        <v>58</v>
      </c>
      <c r="L72" s="4"/>
      <c r="M72" s="108" t="s">
        <v>5</v>
      </c>
      <c r="N72" s="4"/>
      <c r="O72" s="4"/>
      <c r="P72" s="238"/>
      <c r="Q72"/>
      <c r="R72"/>
      <c r="S72" s="44">
        <f>電気排出係数!D5</f>
        <v>5.1199999999999998E-4</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s="16" customFormat="1" ht="13.5" x14ac:dyDescent="0.15">
      <c r="B73" s="645"/>
      <c r="C73" s="112"/>
      <c r="D73" s="113"/>
      <c r="E73" s="4"/>
      <c r="F73" s="177" t="s">
        <v>29</v>
      </c>
      <c r="G73" s="229" t="e">
        <f>G55</f>
        <v>#REF!</v>
      </c>
      <c r="H73" s="4"/>
      <c r="I73" s="205" t="s">
        <v>81</v>
      </c>
      <c r="J73" s="283" t="e">
        <f>IF(#REF!=#REF!,J55-I70,J59*G73)</f>
        <v>#REF!</v>
      </c>
      <c r="K73" s="215">
        <f>K55</f>
        <v>5.4560734426229503E-2</v>
      </c>
      <c r="L73" s="4"/>
      <c r="M73" s="229" t="e">
        <f>J73*K73/G73</f>
        <v>#REF!</v>
      </c>
      <c r="N73" s="115"/>
      <c r="O73" s="115"/>
      <c r="P73" s="170"/>
    </row>
    <row r="74" spans="1:256" s="16" customFormat="1" ht="13.5" x14ac:dyDescent="0.15">
      <c r="B74" s="645"/>
      <c r="C74" s="112"/>
      <c r="D74" s="113"/>
      <c r="E74" s="4"/>
      <c r="F74" s="177"/>
      <c r="G74" s="263"/>
      <c r="H74" s="4"/>
      <c r="I74" s="205"/>
      <c r="J74" s="264"/>
      <c r="K74" s="217"/>
      <c r="L74" s="4"/>
      <c r="M74" s="263"/>
      <c r="N74" s="115"/>
      <c r="O74" s="115"/>
      <c r="P74" s="170"/>
    </row>
    <row r="75" spans="1:256" ht="17.25" thickBot="1" x14ac:dyDescent="0.2">
      <c r="B75" s="207" t="s">
        <v>82</v>
      </c>
      <c r="C75" s="91"/>
      <c r="D75" s="90"/>
      <c r="E75" s="91"/>
      <c r="F75" s="91"/>
      <c r="G75" s="424"/>
      <c r="H75" s="424"/>
      <c r="I75" s="424"/>
      <c r="J75" s="424"/>
      <c r="K75" s="424"/>
      <c r="L75" s="111"/>
      <c r="M75" s="108" t="s">
        <v>5</v>
      </c>
      <c r="N75" s="91"/>
      <c r="O75" s="91"/>
      <c r="P75" s="150" t="s">
        <v>5</v>
      </c>
      <c r="S75"/>
    </row>
    <row r="76" spans="1:256" ht="18" customHeight="1" x14ac:dyDescent="0.15">
      <c r="B76" s="149"/>
      <c r="C76" s="91"/>
      <c r="D76" s="90"/>
      <c r="E76" s="91"/>
      <c r="F76" s="91"/>
      <c r="G76" s="424"/>
      <c r="H76" s="424"/>
      <c r="I76" s="424"/>
      <c r="J76" s="424"/>
      <c r="K76" s="424"/>
      <c r="L76" s="111"/>
      <c r="M76" s="143" t="s">
        <v>8</v>
      </c>
      <c r="N76" s="91"/>
      <c r="O76" s="94"/>
      <c r="P76" s="143" t="s">
        <v>9</v>
      </c>
      <c r="S76" t="s">
        <v>76</v>
      </c>
    </row>
    <row r="77" spans="1:256" ht="18" customHeight="1" x14ac:dyDescent="0.15">
      <c r="B77" s="637"/>
      <c r="C77" s="133" t="s">
        <v>83</v>
      </c>
      <c r="D77" s="109"/>
      <c r="E77" s="109"/>
      <c r="F77" s="109"/>
      <c r="G77" s="439"/>
      <c r="H77" s="424"/>
      <c r="I77" s="424"/>
      <c r="J77" s="424"/>
      <c r="K77" s="424"/>
      <c r="L77" s="111"/>
      <c r="M77" s="144" t="e">
        <f>M30</f>
        <v>#REF!</v>
      </c>
      <c r="N77" s="91"/>
      <c r="O77" s="91"/>
      <c r="P77" s="144" t="e">
        <f>P30</f>
        <v>#REF!</v>
      </c>
    </row>
    <row r="78" spans="1:256" ht="18" customHeight="1" x14ac:dyDescent="0.15">
      <c r="B78" s="637"/>
      <c r="C78" s="133" t="s">
        <v>84</v>
      </c>
      <c r="D78" s="109"/>
      <c r="E78" s="109"/>
      <c r="F78" s="109"/>
      <c r="G78" s="439"/>
      <c r="H78" s="424"/>
      <c r="I78" s="424"/>
      <c r="J78" s="424"/>
      <c r="K78" s="424"/>
      <c r="L78" s="111"/>
      <c r="M78" s="144" t="e">
        <f>M49</f>
        <v>#REF!</v>
      </c>
      <c r="N78" s="91"/>
      <c r="O78" s="91"/>
      <c r="P78" s="144" t="e">
        <f>P49</f>
        <v>#REF!</v>
      </c>
    </row>
    <row r="79" spans="1:256" ht="18" customHeight="1" x14ac:dyDescent="0.15">
      <c r="B79" s="637"/>
      <c r="C79" s="133" t="s">
        <v>85</v>
      </c>
      <c r="D79" s="109"/>
      <c r="E79" s="109"/>
      <c r="F79" s="109"/>
      <c r="G79" s="439"/>
      <c r="H79" s="424"/>
      <c r="I79" s="424"/>
      <c r="J79" s="424"/>
      <c r="K79" s="424"/>
      <c r="L79" s="111"/>
      <c r="M79" s="164" t="e">
        <f>M69</f>
        <v>#REF!</v>
      </c>
      <c r="N79" s="91"/>
      <c r="O79" s="91"/>
      <c r="P79" s="145" t="e">
        <f>P52</f>
        <v>#REF!</v>
      </c>
    </row>
    <row r="80" spans="1:256" ht="18" customHeight="1" thickBot="1" x14ac:dyDescent="0.2">
      <c r="B80" s="646"/>
      <c r="C80" s="156" t="s">
        <v>86</v>
      </c>
      <c r="D80" s="157"/>
      <c r="E80" s="158"/>
      <c r="F80" s="158"/>
      <c r="G80" s="159"/>
      <c r="H80" s="647"/>
      <c r="I80" s="648"/>
      <c r="J80" s="648"/>
      <c r="K80" s="648"/>
      <c r="L80" s="160"/>
      <c r="M80" s="165" t="e">
        <f>SUM(M77:M79)</f>
        <v>#REF!</v>
      </c>
      <c r="N80" s="161"/>
      <c r="O80" s="161"/>
      <c r="P80" s="146" t="e">
        <f>IF(COUNTIF(P77:P79,$S$76)&gt;0,$S$76,SUM(P77:P79))</f>
        <v>#REF!</v>
      </c>
    </row>
    <row r="81" spans="3:12" ht="11.25" customHeight="1" x14ac:dyDescent="0.15">
      <c r="C81" s="13"/>
      <c r="D81" s="82"/>
      <c r="E81" s="13"/>
      <c r="F81" s="13"/>
      <c r="G81" s="636"/>
      <c r="H81" s="636"/>
      <c r="I81" s="636"/>
      <c r="J81" s="636"/>
      <c r="K81" s="636"/>
      <c r="L81" s="83"/>
    </row>
    <row r="82" spans="3:12" ht="18" hidden="1" customHeight="1" x14ac:dyDescent="0.15">
      <c r="G82" s="638"/>
      <c r="H82" s="638"/>
      <c r="I82" s="638"/>
      <c r="J82" s="638"/>
      <c r="K82" s="638"/>
    </row>
    <row r="83" spans="3:12" ht="18" hidden="1" customHeight="1" x14ac:dyDescent="0.15">
      <c r="G83" s="638"/>
      <c r="H83" s="638"/>
      <c r="I83" s="638"/>
      <c r="J83" s="638"/>
      <c r="K83" s="638"/>
    </row>
    <row r="84" spans="3:12" ht="18" hidden="1" customHeight="1" x14ac:dyDescent="0.15">
      <c r="G84" s="638"/>
      <c r="H84" s="638"/>
      <c r="I84" s="638"/>
      <c r="J84" s="638"/>
      <c r="K84" s="638"/>
    </row>
    <row r="85" spans="3:12" ht="18" hidden="1" customHeight="1" x14ac:dyDescent="0.15">
      <c r="G85" s="638"/>
      <c r="H85" s="638"/>
      <c r="I85" s="638"/>
      <c r="J85" s="638"/>
      <c r="K85" s="638"/>
    </row>
    <row r="86" spans="3:12" ht="18" hidden="1" customHeight="1" x14ac:dyDescent="0.15">
      <c r="G86" s="638"/>
      <c r="H86" s="638"/>
      <c r="I86" s="638"/>
      <c r="J86" s="638"/>
      <c r="K86" s="638"/>
    </row>
    <row r="87" spans="3:12" ht="18" hidden="1" customHeight="1" x14ac:dyDescent="0.15">
      <c r="G87" s="638"/>
      <c r="H87" s="638"/>
      <c r="I87" s="638"/>
      <c r="J87" s="638"/>
      <c r="K87" s="638"/>
    </row>
    <row r="88" spans="3:12" ht="18" hidden="1" customHeight="1" x14ac:dyDescent="0.15">
      <c r="G88" s="638"/>
      <c r="H88" s="638"/>
      <c r="I88" s="638"/>
      <c r="J88" s="638"/>
      <c r="K88" s="638"/>
    </row>
    <row r="89" spans="3:12" ht="18" hidden="1" customHeight="1" x14ac:dyDescent="0.15">
      <c r="G89" s="638"/>
      <c r="H89" s="638"/>
      <c r="I89" s="638"/>
      <c r="J89" s="638"/>
      <c r="K89" s="638"/>
    </row>
    <row r="90" spans="3:12" ht="18" hidden="1" customHeight="1" x14ac:dyDescent="0.15">
      <c r="G90" s="638"/>
      <c r="H90" s="638"/>
      <c r="I90" s="638"/>
      <c r="J90" s="638"/>
      <c r="K90" s="638"/>
    </row>
    <row r="91" spans="3:12" ht="18" hidden="1" customHeight="1" x14ac:dyDescent="0.15">
      <c r="G91" s="638"/>
      <c r="H91" s="638"/>
      <c r="I91" s="638"/>
      <c r="J91" s="638"/>
      <c r="K91" s="638"/>
    </row>
    <row r="92" spans="3:12" ht="18" hidden="1" customHeight="1" x14ac:dyDescent="0.15">
      <c r="G92" s="638"/>
      <c r="H92" s="638"/>
      <c r="I92" s="638"/>
      <c r="J92" s="638"/>
      <c r="K92" s="638"/>
    </row>
    <row r="93" spans="3:12" ht="18" hidden="1" customHeight="1" x14ac:dyDescent="0.15">
      <c r="G93" s="638"/>
      <c r="H93" s="638"/>
      <c r="I93" s="638"/>
      <c r="J93" s="638"/>
      <c r="K93" s="638"/>
    </row>
    <row r="94" spans="3:12" ht="18" hidden="1" customHeight="1" x14ac:dyDescent="0.15">
      <c r="G94" s="638"/>
      <c r="H94" s="638"/>
      <c r="I94" s="638"/>
      <c r="J94" s="638"/>
      <c r="K94" s="638"/>
    </row>
    <row r="95" spans="3:12" ht="18" hidden="1" customHeight="1" x14ac:dyDescent="0.15">
      <c r="G95" s="638"/>
      <c r="H95" s="638"/>
      <c r="I95" s="638"/>
      <c r="J95" s="638"/>
      <c r="K95" s="638"/>
    </row>
    <row r="96" spans="3:12" ht="18" hidden="1" customHeight="1" x14ac:dyDescent="0.15">
      <c r="G96" s="638"/>
      <c r="H96" s="638"/>
      <c r="I96" s="638"/>
      <c r="J96" s="638"/>
      <c r="K96" s="638"/>
    </row>
    <row r="97" ht="18" hidden="1" customHeight="1" x14ac:dyDescent="0.15"/>
    <row r="98" ht="18" hidden="1" customHeight="1" x14ac:dyDescent="0.15"/>
    <row r="99" ht="18" hidden="1" customHeight="1" x14ac:dyDescent="0.15"/>
    <row r="100" ht="18" hidden="1" customHeight="1" x14ac:dyDescent="0.15"/>
    <row r="101" ht="18" hidden="1" customHeight="1" x14ac:dyDescent="0.15"/>
    <row r="102" ht="18" hidden="1" customHeight="1" x14ac:dyDescent="0.15"/>
    <row r="103" ht="18" hidden="1" customHeight="1" x14ac:dyDescent="0.15"/>
    <row r="104" ht="18" hidden="1" customHeight="1" x14ac:dyDescent="0.15"/>
    <row r="105" ht="18" hidden="1" customHeight="1" x14ac:dyDescent="0.15"/>
    <row r="106" ht="18" hidden="1" customHeight="1" x14ac:dyDescent="0.15"/>
    <row r="107" ht="18" hidden="1" customHeight="1" x14ac:dyDescent="0.15"/>
    <row r="108" ht="18" hidden="1" customHeight="1" x14ac:dyDescent="0.15"/>
    <row r="109" ht="18" hidden="1" customHeight="1" x14ac:dyDescent="0.15"/>
    <row r="110" ht="18" hidden="1" customHeight="1" x14ac:dyDescent="0.15"/>
    <row r="111" ht="18" hidden="1" customHeight="1" x14ac:dyDescent="0.15"/>
    <row r="112" ht="18" hidden="1" customHeight="1" x14ac:dyDescent="0.15"/>
    <row r="113" ht="18" hidden="1" customHeight="1" x14ac:dyDescent="0.15"/>
    <row r="114" ht="18" hidden="1" customHeight="1" x14ac:dyDescent="0.15"/>
    <row r="115" ht="18" hidden="1" customHeight="1" x14ac:dyDescent="0.15"/>
    <row r="116" ht="18" hidden="1" customHeight="1" x14ac:dyDescent="0.15"/>
    <row r="117" ht="18" hidden="1" customHeight="1" x14ac:dyDescent="0.15"/>
    <row r="118" ht="18" hidden="1" customHeight="1" x14ac:dyDescent="0.15"/>
    <row r="119" ht="18" hidden="1" customHeight="1" x14ac:dyDescent="0.15"/>
    <row r="120" ht="18" hidden="1" customHeight="1" x14ac:dyDescent="0.15"/>
    <row r="121" ht="18" hidden="1" customHeight="1" x14ac:dyDescent="0.15"/>
    <row r="122" ht="18" hidden="1" customHeight="1" x14ac:dyDescent="0.15"/>
    <row r="123" ht="18" hidden="1" customHeight="1" x14ac:dyDescent="0.15"/>
    <row r="124" ht="18" hidden="1" customHeight="1" x14ac:dyDescent="0.15"/>
    <row r="125" ht="18" hidden="1" customHeight="1" x14ac:dyDescent="0.15"/>
    <row r="126" ht="18" hidden="1" customHeight="1" x14ac:dyDescent="0.15"/>
    <row r="127" ht="18" hidden="1" customHeight="1" x14ac:dyDescent="0.15"/>
    <row r="128" ht="18" hidden="1" customHeight="1" x14ac:dyDescent="0.15"/>
    <row r="129" ht="18" hidden="1" customHeight="1" x14ac:dyDescent="0.15"/>
    <row r="130" ht="18" hidden="1" customHeight="1" x14ac:dyDescent="0.15"/>
    <row r="131" ht="18" hidden="1" customHeight="1" x14ac:dyDescent="0.15"/>
    <row r="132" ht="18" hidden="1" customHeight="1" x14ac:dyDescent="0.15"/>
    <row r="133" ht="18" hidden="1" customHeight="1" x14ac:dyDescent="0.15"/>
    <row r="134" ht="18" hidden="1" customHeight="1" x14ac:dyDescent="0.15"/>
    <row r="135" ht="18" hidden="1" customHeight="1" x14ac:dyDescent="0.15"/>
  </sheetData>
  <mergeCells count="7">
    <mergeCell ref="L35:M35"/>
    <mergeCell ref="O35:P35"/>
    <mergeCell ref="L2:M2"/>
    <mergeCell ref="L3:M3"/>
    <mergeCell ref="L9:M9"/>
    <mergeCell ref="O9:P9"/>
    <mergeCell ref="L20:M20"/>
  </mergeCells>
  <phoneticPr fontId="4"/>
  <conditionalFormatting sqref="I20">
    <cfRule type="cellIs" dxfId="55" priority="1" stopIfTrue="1" operator="equal">
      <formula>5</formula>
    </cfRule>
    <cfRule type="cellIs" dxfId="54" priority="2" stopIfTrue="1" operator="equal">
      <formula>4</formula>
    </cfRule>
    <cfRule type="cellIs" dxfId="53" priority="3" stopIfTrue="1" operator="equal">
      <formula>2</formula>
    </cfRule>
  </conditionalFormatting>
  <conditionalFormatting sqref="Q5:IV6 I7 Q7:Q8 R7:IV17 I9 Q11:Q17 Q18:IV32 G19 G30:G31 Q33:Q34 R33:IV50 I35 Q37:Q50 G49:G50 Q51:IV51 Q73:R65556 T73:IV65556 F77 S77:S65556 F79">
    <cfRule type="cellIs" dxfId="52" priority="4" stopIfTrue="1" operator="equal">
      <formula>5</formula>
    </cfRule>
    <cfRule type="cellIs" dxfId="51" priority="5" stopIfTrue="1" operator="equal">
      <formula>4</formula>
    </cfRule>
    <cfRule type="cellIs" dxfId="50" priority="6" stopIfTrue="1" operator="equal">
      <formula>2</formula>
    </cfRule>
  </conditionalFormatting>
  <printOptions horizontalCentered="1"/>
  <pageMargins left="1.1811023622047245" right="0.98425196850393704" top="0.78740157480314965" bottom="0.78740157480314965" header="0.51181102362204722" footer="0.51181102362204722"/>
  <pageSetup paperSize="9" scale="62" fitToHeight="0" orientation="portrait" horizontalDpi="300" verticalDpi="300" r:id="rId1"/>
  <headerFooter alignWithMargins="0">
    <oddHeader>&amp;L&amp;F&amp;R&amp;A</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Z104"/>
  <sheetViews>
    <sheetView showGridLines="0" tabSelected="1" zoomScale="70" zoomScaleNormal="70" zoomScaleSheetLayoutView="115" workbookViewId="0">
      <selection activeCell="H7" sqref="H7"/>
    </sheetView>
  </sheetViews>
  <sheetFormatPr defaultColWidth="0" defaultRowHeight="13.5" x14ac:dyDescent="0.15"/>
  <cols>
    <col min="1" max="1" width="2.5" customWidth="1"/>
    <col min="2" max="2" width="2.75" customWidth="1"/>
    <col min="3" max="3" width="15.125" customWidth="1"/>
    <col min="4" max="4" width="11.875" customWidth="1"/>
    <col min="5" max="5" width="13.125" customWidth="1"/>
    <col min="6" max="6" width="17.875" customWidth="1"/>
    <col min="7" max="7" width="11.875" customWidth="1"/>
    <col min="8" max="8" width="27.375" customWidth="1"/>
    <col min="9" max="10" width="14.5" customWidth="1"/>
    <col min="11" max="12" width="1.875" customWidth="1"/>
    <col min="13" max="19" width="8.25" hidden="1" customWidth="1"/>
    <col min="20" max="20" width="4.25" hidden="1" customWidth="1"/>
    <col min="21" max="26" width="8.25" hidden="1" customWidth="1"/>
    <col min="27" max="16384" width="2.5" hidden="1"/>
  </cols>
  <sheetData>
    <row r="1" spans="2:20" x14ac:dyDescent="0.15">
      <c r="B1" s="579" t="s">
        <v>87</v>
      </c>
      <c r="C1" s="579"/>
      <c r="M1" s="395" t="str">
        <f>O1</f>
        <v>CASBEE-戸建（新築）2018年版と共通</v>
      </c>
      <c r="O1" t="s">
        <v>88</v>
      </c>
    </row>
    <row r="2" spans="2:20" ht="23.25" x14ac:dyDescent="0.15">
      <c r="B2" s="580" t="s">
        <v>89</v>
      </c>
      <c r="C2" s="579"/>
      <c r="H2" s="358" t="s">
        <v>90</v>
      </c>
      <c r="M2" s="395" t="str">
        <f>H2</f>
        <v>適合判定ツール</v>
      </c>
      <c r="N2">
        <v>1</v>
      </c>
      <c r="P2" t="str">
        <f>電気排出係数!B9</f>
        <v>北海道電力株式会社</v>
      </c>
      <c r="R2" t="s">
        <v>91</v>
      </c>
    </row>
    <row r="3" spans="2:20" s="172" customFormat="1" x14ac:dyDescent="0.15">
      <c r="B3" s="581" t="s">
        <v>405</v>
      </c>
      <c r="C3" s="581"/>
      <c r="D3" s="1"/>
      <c r="E3" s="1"/>
      <c r="F3" s="1"/>
      <c r="G3" s="1"/>
      <c r="J3" s="1"/>
      <c r="K3" s="1"/>
      <c r="N3" s="172">
        <v>2</v>
      </c>
      <c r="P3" t="str">
        <f>電気排出係数!B10</f>
        <v>東北電力株式会社</v>
      </c>
      <c r="R3" s="285" t="s">
        <v>92</v>
      </c>
      <c r="S3" s="285" t="s">
        <v>93</v>
      </c>
      <c r="T3" s="285" t="s">
        <v>94</v>
      </c>
    </row>
    <row r="4" spans="2:20" ht="5.45" customHeight="1" thickBot="1" x14ac:dyDescent="0.2">
      <c r="R4" s="44"/>
      <c r="S4" s="44"/>
      <c r="T4" s="286"/>
    </row>
    <row r="5" spans="2:20" ht="15" customHeight="1" thickBot="1" x14ac:dyDescent="0.2">
      <c r="B5" s="327" t="s">
        <v>95</v>
      </c>
      <c r="C5" s="328"/>
      <c r="D5" s="328"/>
      <c r="E5" s="328"/>
      <c r="F5" s="328"/>
      <c r="G5" s="328"/>
      <c r="H5" s="328"/>
      <c r="I5" s="328"/>
      <c r="J5" s="328"/>
      <c r="K5" s="329"/>
      <c r="N5">
        <v>4</v>
      </c>
      <c r="P5" t="str">
        <f>電気排出係数!B12</f>
        <v>中部電力株式会社</v>
      </c>
      <c r="R5" s="44">
        <v>2</v>
      </c>
      <c r="S5" s="44">
        <v>0.4</v>
      </c>
      <c r="T5" s="286" t="s">
        <v>96</v>
      </c>
    </row>
    <row r="6" spans="2:20" ht="28.5" customHeight="1" thickTop="1" x14ac:dyDescent="0.15">
      <c r="B6" s="359" t="s">
        <v>97</v>
      </c>
      <c r="C6" s="360"/>
      <c r="D6" s="681" t="s">
        <v>98</v>
      </c>
      <c r="E6" s="682"/>
      <c r="F6" s="683"/>
      <c r="G6" s="360"/>
      <c r="H6" s="589" t="s">
        <v>99</v>
      </c>
      <c r="I6" s="591">
        <v>1.1100000000000001</v>
      </c>
      <c r="J6" s="319" t="s">
        <v>100</v>
      </c>
      <c r="K6" s="341"/>
      <c r="N6">
        <v>5</v>
      </c>
      <c r="P6" t="str">
        <f>電気排出係数!B13</f>
        <v>北陸電力株式会社</v>
      </c>
      <c r="R6" s="44">
        <v>3</v>
      </c>
      <c r="S6" s="44">
        <v>0.5</v>
      </c>
      <c r="T6" s="286" t="s">
        <v>96</v>
      </c>
    </row>
    <row r="7" spans="2:20" ht="15" customHeight="1" x14ac:dyDescent="0.15">
      <c r="B7" s="320" t="s">
        <v>101</v>
      </c>
      <c r="C7" s="319"/>
      <c r="D7" s="708" t="s">
        <v>102</v>
      </c>
      <c r="E7" s="709"/>
      <c r="F7" s="710"/>
      <c r="G7" s="331"/>
      <c r="H7" s="588" t="s">
        <v>103</v>
      </c>
      <c r="I7" s="592">
        <v>1.1100000000000001</v>
      </c>
      <c r="J7" s="319" t="s">
        <v>100</v>
      </c>
      <c r="K7" s="332"/>
      <c r="R7" s="44"/>
      <c r="S7" s="44"/>
      <c r="T7" s="286"/>
    </row>
    <row r="8" spans="2:20" ht="15" customHeight="1" x14ac:dyDescent="0.15">
      <c r="B8" s="320" t="s">
        <v>104</v>
      </c>
      <c r="C8" s="319"/>
      <c r="D8" s="705" t="s">
        <v>404</v>
      </c>
      <c r="E8" s="706"/>
      <c r="F8" s="707"/>
      <c r="G8" s="511"/>
      <c r="H8" s="355" t="s">
        <v>105</v>
      </c>
      <c r="I8" s="593">
        <v>6</v>
      </c>
      <c r="J8" s="590" t="s">
        <v>106</v>
      </c>
      <c r="K8" s="332"/>
      <c r="R8" s="44"/>
      <c r="S8" s="44"/>
      <c r="T8" s="286"/>
    </row>
    <row r="9" spans="2:20" ht="15" customHeight="1" thickBot="1" x14ac:dyDescent="0.2">
      <c r="B9" s="320" t="s">
        <v>107</v>
      </c>
      <c r="C9" s="319"/>
      <c r="D9" s="684" t="s">
        <v>108</v>
      </c>
      <c r="E9" s="685"/>
      <c r="F9" s="686"/>
      <c r="G9" s="511"/>
      <c r="H9" s="355" t="s">
        <v>109</v>
      </c>
      <c r="I9" s="594">
        <v>0</v>
      </c>
      <c r="J9" s="583"/>
      <c r="K9" s="332"/>
      <c r="N9">
        <v>6</v>
      </c>
      <c r="P9" t="str">
        <f>電気排出係数!B14</f>
        <v>関西電力株式会社</v>
      </c>
      <c r="R9" s="44">
        <v>4</v>
      </c>
      <c r="S9" s="44">
        <v>0.6</v>
      </c>
      <c r="T9" s="286" t="s">
        <v>96</v>
      </c>
    </row>
    <row r="10" spans="2:20" ht="15" hidden="1" customHeight="1" x14ac:dyDescent="0.15">
      <c r="B10" s="320" t="s">
        <v>110</v>
      </c>
      <c r="C10" s="319"/>
      <c r="D10" s="463" t="e">
        <f>#REF!</f>
        <v>#REF!</v>
      </c>
      <c r="E10" s="464" t="s">
        <v>111</v>
      </c>
      <c r="F10" s="465" t="s">
        <v>112</v>
      </c>
      <c r="G10" s="348" t="s">
        <v>113</v>
      </c>
      <c r="H10" s="489">
        <v>0.5</v>
      </c>
      <c r="I10" s="491" t="s">
        <v>114</v>
      </c>
      <c r="J10" s="492" t="e">
        <f>VLOOKUP(D10,R4:T13,2)</f>
        <v>#REF!</v>
      </c>
      <c r="K10" s="341"/>
      <c r="M10" t="e">
        <f>IF(J10=Q16,P16,IF(H10="",P17,IF(H10&lt;=J10,P16,P17)))</f>
        <v>#REF!</v>
      </c>
      <c r="N10">
        <v>7</v>
      </c>
      <c r="P10" t="str">
        <f>電気排出係数!B15</f>
        <v>中国電力株式会社</v>
      </c>
      <c r="R10" s="44">
        <v>5</v>
      </c>
      <c r="S10" s="44">
        <v>0.6</v>
      </c>
      <c r="T10" s="44">
        <v>3</v>
      </c>
    </row>
    <row r="11" spans="2:20" ht="15" hidden="1" customHeight="1" x14ac:dyDescent="0.15">
      <c r="B11" s="320"/>
      <c r="C11" s="319"/>
      <c r="D11" s="319"/>
      <c r="E11" s="319"/>
      <c r="F11" s="355"/>
      <c r="G11" s="348" t="s">
        <v>115</v>
      </c>
      <c r="H11" s="489">
        <v>2.8</v>
      </c>
      <c r="I11" s="493" t="s">
        <v>114</v>
      </c>
      <c r="J11" s="494" t="e">
        <f>VLOOKUP(D10,R4:T13,3)</f>
        <v>#REF!</v>
      </c>
      <c r="K11" s="341"/>
      <c r="M11" t="e">
        <f>IF(J11=Q16,P16,IF(H11="",P17,IF(H11&lt;=J11,P16,P17)))</f>
        <v>#REF!</v>
      </c>
      <c r="N11">
        <v>8</v>
      </c>
      <c r="P11" t="str">
        <f>電気排出係数!B16</f>
        <v>四国電力株式会社</v>
      </c>
      <c r="R11" s="44">
        <v>6</v>
      </c>
      <c r="S11" s="44">
        <v>0.6</v>
      </c>
      <c r="T11" s="44">
        <v>2.8</v>
      </c>
    </row>
    <row r="12" spans="2:20" ht="15" hidden="1" customHeight="1" x14ac:dyDescent="0.15">
      <c r="B12" s="320"/>
      <c r="C12" s="319"/>
      <c r="D12" s="319"/>
      <c r="E12" s="319"/>
      <c r="F12" s="355" t="s">
        <v>116</v>
      </c>
      <c r="G12" s="319"/>
      <c r="H12" s="489"/>
      <c r="I12" s="320" t="s">
        <v>117</v>
      </c>
      <c r="J12" s="341"/>
      <c r="K12" s="341"/>
      <c r="P12" t="str">
        <f>電気排出係数!B17</f>
        <v>九州電力株式会社</v>
      </c>
      <c r="R12" s="44">
        <v>7</v>
      </c>
      <c r="S12" s="44">
        <v>0.6</v>
      </c>
      <c r="T12" s="44">
        <v>2.7</v>
      </c>
    </row>
    <row r="13" spans="2:20" ht="15" hidden="1" customHeight="1" x14ac:dyDescent="0.15">
      <c r="B13" s="320"/>
      <c r="C13" s="319"/>
      <c r="D13" s="319"/>
      <c r="E13" s="319"/>
      <c r="F13" s="355" t="s">
        <v>118</v>
      </c>
      <c r="G13" s="319"/>
      <c r="H13" s="490" t="s">
        <v>119</v>
      </c>
      <c r="I13" s="495" t="s">
        <v>120</v>
      </c>
      <c r="J13" s="582"/>
      <c r="K13" s="341"/>
      <c r="P13" t="str">
        <f>電気排出係数!B18</f>
        <v>沖縄電力株式会社</v>
      </c>
      <c r="R13" s="44">
        <v>8</v>
      </c>
      <c r="S13" s="286" t="s">
        <v>96</v>
      </c>
      <c r="T13" s="44">
        <v>3.2</v>
      </c>
    </row>
    <row r="14" spans="2:20" ht="15" customHeight="1" thickTop="1" thickBot="1" x14ac:dyDescent="0.2">
      <c r="B14" s="584" t="s">
        <v>121</v>
      </c>
      <c r="C14" s="392"/>
      <c r="D14" s="392" t="str">
        <f>IF(N14=R16,電気排出係数!B22,"")</f>
        <v>代替値</v>
      </c>
      <c r="E14" s="392">
        <f>電気排出係数!D5</f>
        <v>5.1199999999999998E-4</v>
      </c>
      <c r="F14" s="392" t="s">
        <v>122</v>
      </c>
      <c r="G14" s="585"/>
      <c r="H14" s="357"/>
      <c r="I14" s="687"/>
      <c r="J14" s="687"/>
      <c r="K14" s="453"/>
      <c r="N14" s="44" t="s">
        <v>123</v>
      </c>
      <c r="P14" t="s">
        <v>123</v>
      </c>
    </row>
    <row r="15" spans="2:20" ht="5.0999999999999996" customHeight="1" thickBot="1" x14ac:dyDescent="0.2"/>
    <row r="16" spans="2:20" ht="15" customHeight="1" x14ac:dyDescent="0.15">
      <c r="B16" s="327" t="s">
        <v>124</v>
      </c>
      <c r="C16" s="328"/>
      <c r="D16" s="328"/>
      <c r="E16" s="328"/>
      <c r="F16" s="328"/>
      <c r="G16" s="328"/>
      <c r="H16" s="328"/>
      <c r="I16" s="328"/>
      <c r="J16" s="328"/>
      <c r="K16" s="329"/>
      <c r="N16" s="44" t="s">
        <v>125</v>
      </c>
      <c r="O16" s="44"/>
      <c r="P16" t="s">
        <v>126</v>
      </c>
      <c r="Q16" t="s">
        <v>127</v>
      </c>
      <c r="R16" t="s">
        <v>123</v>
      </c>
    </row>
    <row r="17" spans="2:21" ht="15" customHeight="1" thickBot="1" x14ac:dyDescent="0.2">
      <c r="B17" s="334" t="s">
        <v>128</v>
      </c>
      <c r="C17" s="335"/>
      <c r="D17" s="335"/>
      <c r="E17" s="595"/>
      <c r="F17" s="335"/>
      <c r="G17" s="335"/>
      <c r="H17" s="335"/>
      <c r="I17" s="335"/>
      <c r="J17" s="335"/>
      <c r="K17" s="336"/>
      <c r="P17" t="s">
        <v>129</v>
      </c>
    </row>
    <row r="18" spans="2:21" ht="15" customHeight="1" thickBot="1" x14ac:dyDescent="0.2">
      <c r="B18" s="361"/>
      <c r="C18" s="362"/>
      <c r="D18" s="467"/>
      <c r="E18" t="s">
        <v>130</v>
      </c>
      <c r="K18" s="338"/>
    </row>
    <row r="19" spans="2:21" ht="15" customHeight="1" thickBot="1" x14ac:dyDescent="0.2">
      <c r="B19" s="334" t="s">
        <v>131</v>
      </c>
      <c r="C19" s="335"/>
      <c r="D19" s="596"/>
      <c r="E19" s="335"/>
      <c r="F19" s="335"/>
      <c r="G19" s="335"/>
      <c r="H19" s="335"/>
      <c r="I19" s="335"/>
      <c r="J19" s="335"/>
      <c r="K19" s="336"/>
      <c r="N19" t="s">
        <v>132</v>
      </c>
      <c r="O19" t="s">
        <v>133</v>
      </c>
    </row>
    <row r="20" spans="2:21" ht="15" customHeight="1" thickBot="1" x14ac:dyDescent="0.2">
      <c r="B20" s="337"/>
      <c r="C20" t="s">
        <v>134</v>
      </c>
      <c r="D20" s="597">
        <v>3</v>
      </c>
      <c r="E20" s="363" t="s">
        <v>135</v>
      </c>
      <c r="F20" s="364"/>
      <c r="G20" s="364"/>
      <c r="H20" s="364"/>
      <c r="I20" s="364"/>
      <c r="J20" s="366" t="s">
        <v>28</v>
      </c>
      <c r="K20" s="365"/>
      <c r="M20" s="461">
        <f>O20</f>
        <v>3</v>
      </c>
      <c r="N20" s="462" t="e">
        <f>#REF!</f>
        <v>#REF!</v>
      </c>
      <c r="O20" s="462">
        <f>IF(D18=N16,5,D20)</f>
        <v>3</v>
      </c>
      <c r="Q20" s="172"/>
      <c r="R20" t="s">
        <v>136</v>
      </c>
    </row>
    <row r="21" spans="2:21" ht="15" customHeight="1" x14ac:dyDescent="0.15">
      <c r="B21" s="337"/>
      <c r="D21" s="466" t="s">
        <v>137</v>
      </c>
      <c r="E21" s="319" t="s">
        <v>138</v>
      </c>
      <c r="F21" s="319"/>
      <c r="G21" s="319"/>
      <c r="H21" s="319"/>
      <c r="I21" s="319"/>
      <c r="J21" s="319"/>
      <c r="K21" s="341"/>
      <c r="Q21" s="462">
        <v>3</v>
      </c>
      <c r="R21" s="44">
        <v>30</v>
      </c>
    </row>
    <row r="22" spans="2:21" ht="15" customHeight="1" x14ac:dyDescent="0.15">
      <c r="B22" s="337"/>
      <c r="C22" s="398" t="s">
        <v>139</v>
      </c>
      <c r="D22" s="340" t="s">
        <v>140</v>
      </c>
      <c r="E22" s="319" t="s">
        <v>141</v>
      </c>
      <c r="F22" s="319"/>
      <c r="G22" s="319"/>
      <c r="H22" s="319"/>
      <c r="I22" s="319"/>
      <c r="J22" s="319"/>
      <c r="K22" s="341"/>
      <c r="M22" s="396">
        <f>VLOOKUP(M20,Q21:R23,2,FALSE)</f>
        <v>30</v>
      </c>
      <c r="N22" t="s">
        <v>43</v>
      </c>
      <c r="Q22" s="462">
        <v>4</v>
      </c>
      <c r="R22" s="44">
        <v>60</v>
      </c>
    </row>
    <row r="23" spans="2:21" ht="15" customHeight="1" x14ac:dyDescent="0.15">
      <c r="B23" s="337"/>
      <c r="C23" s="397" t="str">
        <f>M22&amp;"年"</f>
        <v>30年</v>
      </c>
      <c r="D23" s="342" t="s">
        <v>142</v>
      </c>
      <c r="E23" t="s">
        <v>143</v>
      </c>
      <c r="K23" s="338"/>
      <c r="Q23" s="462">
        <v>5</v>
      </c>
      <c r="R23" s="44">
        <v>90</v>
      </c>
    </row>
    <row r="24" spans="2:21" ht="15" customHeight="1" x14ac:dyDescent="0.15">
      <c r="B24" s="343" t="s">
        <v>144</v>
      </c>
      <c r="C24" s="344" t="s">
        <v>145</v>
      </c>
      <c r="D24" s="344"/>
      <c r="E24" s="344"/>
      <c r="F24" s="344"/>
      <c r="G24" s="344"/>
      <c r="H24" s="344"/>
      <c r="I24" s="344"/>
      <c r="J24" s="344"/>
      <c r="K24" s="345"/>
    </row>
    <row r="25" spans="2:21" ht="15" customHeight="1" x14ac:dyDescent="0.15">
      <c r="B25" s="325" t="s">
        <v>3</v>
      </c>
      <c r="E25" s="613"/>
      <c r="F25" s="613"/>
      <c r="G25" s="613"/>
      <c r="J25" s="614" t="str">
        <f>IF(N27=1,"",N28)</f>
        <v/>
      </c>
      <c r="K25" s="615"/>
    </row>
    <row r="26" spans="2:21" ht="15" customHeight="1" thickBot="1" x14ac:dyDescent="0.2">
      <c r="B26" s="325"/>
      <c r="C26" s="711" t="s">
        <v>146</v>
      </c>
      <c r="D26" s="712"/>
      <c r="E26" s="616" t="s">
        <v>147</v>
      </c>
      <c r="F26" s="616" t="s">
        <v>148</v>
      </c>
      <c r="G26" s="616" t="s">
        <v>149</v>
      </c>
      <c r="H26" s="617"/>
      <c r="I26" s="472"/>
      <c r="J26" s="618" t="s">
        <v>150</v>
      </c>
      <c r="K26" s="502"/>
      <c r="N26" t="s">
        <v>151</v>
      </c>
      <c r="O26" s="44" t="s">
        <v>152</v>
      </c>
      <c r="P26" s="44"/>
      <c r="Q26" s="44"/>
      <c r="R26" s="462">
        <v>1</v>
      </c>
      <c r="U26" t="s">
        <v>153</v>
      </c>
    </row>
    <row r="27" spans="2:21" ht="20.100000000000001" customHeight="1" x14ac:dyDescent="0.15">
      <c r="B27" s="337"/>
      <c r="C27" s="619" t="s">
        <v>154</v>
      </c>
      <c r="D27" s="368"/>
      <c r="E27" s="620">
        <v>1</v>
      </c>
      <c r="F27" s="621"/>
      <c r="G27" s="622">
        <f>IF(F27=0,0,VLOOKUP(F27,D31:J36,7))</f>
        <v>0</v>
      </c>
      <c r="H27" s="702"/>
      <c r="I27" s="703"/>
      <c r="J27" s="703"/>
      <c r="K27" s="704"/>
      <c r="N27" s="485">
        <f>SUM(E27:E29)</f>
        <v>1</v>
      </c>
      <c r="O27" s="44" t="s">
        <v>155</v>
      </c>
      <c r="P27" s="44"/>
      <c r="Q27" s="44"/>
      <c r="R27" s="462">
        <v>2</v>
      </c>
    </row>
    <row r="28" spans="2:21" ht="20.100000000000001" customHeight="1" x14ac:dyDescent="0.15">
      <c r="B28" s="337"/>
      <c r="C28" s="619" t="s">
        <v>156</v>
      </c>
      <c r="D28" s="368"/>
      <c r="E28" s="623">
        <v>0</v>
      </c>
      <c r="F28" s="624"/>
      <c r="G28" s="622">
        <f>IF(F28=0,0,VLOOKUP(F28,D38:J41,7))</f>
        <v>0</v>
      </c>
      <c r="H28" s="702"/>
      <c r="I28" s="703"/>
      <c r="J28" s="703"/>
      <c r="K28" s="704"/>
      <c r="N28" t="s">
        <v>157</v>
      </c>
      <c r="O28" s="44" t="s">
        <v>158</v>
      </c>
      <c r="P28" s="44"/>
      <c r="Q28" s="44"/>
      <c r="R28" s="462">
        <v>3</v>
      </c>
    </row>
    <row r="29" spans="2:21" ht="25.15" customHeight="1" thickBot="1" x14ac:dyDescent="0.2">
      <c r="B29" s="337"/>
      <c r="C29" s="625" t="s">
        <v>159</v>
      </c>
      <c r="D29" s="626"/>
      <c r="E29" s="627">
        <v>0</v>
      </c>
      <c r="F29" s="628"/>
      <c r="G29" s="629">
        <f>IF(F29=0,0,VLOOKUP(F29,D43:J46,7))</f>
        <v>0</v>
      </c>
      <c r="H29" s="702"/>
      <c r="I29" s="703"/>
      <c r="J29" s="703"/>
      <c r="K29" s="704"/>
      <c r="O29" s="44" t="s">
        <v>160</v>
      </c>
      <c r="P29" s="44"/>
      <c r="Q29" s="44"/>
      <c r="R29" s="462">
        <v>4</v>
      </c>
    </row>
    <row r="30" spans="2:21" ht="25.15" hidden="1" customHeight="1" x14ac:dyDescent="0.15">
      <c r="B30" s="337"/>
      <c r="C30" s="347" t="s">
        <v>18</v>
      </c>
      <c r="D30" s="340" t="s">
        <v>161</v>
      </c>
      <c r="E30" s="331" t="s">
        <v>162</v>
      </c>
      <c r="F30" s="331"/>
      <c r="G30" s="319"/>
      <c r="H30" s="319"/>
      <c r="I30" s="319"/>
      <c r="J30" s="348" t="s">
        <v>163</v>
      </c>
      <c r="K30" s="341"/>
      <c r="N30" t="s">
        <v>164</v>
      </c>
      <c r="O30" t="s">
        <v>165</v>
      </c>
      <c r="P30" t="s">
        <v>166</v>
      </c>
    </row>
    <row r="31" spans="2:21" ht="25.15" hidden="1" customHeight="1" x14ac:dyDescent="0.15">
      <c r="B31" s="337"/>
      <c r="C31" s="339"/>
      <c r="D31" s="340" t="s">
        <v>167</v>
      </c>
      <c r="E31" s="319" t="s">
        <v>168</v>
      </c>
      <c r="F31" s="319"/>
      <c r="G31" s="319"/>
      <c r="H31" s="319"/>
      <c r="I31" s="319"/>
      <c r="J31" s="509">
        <v>0.02</v>
      </c>
      <c r="K31" s="341"/>
      <c r="N31" s="486" t="e">
        <f>#REF!</f>
        <v>#REF!</v>
      </c>
      <c r="O31" s="486" t="e">
        <f>#REF!</f>
        <v>#REF!</v>
      </c>
      <c r="P31" s="486" t="e">
        <f>#REF!</f>
        <v>#REF!</v>
      </c>
    </row>
    <row r="32" spans="2:21" ht="25.15" hidden="1" customHeight="1" x14ac:dyDescent="0.15">
      <c r="B32" s="337"/>
      <c r="C32" s="349"/>
      <c r="D32" s="340" t="s">
        <v>169</v>
      </c>
      <c r="E32" s="319" t="s">
        <v>170</v>
      </c>
      <c r="F32" s="319"/>
      <c r="G32" s="319"/>
      <c r="H32" s="319"/>
      <c r="I32" s="319"/>
      <c r="J32" s="509">
        <v>5.0000000000000001E-3</v>
      </c>
      <c r="K32" s="341"/>
    </row>
    <row r="33" spans="2:15" ht="25.15" hidden="1" customHeight="1" x14ac:dyDescent="0.15">
      <c r="B33" s="337"/>
      <c r="C33" s="349"/>
      <c r="D33" s="340" t="s">
        <v>171</v>
      </c>
      <c r="E33" s="319" t="s">
        <v>172</v>
      </c>
      <c r="F33" s="319"/>
      <c r="G33" s="319"/>
      <c r="H33" s="319"/>
      <c r="I33" s="319"/>
      <c r="J33" s="509">
        <v>0.02</v>
      </c>
      <c r="K33" s="341"/>
    </row>
    <row r="34" spans="2:15" ht="25.15" hidden="1" customHeight="1" x14ac:dyDescent="0.15">
      <c r="B34" s="337"/>
      <c r="C34" s="339"/>
      <c r="D34" s="340" t="s">
        <v>173</v>
      </c>
      <c r="E34" s="319" t="s">
        <v>174</v>
      </c>
      <c r="F34" s="319"/>
      <c r="G34" s="319"/>
      <c r="H34" s="319"/>
      <c r="I34" s="319"/>
      <c r="J34" s="509">
        <v>0.03</v>
      </c>
      <c r="K34" s="341"/>
    </row>
    <row r="35" spans="2:15" ht="25.15" hidden="1" customHeight="1" x14ac:dyDescent="0.15">
      <c r="B35" s="337"/>
      <c r="C35" s="339"/>
      <c r="D35" s="340" t="s">
        <v>175</v>
      </c>
      <c r="E35" s="319" t="s">
        <v>176</v>
      </c>
      <c r="F35" s="319"/>
      <c r="G35" s="319"/>
      <c r="H35" s="319"/>
      <c r="I35" s="319"/>
      <c r="J35" s="509">
        <v>0.04</v>
      </c>
      <c r="K35" s="341"/>
    </row>
    <row r="36" spans="2:15" ht="25.15" hidden="1" customHeight="1" x14ac:dyDescent="0.15">
      <c r="B36" s="337"/>
      <c r="C36" s="331"/>
      <c r="D36" s="340"/>
      <c r="E36" s="319" t="s">
        <v>177</v>
      </c>
      <c r="F36" s="319"/>
      <c r="G36" s="319"/>
      <c r="H36" s="319"/>
      <c r="I36" s="319"/>
      <c r="J36" s="509">
        <v>0</v>
      </c>
      <c r="K36" s="341"/>
    </row>
    <row r="37" spans="2:15" ht="25.15" hidden="1" customHeight="1" x14ac:dyDescent="0.15">
      <c r="B37" s="337"/>
      <c r="C37" s="347" t="s">
        <v>19</v>
      </c>
      <c r="D37" s="340" t="s">
        <v>161</v>
      </c>
      <c r="E37" s="319" t="s">
        <v>162</v>
      </c>
      <c r="F37" s="319"/>
      <c r="G37" s="319"/>
      <c r="H37" s="319"/>
      <c r="I37" s="319"/>
      <c r="J37" s="487" t="s">
        <v>163</v>
      </c>
      <c r="K37" s="341"/>
    </row>
    <row r="38" spans="2:15" ht="25.15" hidden="1" customHeight="1" x14ac:dyDescent="0.15">
      <c r="B38" s="337"/>
      <c r="C38" s="349"/>
      <c r="D38" s="340" t="s">
        <v>167</v>
      </c>
      <c r="E38" s="319" t="s">
        <v>178</v>
      </c>
      <c r="F38" s="319"/>
      <c r="G38" s="319"/>
      <c r="H38" s="319"/>
      <c r="I38" s="319"/>
      <c r="J38" s="510">
        <v>0.09</v>
      </c>
      <c r="K38" s="341"/>
    </row>
    <row r="39" spans="2:15" ht="25.15" hidden="1" customHeight="1" x14ac:dyDescent="0.15">
      <c r="B39" s="337"/>
      <c r="C39" s="349"/>
      <c r="D39" s="340" t="s">
        <v>169</v>
      </c>
      <c r="E39" s="319" t="s">
        <v>179</v>
      </c>
      <c r="F39" s="319"/>
      <c r="G39" s="319"/>
      <c r="H39" s="319"/>
      <c r="I39" s="319"/>
      <c r="J39" s="510">
        <v>0.02</v>
      </c>
      <c r="K39" s="341"/>
    </row>
    <row r="40" spans="2:15" ht="25.15" hidden="1" customHeight="1" x14ac:dyDescent="0.15">
      <c r="B40" s="337"/>
      <c r="C40" s="339"/>
      <c r="D40" s="340" t="s">
        <v>171</v>
      </c>
      <c r="E40" s="319" t="s">
        <v>180</v>
      </c>
      <c r="F40" s="319"/>
      <c r="G40" s="319"/>
      <c r="H40" s="319"/>
      <c r="I40" s="319"/>
      <c r="J40" s="510">
        <v>0.1</v>
      </c>
      <c r="K40" s="341"/>
    </row>
    <row r="41" spans="2:15" ht="25.15" hidden="1" customHeight="1" x14ac:dyDescent="0.15">
      <c r="B41" s="337"/>
      <c r="C41" s="331"/>
      <c r="D41" s="340"/>
      <c r="E41" s="319" t="s">
        <v>177</v>
      </c>
      <c r="F41" s="319"/>
      <c r="G41" s="319"/>
      <c r="H41" s="319"/>
      <c r="I41" s="319"/>
      <c r="J41" s="487">
        <v>0</v>
      </c>
      <c r="K41" s="341"/>
    </row>
    <row r="42" spans="2:15" ht="25.15" hidden="1" customHeight="1" x14ac:dyDescent="0.15">
      <c r="B42" s="337"/>
      <c r="C42" s="351" t="s">
        <v>20</v>
      </c>
      <c r="D42" s="340" t="s">
        <v>161</v>
      </c>
      <c r="E42" s="319" t="s">
        <v>162</v>
      </c>
      <c r="F42" s="319"/>
      <c r="G42" s="319"/>
      <c r="H42" s="319"/>
      <c r="I42" s="319"/>
      <c r="J42" s="487" t="s">
        <v>163</v>
      </c>
      <c r="K42" s="341"/>
    </row>
    <row r="43" spans="2:15" ht="25.15" hidden="1" customHeight="1" x14ac:dyDescent="0.15">
      <c r="B43" s="337"/>
      <c r="C43" s="339"/>
      <c r="D43" s="340" t="s">
        <v>181</v>
      </c>
      <c r="E43" s="319" t="s">
        <v>179</v>
      </c>
      <c r="F43" s="319"/>
      <c r="G43" s="319"/>
      <c r="H43" s="319"/>
      <c r="I43" s="319"/>
      <c r="J43" s="509">
        <v>0.02</v>
      </c>
      <c r="K43" s="341"/>
    </row>
    <row r="44" spans="2:15" ht="25.15" hidden="1" customHeight="1" x14ac:dyDescent="0.15">
      <c r="B44" s="337"/>
      <c r="C44" s="339"/>
      <c r="D44" s="340" t="s">
        <v>169</v>
      </c>
      <c r="E44" s="319" t="s">
        <v>182</v>
      </c>
      <c r="F44" s="319"/>
      <c r="G44" s="319"/>
      <c r="H44" s="319"/>
      <c r="I44" s="319"/>
      <c r="J44" s="509">
        <v>0.06</v>
      </c>
      <c r="K44" s="341"/>
    </row>
    <row r="45" spans="2:15" ht="25.15" hidden="1" customHeight="1" x14ac:dyDescent="0.15">
      <c r="B45" s="337"/>
      <c r="C45" s="339"/>
      <c r="D45" s="340" t="s">
        <v>171</v>
      </c>
      <c r="E45" s="319" t="s">
        <v>180</v>
      </c>
      <c r="F45" s="319"/>
      <c r="G45" s="319"/>
      <c r="H45" s="319"/>
      <c r="I45" s="319"/>
      <c r="J45" s="509">
        <v>0.08</v>
      </c>
      <c r="K45" s="341"/>
    </row>
    <row r="46" spans="2:15" ht="25.15" hidden="1" customHeight="1" x14ac:dyDescent="0.15">
      <c r="B46" s="330"/>
      <c r="C46" s="331"/>
      <c r="D46" s="352"/>
      <c r="E46" s="319" t="s">
        <v>177</v>
      </c>
      <c r="F46" s="319"/>
      <c r="G46" s="319"/>
      <c r="H46" s="319"/>
      <c r="I46" s="319"/>
      <c r="J46" s="488">
        <v>0</v>
      </c>
      <c r="K46" s="341"/>
    </row>
    <row r="47" spans="2:15" ht="25.15" customHeight="1" x14ac:dyDescent="0.15">
      <c r="B47" s="369" t="s">
        <v>39</v>
      </c>
      <c r="C47" s="333"/>
      <c r="D47" s="333"/>
      <c r="E47" s="298"/>
      <c r="F47" s="298"/>
      <c r="G47" s="298"/>
      <c r="H47" s="298"/>
      <c r="I47" s="298"/>
      <c r="J47" s="298"/>
      <c r="K47" s="378"/>
      <c r="N47" t="s">
        <v>132</v>
      </c>
      <c r="O47" t="s">
        <v>133</v>
      </c>
    </row>
    <row r="48" spans="2:15" ht="15" customHeight="1" thickBot="1" x14ac:dyDescent="0.2">
      <c r="B48" s="337"/>
      <c r="C48" s="370" t="s">
        <v>183</v>
      </c>
      <c r="D48" s="454">
        <f>P49+R49</f>
        <v>1</v>
      </c>
      <c r="E48" s="363" t="s">
        <v>135</v>
      </c>
      <c r="F48" s="364"/>
      <c r="G48" s="364"/>
      <c r="H48" s="364"/>
      <c r="I48" s="364"/>
      <c r="J48" s="366" t="s">
        <v>184</v>
      </c>
      <c r="K48" s="365"/>
      <c r="M48" s="461">
        <f>O48</f>
        <v>1</v>
      </c>
      <c r="N48" s="462" t="e">
        <f>#REF!</f>
        <v>#REF!</v>
      </c>
      <c r="O48" s="462">
        <f>D48</f>
        <v>1</v>
      </c>
    </row>
    <row r="49" spans="2:18" ht="15" customHeight="1" thickBot="1" x14ac:dyDescent="0.2">
      <c r="B49" s="337"/>
      <c r="C49" s="371"/>
      <c r="D49" s="468" t="s">
        <v>185</v>
      </c>
      <c r="E49" s="692" t="s">
        <v>152</v>
      </c>
      <c r="F49" s="693"/>
      <c r="G49" s="693"/>
      <c r="H49" s="693"/>
      <c r="I49" s="694"/>
      <c r="J49" s="347"/>
      <c r="K49" s="341"/>
      <c r="O49" t="s">
        <v>8</v>
      </c>
      <c r="P49" s="291">
        <f>VLOOKUP(E49,O26:R29,4,FALSE)</f>
        <v>1</v>
      </c>
      <c r="Q49" t="s">
        <v>186</v>
      </c>
      <c r="R49" s="44">
        <f>IF(COUNTIF(F50:J50,N16)&gt;0,1,0)</f>
        <v>0</v>
      </c>
    </row>
    <row r="50" spans="2:18" ht="15" customHeight="1" thickBot="1" x14ac:dyDescent="0.2">
      <c r="B50" s="337"/>
      <c r="C50" s="375"/>
      <c r="D50" s="352" t="s">
        <v>186</v>
      </c>
      <c r="E50" s="469" t="s">
        <v>187</v>
      </c>
      <c r="F50" s="477"/>
      <c r="G50" s="376" t="s">
        <v>188</v>
      </c>
      <c r="H50" s="477"/>
      <c r="I50" s="376" t="s">
        <v>189</v>
      </c>
      <c r="J50" s="467"/>
      <c r="K50" s="377"/>
      <c r="N50" t="s">
        <v>132</v>
      </c>
      <c r="O50" t="s">
        <v>133</v>
      </c>
    </row>
    <row r="51" spans="2:18" ht="15" customHeight="1" thickBot="1" x14ac:dyDescent="0.2">
      <c r="B51" s="337"/>
      <c r="C51" s="379" t="s">
        <v>190</v>
      </c>
      <c r="D51" s="459">
        <f>IF(P52+R52&gt;5,5,P52+R52)</f>
        <v>1</v>
      </c>
      <c r="E51" s="363" t="s">
        <v>135</v>
      </c>
      <c r="F51" s="364"/>
      <c r="G51" s="364"/>
      <c r="H51" s="364"/>
      <c r="I51" s="472"/>
      <c r="J51" s="470" t="s">
        <v>191</v>
      </c>
      <c r="K51" s="386"/>
      <c r="M51" s="461">
        <f>O51</f>
        <v>1</v>
      </c>
      <c r="N51" s="462" t="e">
        <f>#REF!</f>
        <v>#REF!</v>
      </c>
      <c r="O51" s="462">
        <f>D51</f>
        <v>1</v>
      </c>
    </row>
    <row r="52" spans="2:18" ht="15" customHeight="1" thickBot="1" x14ac:dyDescent="0.2">
      <c r="B52" s="337"/>
      <c r="C52" s="380" t="s">
        <v>192</v>
      </c>
      <c r="D52" s="468" t="s">
        <v>185</v>
      </c>
      <c r="E52" s="692" t="s">
        <v>152</v>
      </c>
      <c r="F52" s="693"/>
      <c r="G52" s="693"/>
      <c r="H52" s="693"/>
      <c r="I52" s="694"/>
      <c r="K52" s="332"/>
      <c r="O52" t="s">
        <v>8</v>
      </c>
      <c r="P52" s="291">
        <f>VLOOKUP(E52,O26:R29,4,FALSE)</f>
        <v>1</v>
      </c>
      <c r="Q52" t="s">
        <v>186</v>
      </c>
      <c r="R52" s="44">
        <f>IF(C53=P53,R53,R54+R55)</f>
        <v>0</v>
      </c>
    </row>
    <row r="53" spans="2:18" ht="15" customHeight="1" thickBot="1" x14ac:dyDescent="0.2">
      <c r="B53" s="337"/>
      <c r="C53" s="598" t="s">
        <v>193</v>
      </c>
      <c r="D53" s="471" t="s">
        <v>194</v>
      </c>
      <c r="E53" s="473" t="s">
        <v>187</v>
      </c>
      <c r="F53" s="477"/>
      <c r="G53" s="474" t="s">
        <v>188</v>
      </c>
      <c r="H53" s="477"/>
      <c r="I53" s="474"/>
      <c r="J53" s="373"/>
      <c r="K53" s="341"/>
      <c r="O53" t="s">
        <v>195</v>
      </c>
      <c r="P53" t="s">
        <v>193</v>
      </c>
      <c r="R53" s="44">
        <f>IF(COUNTIF(F53:J53,N16)&gt;0,1,0)</f>
        <v>0</v>
      </c>
    </row>
    <row r="54" spans="2:18" ht="15" customHeight="1" x14ac:dyDescent="0.15">
      <c r="B54" s="337"/>
      <c r="C54" s="371"/>
      <c r="D54" s="372" t="s">
        <v>196</v>
      </c>
      <c r="E54" s="695" t="s">
        <v>197</v>
      </c>
      <c r="F54" s="696"/>
      <c r="G54" s="475" t="s">
        <v>187</v>
      </c>
      <c r="H54" s="476"/>
      <c r="I54" s="374" t="s">
        <v>188</v>
      </c>
      <c r="J54" s="476"/>
      <c r="K54" s="341"/>
      <c r="P54" t="s">
        <v>198</v>
      </c>
      <c r="Q54" t="s">
        <v>199</v>
      </c>
      <c r="R54" s="44">
        <f>IF(COUNTIF(H54:J54,N16)&gt;0,1,0)</f>
        <v>0</v>
      </c>
    </row>
    <row r="55" spans="2:18" ht="15" customHeight="1" thickBot="1" x14ac:dyDescent="0.2">
      <c r="B55" s="337"/>
      <c r="C55" s="375"/>
      <c r="D55" s="342"/>
      <c r="E55" s="697" t="s">
        <v>200</v>
      </c>
      <c r="F55" s="698"/>
      <c r="G55" s="469" t="s">
        <v>187</v>
      </c>
      <c r="H55" s="477"/>
      <c r="I55" s="376" t="s">
        <v>188</v>
      </c>
      <c r="J55" s="477"/>
      <c r="K55" s="377"/>
      <c r="N55" t="s">
        <v>132</v>
      </c>
      <c r="O55" t="s">
        <v>133</v>
      </c>
      <c r="Q55" t="s">
        <v>201</v>
      </c>
      <c r="R55" s="44">
        <f>IF(COUNTIF(H55:J55,N16)&gt;0,1,0)</f>
        <v>0</v>
      </c>
    </row>
    <row r="56" spans="2:18" ht="15" customHeight="1" x14ac:dyDescent="0.15">
      <c r="B56" s="337"/>
      <c r="C56" s="379" t="s">
        <v>202</v>
      </c>
      <c r="D56" s="460">
        <f>IF(D18=N16,5,IF(R57&gt;=2,5,IF(R57=1,4,3)))</f>
        <v>3</v>
      </c>
      <c r="E56" s="363" t="s">
        <v>135</v>
      </c>
      <c r="F56" s="364"/>
      <c r="G56" s="364"/>
      <c r="H56" s="364"/>
      <c r="I56" s="364"/>
      <c r="J56" s="366" t="s">
        <v>203</v>
      </c>
      <c r="K56" s="365"/>
      <c r="M56" s="461">
        <f>O56</f>
        <v>3</v>
      </c>
      <c r="N56" s="462" t="e">
        <f>#REF!</f>
        <v>#REF!</v>
      </c>
      <c r="O56" s="462">
        <f>D56</f>
        <v>3</v>
      </c>
    </row>
    <row r="57" spans="2:18" ht="15" customHeight="1" thickBot="1" x14ac:dyDescent="0.2">
      <c r="B57" s="337"/>
      <c r="C57" s="379" t="s">
        <v>204</v>
      </c>
      <c r="D57" s="479" t="s">
        <v>205</v>
      </c>
      <c r="E57" s="699" t="s">
        <v>206</v>
      </c>
      <c r="F57" s="700"/>
      <c r="G57" s="700"/>
      <c r="H57" s="700"/>
      <c r="I57" s="700"/>
      <c r="J57" s="700"/>
      <c r="K57" s="701"/>
      <c r="Q57" s="297" t="s">
        <v>207</v>
      </c>
      <c r="R57" s="299">
        <f>COUNTIF(D58:D61,N16)</f>
        <v>0</v>
      </c>
    </row>
    <row r="58" spans="2:18" ht="20.100000000000001" customHeight="1" x14ac:dyDescent="0.15">
      <c r="B58" s="337"/>
      <c r="C58" s="478"/>
      <c r="D58" s="476"/>
      <c r="E58" s="319" t="s">
        <v>208</v>
      </c>
      <c r="F58" s="319"/>
      <c r="G58" s="319"/>
      <c r="H58" s="319"/>
      <c r="I58" s="319"/>
      <c r="J58" s="319"/>
      <c r="K58" s="341"/>
      <c r="O58" s="462">
        <v>3</v>
      </c>
      <c r="P58" s="297" t="s">
        <v>209</v>
      </c>
      <c r="Q58" s="298"/>
      <c r="R58" s="299"/>
    </row>
    <row r="59" spans="2:18" ht="20.100000000000001" customHeight="1" x14ac:dyDescent="0.15">
      <c r="B59" s="337"/>
      <c r="C59" s="478"/>
      <c r="D59" s="481"/>
      <c r="E59" s="319" t="s">
        <v>210</v>
      </c>
      <c r="F59" s="319"/>
      <c r="G59" s="319"/>
      <c r="H59" s="319"/>
      <c r="I59" s="319"/>
      <c r="J59" s="319"/>
      <c r="K59" s="341"/>
      <c r="O59" s="462">
        <v>4</v>
      </c>
      <c r="P59" s="297" t="s">
        <v>211</v>
      </c>
      <c r="Q59" s="298"/>
      <c r="R59" s="299"/>
    </row>
    <row r="60" spans="2:18" ht="20.100000000000001" customHeight="1" x14ac:dyDescent="0.15">
      <c r="B60" s="337"/>
      <c r="C60" s="478"/>
      <c r="D60" s="481"/>
      <c r="E60" s="690" t="s">
        <v>212</v>
      </c>
      <c r="F60" s="690"/>
      <c r="G60" s="690"/>
      <c r="H60" s="690"/>
      <c r="I60" s="690"/>
      <c r="J60" s="690"/>
      <c r="K60" s="341"/>
      <c r="O60" s="462">
        <v>5</v>
      </c>
      <c r="P60" s="297" t="s">
        <v>213</v>
      </c>
      <c r="Q60" s="298"/>
      <c r="R60" s="299"/>
    </row>
    <row r="61" spans="2:18" ht="20.100000000000001" customHeight="1" thickBot="1" x14ac:dyDescent="0.2">
      <c r="B61" s="350"/>
      <c r="C61" s="375"/>
      <c r="D61" s="482"/>
      <c r="E61" s="691" t="s">
        <v>214</v>
      </c>
      <c r="F61" s="691"/>
      <c r="G61" s="691"/>
      <c r="H61" s="691"/>
      <c r="I61" s="691"/>
      <c r="J61" s="691"/>
      <c r="K61" s="377"/>
    </row>
    <row r="62" spans="2:18" ht="15" customHeight="1" thickBot="1" x14ac:dyDescent="0.2">
      <c r="B62" s="381" t="s">
        <v>215</v>
      </c>
      <c r="C62" s="382"/>
      <c r="D62" s="480"/>
      <c r="E62" s="382"/>
      <c r="F62" s="382"/>
      <c r="G62" s="382"/>
      <c r="H62" s="382"/>
      <c r="I62" s="382"/>
      <c r="J62" s="382"/>
      <c r="K62" s="383"/>
      <c r="O62" t="s">
        <v>216</v>
      </c>
    </row>
    <row r="63" spans="2:18" ht="18.600000000000001" customHeight="1" thickBot="1" x14ac:dyDescent="0.2">
      <c r="B63" s="384"/>
      <c r="C63" s="367" t="s">
        <v>217</v>
      </c>
      <c r="D63" s="385"/>
      <c r="E63" s="385"/>
      <c r="F63" s="385"/>
      <c r="G63" s="630" t="s">
        <v>218</v>
      </c>
      <c r="H63" s="394"/>
      <c r="I63" s="394"/>
      <c r="J63" s="630" t="s">
        <v>218</v>
      </c>
      <c r="K63" s="386"/>
      <c r="O63" s="44" t="s">
        <v>219</v>
      </c>
      <c r="P63" s="498">
        <f>G64</f>
        <v>0</v>
      </c>
      <c r="Q63" s="44" t="s">
        <v>220</v>
      </c>
      <c r="R63" s="498">
        <f>J64</f>
        <v>0</v>
      </c>
    </row>
    <row r="64" spans="2:18" ht="20.100000000000001" customHeight="1" x14ac:dyDescent="0.15">
      <c r="B64" s="384"/>
      <c r="C64" s="497" t="s">
        <v>219</v>
      </c>
      <c r="D64" s="496"/>
      <c r="E64" s="496"/>
      <c r="F64" s="496"/>
      <c r="G64" s="609"/>
      <c r="H64" s="608" t="s">
        <v>398</v>
      </c>
      <c r="I64" s="387"/>
      <c r="J64" s="609"/>
      <c r="K64" s="341"/>
      <c r="O64" s="44" t="s">
        <v>221</v>
      </c>
      <c r="P64" s="499" t="e">
        <f>#REF!</f>
        <v>#REF!</v>
      </c>
      <c r="Q64" s="44" t="s">
        <v>222</v>
      </c>
      <c r="R64" s="498">
        <f t="shared" ref="R64" si="0">J65</f>
        <v>0</v>
      </c>
    </row>
    <row r="65" spans="2:22" ht="20.100000000000001" customHeight="1" x14ac:dyDescent="0.15">
      <c r="B65" s="384"/>
      <c r="C65" s="586" t="s">
        <v>223</v>
      </c>
      <c r="D65" s="587"/>
      <c r="E65" s="587"/>
      <c r="F65" s="587"/>
      <c r="G65" s="610"/>
      <c r="H65" s="608" t="s">
        <v>399</v>
      </c>
      <c r="I65" s="496"/>
      <c r="J65" s="666"/>
      <c r="K65" s="507"/>
      <c r="O65" s="44" t="s">
        <v>224</v>
      </c>
      <c r="P65" s="498">
        <f>G65</f>
        <v>0</v>
      </c>
      <c r="Q65" s="44" t="s">
        <v>225</v>
      </c>
      <c r="R65" s="498" t="e">
        <f>#REF!</f>
        <v>#REF!</v>
      </c>
    </row>
    <row r="66" spans="2:22" ht="20.100000000000001" customHeight="1" x14ac:dyDescent="0.15">
      <c r="B66" s="384"/>
      <c r="C66" s="606" t="s">
        <v>402</v>
      </c>
      <c r="D66" s="496"/>
      <c r="E66" s="496"/>
      <c r="F66" s="496"/>
      <c r="G66" s="610"/>
      <c r="H66" s="608" t="s">
        <v>400</v>
      </c>
      <c r="I66" s="496"/>
      <c r="J66" s="612"/>
      <c r="K66" s="338"/>
      <c r="O66" s="44"/>
      <c r="P66" s="601"/>
      <c r="R66" s="601"/>
    </row>
    <row r="67" spans="2:22" ht="20.100000000000001" customHeight="1" thickBot="1" x14ac:dyDescent="0.2">
      <c r="B67" s="384"/>
      <c r="C67" s="606" t="s">
        <v>403</v>
      </c>
      <c r="D67" s="496"/>
      <c r="E67" s="496"/>
      <c r="F67" s="496"/>
      <c r="G67" s="610"/>
      <c r="H67" s="608" t="s">
        <v>401</v>
      </c>
      <c r="I67" s="496"/>
      <c r="J67" s="667"/>
      <c r="K67" s="338"/>
      <c r="O67" s="44"/>
      <c r="P67" s="601"/>
      <c r="R67" s="601"/>
    </row>
    <row r="68" spans="2:22" ht="20.100000000000001" customHeight="1" thickBot="1" x14ac:dyDescent="0.2">
      <c r="B68" s="384"/>
      <c r="C68" s="607" t="s">
        <v>397</v>
      </c>
      <c r="D68" s="604"/>
      <c r="E68" s="604"/>
      <c r="F68" s="604"/>
      <c r="G68" s="611"/>
      <c r="H68" s="605"/>
      <c r="I68" s="605"/>
      <c r="J68" s="605"/>
      <c r="K68" s="338"/>
      <c r="O68" s="44"/>
      <c r="P68" s="601"/>
      <c r="R68" s="601"/>
    </row>
    <row r="69" spans="2:22" ht="18.600000000000001" customHeight="1" x14ac:dyDescent="0.15">
      <c r="B69" s="384"/>
      <c r="C69" s="603" t="s">
        <v>226</v>
      </c>
      <c r="D69" s="460">
        <f>IF(R70=3,5,IF(R70=2,4,IF(R70=1,3,1)))</f>
        <v>1</v>
      </c>
      <c r="E69" s="363" t="s">
        <v>135</v>
      </c>
      <c r="F69" s="364"/>
      <c r="G69" s="364"/>
      <c r="H69" s="364"/>
      <c r="I69" s="364"/>
      <c r="J69" s="366" t="s">
        <v>227</v>
      </c>
      <c r="K69" s="502"/>
      <c r="M69" s="461">
        <f>O69</f>
        <v>1</v>
      </c>
      <c r="N69" s="462" t="e">
        <f>#REF!</f>
        <v>#REF!</v>
      </c>
      <c r="O69" s="462">
        <f>D69</f>
        <v>1</v>
      </c>
    </row>
    <row r="70" spans="2:22" ht="18.600000000000001" customHeight="1" thickBot="1" x14ac:dyDescent="0.2">
      <c r="B70" s="384"/>
      <c r="C70" s="388"/>
      <c r="D70" s="479" t="s">
        <v>205</v>
      </c>
      <c r="E70" s="699" t="s">
        <v>206</v>
      </c>
      <c r="F70" s="700"/>
      <c r="G70" s="700"/>
      <c r="H70" s="700"/>
      <c r="I70" s="700"/>
      <c r="J70" s="700"/>
      <c r="K70" s="701"/>
      <c r="Q70" s="297" t="s">
        <v>207</v>
      </c>
      <c r="R70" s="299">
        <f>COUNTIF(D71:D73,N16)</f>
        <v>0</v>
      </c>
    </row>
    <row r="71" spans="2:22" ht="18.600000000000001" customHeight="1" x14ac:dyDescent="0.15">
      <c r="B71" s="384"/>
      <c r="C71" s="483"/>
      <c r="D71" s="476"/>
      <c r="E71" s="452" t="s">
        <v>228</v>
      </c>
      <c r="F71" s="455"/>
      <c r="G71" s="387"/>
      <c r="H71" s="387"/>
      <c r="I71" s="387"/>
      <c r="J71" s="456"/>
      <c r="K71" s="389"/>
      <c r="O71" s="462">
        <v>3</v>
      </c>
      <c r="P71" s="297" t="s">
        <v>211</v>
      </c>
      <c r="Q71" s="298"/>
      <c r="R71" s="299"/>
    </row>
    <row r="72" spans="2:22" ht="18.600000000000001" customHeight="1" x14ac:dyDescent="0.15">
      <c r="B72" s="384"/>
      <c r="C72" s="483"/>
      <c r="D72" s="481"/>
      <c r="E72" s="452" t="s">
        <v>229</v>
      </c>
      <c r="F72" s="455"/>
      <c r="G72" s="387"/>
      <c r="H72" s="387"/>
      <c r="I72" s="387"/>
      <c r="J72" s="456"/>
      <c r="K72" s="389"/>
      <c r="O72" s="462">
        <v>4</v>
      </c>
      <c r="P72" s="297" t="s">
        <v>230</v>
      </c>
      <c r="Q72" s="298"/>
      <c r="R72" s="299"/>
    </row>
    <row r="73" spans="2:22" ht="18.600000000000001" customHeight="1" thickBot="1" x14ac:dyDescent="0.2">
      <c r="B73" s="390"/>
      <c r="C73" s="484"/>
      <c r="D73" s="482"/>
      <c r="E73" s="391" t="s">
        <v>231</v>
      </c>
      <c r="F73" s="457"/>
      <c r="G73" s="392"/>
      <c r="H73" s="392"/>
      <c r="I73" s="392"/>
      <c r="J73" s="458"/>
      <c r="K73" s="393"/>
      <c r="O73" s="462">
        <v>5</v>
      </c>
      <c r="P73" s="297" t="s">
        <v>232</v>
      </c>
      <c r="Q73" s="298"/>
      <c r="R73" s="299"/>
    </row>
    <row r="74" spans="2:22" ht="5.0999999999999996" customHeight="1" thickBot="1" x14ac:dyDescent="0.2"/>
    <row r="75" spans="2:22" ht="15" customHeight="1" thickBot="1" x14ac:dyDescent="0.2">
      <c r="B75" s="327" t="s">
        <v>233</v>
      </c>
      <c r="C75" s="353"/>
      <c r="D75" s="353"/>
      <c r="E75" s="353"/>
      <c r="F75" s="353"/>
      <c r="G75" s="353"/>
      <c r="H75" s="353"/>
      <c r="I75" s="353"/>
      <c r="J75" s="353"/>
      <c r="K75" s="354"/>
      <c r="O75" t="s">
        <v>8</v>
      </c>
      <c r="P75" s="291">
        <f>IF(D56=N16,5,IF(R57&gt;=2,5,IF(R57=1,4,3)))</f>
        <v>3</v>
      </c>
    </row>
    <row r="76" spans="2:22" ht="15" customHeight="1" x14ac:dyDescent="0.15">
      <c r="B76" s="325"/>
      <c r="F76" s="410" t="s">
        <v>234</v>
      </c>
      <c r="G76" s="411"/>
      <c r="H76" s="411"/>
      <c r="I76" s="411"/>
      <c r="J76" s="688" t="s">
        <v>235</v>
      </c>
      <c r="K76" s="689"/>
      <c r="O76" s="7" t="s">
        <v>236</v>
      </c>
      <c r="P76" s="163">
        <f>IF(I82&lt;=0,1,IF(I82&lt;=0.5,0.8,IF(I82&lt;=0.75,0.6,IF(I82&lt;=1,0.4,0.2))))</f>
        <v>0.2</v>
      </c>
    </row>
    <row r="77" spans="2:22" ht="15" customHeight="1" x14ac:dyDescent="0.15">
      <c r="B77" s="713" t="str">
        <f>IF(I82&lt;=0,M77,M78)</f>
        <v>不適合</v>
      </c>
      <c r="C77" s="714"/>
      <c r="D77" s="714"/>
      <c r="E77" s="715"/>
      <c r="F77" s="412"/>
      <c r="G77" s="368"/>
      <c r="H77" s="368"/>
      <c r="I77" s="399" t="s">
        <v>8</v>
      </c>
      <c r="J77" s="633" t="s">
        <v>9</v>
      </c>
      <c r="K77" s="400"/>
      <c r="M77" t="s">
        <v>237</v>
      </c>
      <c r="O77" s="7" t="s">
        <v>238</v>
      </c>
      <c r="P77" s="12">
        <f>1-P76</f>
        <v>0.8</v>
      </c>
    </row>
    <row r="78" spans="2:22" ht="15" customHeight="1" x14ac:dyDescent="0.15">
      <c r="B78" s="713"/>
      <c r="C78" s="714"/>
      <c r="D78" s="714"/>
      <c r="E78" s="715"/>
      <c r="F78" s="413" t="s">
        <v>239</v>
      </c>
      <c r="G78" s="401"/>
      <c r="H78" s="402" t="s">
        <v>187</v>
      </c>
      <c r="I78" s="346">
        <f>CO2計算!M78</f>
        <v>1200.5408944352175</v>
      </c>
      <c r="J78" s="356">
        <f>CO2計算!P78</f>
        <v>1200.5408944352175</v>
      </c>
      <c r="K78" s="341"/>
      <c r="M78" t="s">
        <v>240</v>
      </c>
      <c r="O78" t="s">
        <v>241</v>
      </c>
      <c r="P78" s="284"/>
    </row>
    <row r="79" spans="2:22" ht="15" customHeight="1" x14ac:dyDescent="0.15">
      <c r="B79" s="713"/>
      <c r="C79" s="714"/>
      <c r="D79" s="714"/>
      <c r="E79" s="715"/>
      <c r="F79" s="413" t="s">
        <v>242</v>
      </c>
      <c r="G79" s="401"/>
      <c r="H79" s="402" t="s">
        <v>188</v>
      </c>
      <c r="I79" s="346">
        <f>CO2計算!M79</f>
        <v>374.08645392050676</v>
      </c>
      <c r="J79" s="356">
        <f>CO2計算!P79</f>
        <v>357.65775026587238</v>
      </c>
      <c r="K79" s="341"/>
      <c r="O79" s="288" t="s">
        <v>243</v>
      </c>
      <c r="P79" s="289" t="s">
        <v>244</v>
      </c>
      <c r="Q79" s="290" t="e">
        <f>G64-P64</f>
        <v>#REF!</v>
      </c>
      <c r="V79" s="284"/>
    </row>
    <row r="80" spans="2:22" ht="15" customHeight="1" x14ac:dyDescent="0.15">
      <c r="B80" s="713"/>
      <c r="C80" s="714"/>
      <c r="D80" s="714"/>
      <c r="E80" s="715"/>
      <c r="F80" s="413" t="s">
        <v>245</v>
      </c>
      <c r="G80" s="401"/>
      <c r="H80" s="402" t="s">
        <v>189</v>
      </c>
      <c r="I80" s="346">
        <f>CO2計算!M80</f>
        <v>1.9658100000000001</v>
      </c>
      <c r="J80" s="356">
        <f>CO2計算!P80</f>
        <v>1.7094000000000003</v>
      </c>
      <c r="K80" s="341"/>
      <c r="O80" s="288" t="s">
        <v>246</v>
      </c>
      <c r="P80" s="289" t="s">
        <v>247</v>
      </c>
      <c r="Q80" s="290">
        <f>J65</f>
        <v>0</v>
      </c>
    </row>
    <row r="81" spans="2:18" ht="15" customHeight="1" thickBot="1" x14ac:dyDescent="0.2">
      <c r="B81" s="713"/>
      <c r="C81" s="714"/>
      <c r="D81" s="714"/>
      <c r="E81" s="715"/>
      <c r="F81" s="414" t="s">
        <v>248</v>
      </c>
      <c r="G81" s="403"/>
      <c r="H81" s="404" t="s">
        <v>249</v>
      </c>
      <c r="I81" s="416" t="str">
        <f>"(d1)  "&amp;ROUND(CO2計算!M81,2)</f>
        <v>(d1)  1576.59</v>
      </c>
      <c r="J81" s="417" t="str">
        <f>"(d2)  "&amp;ROUND(CO2計算!P81,2)</f>
        <v>(d2)  1559.91</v>
      </c>
      <c r="K81" s="377"/>
      <c r="O81" s="288" t="s">
        <v>250</v>
      </c>
      <c r="P81" s="289" t="s">
        <v>251</v>
      </c>
      <c r="Q81" s="290" t="e">
        <f>G65-P64-J64</f>
        <v>#REF!</v>
      </c>
    </row>
    <row r="82" spans="2:18" ht="15" customHeight="1" thickBot="1" x14ac:dyDescent="0.2">
      <c r="B82" s="317"/>
      <c r="C82" s="318"/>
      <c r="D82" s="318"/>
      <c r="E82" s="318"/>
      <c r="F82" s="415" t="s">
        <v>252</v>
      </c>
      <c r="G82" s="405"/>
      <c r="H82" s="406" t="s">
        <v>253</v>
      </c>
      <c r="I82" s="407">
        <f>ROUNDUP(CO2計算!M81/CO2計算!P81,2)</f>
        <v>1.02</v>
      </c>
      <c r="J82" s="408">
        <v>1</v>
      </c>
      <c r="K82" s="409"/>
      <c r="O82" s="288" t="s">
        <v>254</v>
      </c>
      <c r="P82" s="289" t="s">
        <v>255</v>
      </c>
      <c r="Q82" s="290" t="e">
        <f>#REF!</f>
        <v>#REF!</v>
      </c>
    </row>
    <row r="83" spans="2:18" x14ac:dyDescent="0.15">
      <c r="O83" s="288" t="s">
        <v>256</v>
      </c>
      <c r="P83" s="289" t="s">
        <v>257</v>
      </c>
      <c r="Q83" s="290" t="e">
        <f>Q79-Q81</f>
        <v>#REF!</v>
      </c>
    </row>
    <row r="84" spans="2:18" hidden="1" x14ac:dyDescent="0.15">
      <c r="O84" s="288" t="s">
        <v>258</v>
      </c>
      <c r="P84" s="289" t="s">
        <v>259</v>
      </c>
      <c r="Q84" s="290" t="e">
        <f>Q83+Q82</f>
        <v>#REF!</v>
      </c>
    </row>
    <row r="85" spans="2:18" hidden="1" x14ac:dyDescent="0.15"/>
    <row r="86" spans="2:18" hidden="1" x14ac:dyDescent="0.15">
      <c r="R86" s="287" t="s">
        <v>260</v>
      </c>
    </row>
    <row r="87" spans="2:18" hidden="1" x14ac:dyDescent="0.15">
      <c r="O87" s="44" t="s">
        <v>261</v>
      </c>
      <c r="P87" s="44" t="e">
        <f>Q84/Q79</f>
        <v>#REF!</v>
      </c>
      <c r="Q87" s="44" t="s">
        <v>262</v>
      </c>
      <c r="R87" s="289" t="e">
        <f>IF(P87&gt;=1,P16,P17)</f>
        <v>#REF!</v>
      </c>
    </row>
    <row r="88" spans="2:18" hidden="1" x14ac:dyDescent="0.15">
      <c r="O88" s="44" t="s">
        <v>263</v>
      </c>
      <c r="P88" s="44" t="e">
        <f>Q83/Q79</f>
        <v>#REF!</v>
      </c>
      <c r="Q88" s="44" t="s">
        <v>264</v>
      </c>
      <c r="R88" s="289" t="e">
        <f>IF(P88&gt;=0.2,P16,P17)</f>
        <v>#REF!</v>
      </c>
    </row>
    <row r="89" spans="2:18" hidden="1" x14ac:dyDescent="0.15">
      <c r="R89" s="284" t="s">
        <v>265</v>
      </c>
    </row>
    <row r="90" spans="2:18" hidden="1" x14ac:dyDescent="0.15">
      <c r="Q90" s="300" t="s">
        <v>266</v>
      </c>
      <c r="R90" s="289" t="e">
        <f>IF(AND(R87=P16,R88=P16),P16,P17)</f>
        <v>#REF!</v>
      </c>
    </row>
    <row r="91" spans="2:18" hidden="1" x14ac:dyDescent="0.15">
      <c r="B91" s="325" t="s">
        <v>267</v>
      </c>
      <c r="D91" s="326" t="e">
        <f>IF(AND(F92=P16,F93=P16,F94=P16),P16,P17)</f>
        <v>#REF!</v>
      </c>
    </row>
    <row r="92" spans="2:18" hidden="1" x14ac:dyDescent="0.15">
      <c r="B92" s="320"/>
      <c r="C92" s="319" t="s">
        <v>112</v>
      </c>
      <c r="D92" s="319" t="str">
        <f>G10&amp;"＝"&amp;H10</f>
        <v>U値＝0.5</v>
      </c>
      <c r="E92" s="319" t="str">
        <f>G11&amp;"＝"&amp;H11</f>
        <v>ηAC値＝2.8</v>
      </c>
      <c r="F92" s="323" t="e">
        <f>IF(AND(M10=P16,M11=P16),P16,P17)</f>
        <v>#REF!</v>
      </c>
    </row>
    <row r="93" spans="2:18" hidden="1" x14ac:dyDescent="0.15">
      <c r="B93" s="320"/>
      <c r="C93" s="319" t="s">
        <v>268</v>
      </c>
      <c r="D93" s="319"/>
      <c r="E93" s="321" t="e">
        <f>P88</f>
        <v>#REF!</v>
      </c>
      <c r="F93" s="323" t="e">
        <f>R87</f>
        <v>#REF!</v>
      </c>
    </row>
    <row r="94" spans="2:18" ht="14.25" hidden="1" thickBot="1" x14ac:dyDescent="0.2">
      <c r="B94" s="317"/>
      <c r="C94" s="318" t="s">
        <v>269</v>
      </c>
      <c r="D94" s="318"/>
      <c r="E94" s="322" t="e">
        <f>P87</f>
        <v>#REF!</v>
      </c>
      <c r="F94" s="324" t="e">
        <f>R88</f>
        <v>#REF!</v>
      </c>
    </row>
    <row r="95" spans="2:18" hidden="1" x14ac:dyDescent="0.15"/>
    <row r="96" spans="2:18" hidden="1" x14ac:dyDescent="0.15"/>
    <row r="97" spans="2:10" hidden="1" x14ac:dyDescent="0.15"/>
    <row r="98" spans="2:10" x14ac:dyDescent="0.15">
      <c r="B98" s="480"/>
      <c r="C98" s="480"/>
      <c r="D98" s="480"/>
      <c r="E98" s="480"/>
      <c r="F98" s="480"/>
      <c r="G98" s="480"/>
      <c r="H98" s="480"/>
      <c r="I98" s="480"/>
      <c r="J98" s="480"/>
    </row>
    <row r="99" spans="2:10" x14ac:dyDescent="0.15">
      <c r="B99" s="480"/>
      <c r="C99" s="480"/>
      <c r="D99" s="480"/>
      <c r="E99" s="480"/>
      <c r="F99" s="480"/>
      <c r="G99" s="480"/>
      <c r="H99" s="480"/>
      <c r="I99" s="480"/>
      <c r="J99" s="480"/>
    </row>
    <row r="100" spans="2:10" x14ac:dyDescent="0.15">
      <c r="B100" s="480"/>
      <c r="C100" s="480"/>
      <c r="D100" s="480"/>
      <c r="E100" s="480"/>
      <c r="F100" s="480"/>
      <c r="G100" s="571"/>
      <c r="H100" s="572"/>
      <c r="I100" s="572"/>
      <c r="J100" s="572"/>
    </row>
    <row r="101" spans="2:10" x14ac:dyDescent="0.15">
      <c r="B101" s="480"/>
      <c r="C101" s="480"/>
      <c r="D101" s="480"/>
      <c r="E101" s="480"/>
      <c r="F101" s="480"/>
      <c r="G101" s="571"/>
      <c r="H101" s="572"/>
      <c r="I101" s="572"/>
      <c r="J101" s="572"/>
    </row>
    <row r="102" spans="2:10" x14ac:dyDescent="0.15">
      <c r="B102" s="480"/>
      <c r="C102" s="480"/>
      <c r="D102" s="480"/>
      <c r="E102" s="480"/>
      <c r="F102" s="480"/>
      <c r="G102" s="571"/>
      <c r="H102" s="572"/>
      <c r="I102" s="572"/>
      <c r="J102" s="572"/>
    </row>
    <row r="103" spans="2:10" x14ac:dyDescent="0.15">
      <c r="B103" s="480"/>
      <c r="C103" s="480"/>
      <c r="D103" s="480"/>
      <c r="E103" s="480"/>
      <c r="F103" s="480"/>
      <c r="G103" s="571"/>
      <c r="H103" s="572"/>
      <c r="I103" s="572"/>
      <c r="J103" s="572"/>
    </row>
    <row r="104" spans="2:10" x14ac:dyDescent="0.15">
      <c r="B104" s="480"/>
      <c r="C104" s="480"/>
      <c r="D104" s="480"/>
      <c r="E104" s="480"/>
      <c r="F104" s="480"/>
      <c r="G104" s="480"/>
      <c r="H104" s="474"/>
      <c r="I104" s="474"/>
      <c r="J104" s="474"/>
    </row>
  </sheetData>
  <sheetProtection algorithmName="SHA-512" hashValue="ulYG9ChBVtdxG0WygJSzmIxYhByk8VYLnjxvFF96IkksZZYuFhQaqGeIeeJLz7lCiu7kxj0lNv43Bmb69xZl0Q==" saltValue="I1fSqERchZC1KwWUPvLXhw==" spinCount="100000" sheet="1" objects="1" scenarios="1"/>
  <sortState xmlns:xlrd2="http://schemas.microsoft.com/office/spreadsheetml/2017/richdata2" ref="O26:R29">
    <sortCondition descending="1" ref="O49"/>
  </sortState>
  <mergeCells count="19">
    <mergeCell ref="C26:D26"/>
    <mergeCell ref="B77:E81"/>
    <mergeCell ref="E70:K70"/>
    <mergeCell ref="D6:F6"/>
    <mergeCell ref="D9:F9"/>
    <mergeCell ref="I14:J14"/>
    <mergeCell ref="J76:K76"/>
    <mergeCell ref="E60:J60"/>
    <mergeCell ref="E61:J61"/>
    <mergeCell ref="E49:I49"/>
    <mergeCell ref="E54:F54"/>
    <mergeCell ref="E55:F55"/>
    <mergeCell ref="E52:I52"/>
    <mergeCell ref="E57:K57"/>
    <mergeCell ref="H27:K27"/>
    <mergeCell ref="D8:F8"/>
    <mergeCell ref="H28:K28"/>
    <mergeCell ref="D7:F7"/>
    <mergeCell ref="H29:K29"/>
  </mergeCells>
  <phoneticPr fontId="4"/>
  <conditionalFormatting sqref="D20:K23 D57:K61">
    <cfRule type="expression" dxfId="49" priority="18">
      <formula>$D$18=$N$16</formula>
    </cfRule>
  </conditionalFormatting>
  <conditionalFormatting sqref="D53:K53">
    <cfRule type="expression" dxfId="48" priority="16">
      <formula>$C$53=$P$54</formula>
    </cfRule>
  </conditionalFormatting>
  <conditionalFormatting sqref="D54:K55">
    <cfRule type="expression" dxfId="47" priority="15">
      <formula>$C$53=$P$53</formula>
    </cfRule>
  </conditionalFormatting>
  <conditionalFormatting sqref="E27:E29">
    <cfRule type="expression" dxfId="46" priority="5">
      <formula>OR($N$27&gt;1,$N$27&lt;1)</formula>
    </cfRule>
  </conditionalFormatting>
  <conditionalFormatting sqref="F27">
    <cfRule type="expression" dxfId="45" priority="4">
      <formula>$E$27=0</formula>
    </cfRule>
  </conditionalFormatting>
  <conditionalFormatting sqref="F28:G28">
    <cfRule type="expression" dxfId="44" priority="3">
      <formula>$E$28=0</formula>
    </cfRule>
  </conditionalFormatting>
  <conditionalFormatting sqref="F29:G29">
    <cfRule type="expression" dxfId="43" priority="2">
      <formula>$E$29=0</formula>
    </cfRule>
  </conditionalFormatting>
  <conditionalFormatting sqref="G27">
    <cfRule type="expression" dxfId="42" priority="1">
      <formula>$E$27=0</formula>
    </cfRule>
  </conditionalFormatting>
  <conditionalFormatting sqref="H13">
    <cfRule type="cellIs" dxfId="41" priority="35" stopIfTrue="1" operator="equal">
      <formula>0</formula>
    </cfRule>
  </conditionalFormatting>
  <dataValidations count="10">
    <dataValidation type="list" allowBlank="1" showInputMessage="1" showErrorMessage="1" sqref="D71:D73 J54:J55 D58:D61 H53:H55 F53 D18 J50 H50 F50" xr:uid="{00000000-0002-0000-0100-000000000000}">
      <formula1>$N$16:$O$16</formula1>
    </dataValidation>
    <dataValidation type="list" allowBlank="1" showInputMessage="1" showErrorMessage="1" sqref="N14" xr:uid="{00000000-0002-0000-0100-000001000000}">
      <formula1>$P$2:$P$14</formula1>
    </dataValidation>
    <dataValidation type="list" allowBlank="1" showInputMessage="1" showErrorMessage="1" sqref="D10" xr:uid="{00000000-0002-0000-0100-000002000000}">
      <formula1>$N$2:$N$11</formula1>
    </dataValidation>
    <dataValidation type="list" allowBlank="1" showInputMessage="1" showErrorMessage="1" sqref="F27" xr:uid="{00000000-0002-0000-0100-000003000000}">
      <formula1>$D$31:$D$36</formula1>
    </dataValidation>
    <dataValidation type="list" allowBlank="1" showInputMessage="1" showErrorMessage="1" sqref="F29" xr:uid="{00000000-0002-0000-0100-000004000000}">
      <formula1>$D$43:$D$46</formula1>
    </dataValidation>
    <dataValidation type="list" allowBlank="1" showInputMessage="1" showErrorMessage="1" sqref="F28" xr:uid="{00000000-0002-0000-0100-000005000000}">
      <formula1>$D$38:$D$41</formula1>
    </dataValidation>
    <dataValidation allowBlank="1" showInputMessage="1" sqref="D48 D51" xr:uid="{00000000-0002-0000-0100-000006000000}"/>
    <dataValidation type="list" allowBlank="1" showInputMessage="1" showErrorMessage="1" sqref="C53" xr:uid="{00000000-0002-0000-0100-000007000000}">
      <formula1>$P$53:$P$54</formula1>
    </dataValidation>
    <dataValidation type="list" showInputMessage="1" showErrorMessage="1" sqref="E49 E52" xr:uid="{00000000-0002-0000-0100-000008000000}">
      <formula1>$O$26:$O$29</formula1>
    </dataValidation>
    <dataValidation type="list" allowBlank="1" showInputMessage="1" sqref="D20" xr:uid="{00000000-0002-0000-0100-000009000000}">
      <formula1>$Q$21:$Q$23</formula1>
    </dataValidation>
  </dataValidations>
  <pageMargins left="0.7" right="0.7" top="0.75" bottom="0.75" header="0.3" footer="0.3"/>
  <pageSetup paperSize="9" scale="6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XFC82"/>
  <sheetViews>
    <sheetView showGridLines="0" view="pageBreakPreview" zoomScale="85" zoomScaleNormal="100" zoomScaleSheetLayoutView="85" workbookViewId="0">
      <selection activeCell="F12" sqref="F12"/>
    </sheetView>
  </sheetViews>
  <sheetFormatPr defaultColWidth="0" defaultRowHeight="18" customHeight="1" zeroHeight="1" x14ac:dyDescent="0.15"/>
  <cols>
    <col min="1" max="1" width="2.25" style="13" customWidth="1"/>
    <col min="2" max="2" width="3.625" style="31" customWidth="1"/>
    <col min="3" max="3" width="5.75" style="19" customWidth="1"/>
    <col min="4" max="4" width="4.625" style="18" customWidth="1"/>
    <col min="5" max="5" width="17.375" style="19" customWidth="1"/>
    <col min="6" max="6" width="10.875" style="19" customWidth="1"/>
    <col min="7" max="7" width="9.75" style="15" customWidth="1"/>
    <col min="8" max="8" width="0.5" style="15" customWidth="1"/>
    <col min="9" max="11" width="9.75" style="15" customWidth="1"/>
    <col min="12" max="12" width="9.75" style="14" customWidth="1"/>
    <col min="13" max="13" width="9.75" style="13" customWidth="1"/>
    <col min="14" max="14" width="3.125" style="13" customWidth="1"/>
    <col min="15" max="15" width="11.75" style="13" customWidth="1"/>
    <col min="16" max="16" width="9.5" style="13" customWidth="1"/>
    <col min="17" max="17" width="2" style="13" customWidth="1"/>
    <col min="18" max="18" width="4" style="13" hidden="1" customWidth="1"/>
    <col min="19" max="19" width="9.25" style="13" hidden="1" customWidth="1"/>
    <col min="20" max="255" width="9" style="13" hidden="1"/>
    <col min="256" max="16383" width="1.875" style="13" hidden="1"/>
    <col min="16384" max="16384" width="0" style="13" hidden="1"/>
  </cols>
  <sheetData>
    <row r="1" spans="1:28" s="9" customFormat="1" ht="12.6" customHeight="1" thickBot="1" x14ac:dyDescent="0.25">
      <c r="A1" s="634"/>
      <c r="B1" s="634"/>
      <c r="C1" s="634"/>
      <c r="D1" s="66"/>
      <c r="E1" s="1"/>
      <c r="F1" s="634"/>
      <c r="G1" s="634"/>
      <c r="H1" s="634"/>
      <c r="I1" s="67"/>
      <c r="J1" s="67"/>
      <c r="K1" s="67"/>
      <c r="L1" s="67"/>
      <c r="M1" s="67"/>
      <c r="N1" s="67"/>
      <c r="O1" s="68"/>
      <c r="P1" s="69"/>
      <c r="Q1" s="635"/>
      <c r="R1" s="10"/>
      <c r="S1" s="10"/>
      <c r="T1" s="11"/>
      <c r="U1" s="10"/>
      <c r="V1" s="11"/>
      <c r="W1" s="10"/>
      <c r="X1" s="10"/>
      <c r="Y1" s="10"/>
      <c r="Z1" s="8"/>
      <c r="AA1" s="8"/>
      <c r="AB1" s="8"/>
    </row>
    <row r="2" spans="1:28" s="9" customFormat="1" ht="17.25" x14ac:dyDescent="0.2">
      <c r="A2" s="634"/>
      <c r="B2" s="70" t="str">
        <f>判定!M2</f>
        <v>適合判定ツール</v>
      </c>
      <c r="C2" s="71"/>
      <c r="D2" s="72"/>
      <c r="E2" s="73"/>
      <c r="F2" s="74"/>
      <c r="G2" s="634"/>
      <c r="H2" s="634"/>
      <c r="I2" s="67"/>
      <c r="J2" s="67"/>
      <c r="K2" s="67"/>
      <c r="L2" s="679"/>
      <c r="M2" s="679"/>
      <c r="N2" s="631"/>
      <c r="O2" s="75"/>
      <c r="P2" s="69"/>
      <c r="Q2" s="635"/>
      <c r="R2" s="10"/>
      <c r="S2" s="10"/>
      <c r="T2" s="11"/>
      <c r="U2" s="10"/>
      <c r="V2" s="11"/>
      <c r="W2" s="10"/>
      <c r="X2" s="10"/>
      <c r="Y2" s="10"/>
      <c r="Z2" s="8"/>
      <c r="AA2" s="8"/>
      <c r="AB2" s="8"/>
    </row>
    <row r="3" spans="1:28" s="9" customFormat="1" ht="15.75" customHeight="1" thickBot="1" x14ac:dyDescent="0.25">
      <c r="A3" s="634"/>
      <c r="B3" s="76" t="str">
        <f>判定!D6</f>
        <v>□□□□□□□</v>
      </c>
      <c r="C3" s="77"/>
      <c r="D3" s="78"/>
      <c r="E3" s="79"/>
      <c r="F3" s="80"/>
      <c r="G3" s="634"/>
      <c r="H3" s="634"/>
      <c r="I3" s="67"/>
      <c r="J3" s="67"/>
      <c r="K3" s="67"/>
      <c r="L3" s="680"/>
      <c r="M3" s="680"/>
      <c r="N3" s="632"/>
      <c r="O3" s="81"/>
      <c r="P3" s="69"/>
      <c r="Q3" s="635"/>
      <c r="R3" s="10"/>
      <c r="S3" s="10"/>
      <c r="T3" s="11"/>
      <c r="U3" s="10"/>
      <c r="V3" s="11"/>
      <c r="W3" s="10"/>
      <c r="X3" s="10"/>
      <c r="Y3" s="10"/>
      <c r="Z3" s="8"/>
      <c r="AA3" s="8"/>
      <c r="AB3" s="8"/>
    </row>
    <row r="4" spans="1:28" ht="15" customHeight="1" thickBot="1" x14ac:dyDescent="0.2">
      <c r="B4" s="636"/>
      <c r="C4" s="13"/>
      <c r="D4" s="82"/>
      <c r="E4" s="13"/>
      <c r="F4" s="13"/>
      <c r="G4" s="636"/>
      <c r="H4" s="636"/>
      <c r="I4" s="636"/>
      <c r="J4" s="636"/>
      <c r="K4" s="636"/>
      <c r="L4" s="83"/>
      <c r="P4" s="500"/>
    </row>
    <row r="5" spans="1:28" ht="21" customHeight="1" x14ac:dyDescent="0.15">
      <c r="B5" s="578" t="s">
        <v>270</v>
      </c>
      <c r="C5" s="84"/>
      <c r="D5" s="85"/>
      <c r="E5" s="84"/>
      <c r="F5" s="84"/>
      <c r="G5" s="86"/>
      <c r="H5" s="86"/>
      <c r="I5" s="86"/>
      <c r="J5" s="86"/>
      <c r="K5" s="86"/>
      <c r="L5" s="84"/>
      <c r="M5" s="64"/>
      <c r="N5" s="65"/>
      <c r="O5" s="87"/>
      <c r="P5" s="88"/>
    </row>
    <row r="6" spans="1:28" ht="7.5" customHeight="1" x14ac:dyDescent="0.15">
      <c r="B6" s="637"/>
      <c r="C6" s="89"/>
      <c r="D6" s="90"/>
      <c r="E6" s="91"/>
      <c r="F6" s="91"/>
      <c r="G6" s="424"/>
      <c r="H6" s="424"/>
      <c r="I6" s="424"/>
      <c r="J6" s="424"/>
      <c r="K6" s="424"/>
      <c r="L6" s="92"/>
      <c r="M6" s="91"/>
      <c r="N6" s="91"/>
      <c r="O6" s="91"/>
      <c r="P6" s="148"/>
    </row>
    <row r="7" spans="1:28" ht="18" customHeight="1" x14ac:dyDescent="0.15">
      <c r="B7" s="207" t="s">
        <v>3</v>
      </c>
      <c r="C7" s="91"/>
      <c r="D7" s="90"/>
      <c r="E7" s="91"/>
      <c r="F7" s="91"/>
      <c r="G7" s="424"/>
      <c r="H7" s="424"/>
      <c r="I7" s="91"/>
      <c r="J7" s="424"/>
      <c r="K7" s="424"/>
      <c r="L7" s="424"/>
      <c r="M7" s="91"/>
      <c r="N7" s="424"/>
      <c r="O7" s="424"/>
      <c r="P7" s="150"/>
    </row>
    <row r="8" spans="1:28" ht="18" customHeight="1" thickBot="1" x14ac:dyDescent="0.2">
      <c r="B8" s="637"/>
      <c r="C8" s="168" t="s">
        <v>4</v>
      </c>
      <c r="D8" s="90"/>
      <c r="E8" s="91"/>
      <c r="F8" s="91"/>
      <c r="G8" s="424"/>
      <c r="H8" s="424"/>
      <c r="I8" s="96"/>
      <c r="J8" s="96"/>
      <c r="K8" s="96"/>
      <c r="L8" s="94"/>
      <c r="M8" s="108" t="s">
        <v>271</v>
      </c>
      <c r="N8" s="91"/>
      <c r="O8" s="94"/>
      <c r="P8" s="150" t="s">
        <v>271</v>
      </c>
    </row>
    <row r="9" spans="1:28" ht="18" customHeight="1" x14ac:dyDescent="0.15">
      <c r="B9" s="637"/>
      <c r="C9" s="91" t="s">
        <v>6</v>
      </c>
      <c r="D9" s="90" t="s">
        <v>7</v>
      </c>
      <c r="E9" s="91"/>
      <c r="F9" s="91"/>
      <c r="G9" s="424"/>
      <c r="H9" s="424"/>
      <c r="I9" s="91"/>
      <c r="J9" s="424"/>
      <c r="K9" s="108" t="s">
        <v>271</v>
      </c>
      <c r="L9" s="675" t="s">
        <v>8</v>
      </c>
      <c r="M9" s="676"/>
      <c r="N9" s="424"/>
      <c r="O9" s="677" t="s">
        <v>9</v>
      </c>
      <c r="P9" s="678"/>
      <c r="Q9" s="638"/>
    </row>
    <row r="10" spans="1:28" ht="18" customHeight="1" x14ac:dyDescent="0.15">
      <c r="B10" s="637"/>
      <c r="C10" s="100">
        <v>1</v>
      </c>
      <c r="D10" s="116" t="s">
        <v>10</v>
      </c>
      <c r="E10" s="117"/>
      <c r="F10" s="503" t="s">
        <v>11</v>
      </c>
      <c r="G10" s="503" t="s">
        <v>272</v>
      </c>
      <c r="H10" s="424"/>
      <c r="I10" s="97" t="s">
        <v>12</v>
      </c>
      <c r="J10" s="97" t="s">
        <v>13</v>
      </c>
      <c r="K10" s="98" t="s">
        <v>14</v>
      </c>
      <c r="L10" s="141" t="s">
        <v>15</v>
      </c>
      <c r="M10" s="142" t="s">
        <v>16</v>
      </c>
      <c r="N10" s="91"/>
      <c r="O10" s="141" t="s">
        <v>15</v>
      </c>
      <c r="P10" s="142" t="s">
        <v>16</v>
      </c>
      <c r="Q10" s="638"/>
    </row>
    <row r="11" spans="1:28" ht="18" customHeight="1" x14ac:dyDescent="0.15">
      <c r="B11" s="637"/>
      <c r="C11" s="104"/>
      <c r="D11" s="118">
        <v>1.1000000000000001</v>
      </c>
      <c r="E11" s="117" t="s">
        <v>273</v>
      </c>
      <c r="F11" s="438">
        <f>判定!E27</f>
        <v>1</v>
      </c>
      <c r="G11" s="438">
        <f>判定!G27</f>
        <v>0</v>
      </c>
      <c r="H11" s="424"/>
      <c r="I11" s="438">
        <f>VLOOKUP($R11,CO2データ_㎡!$H$6:$Q$53,2)*判定!$I$7*判定!$I$8+VLOOKUP($R11,CO2データ_戸!$H$6:$Q$53,2)*判定!$I$8</f>
        <v>1200.5408944352175</v>
      </c>
      <c r="J11" s="438">
        <f>VLOOKUP($R11,CO2データ_㎡!$H$6:$Q$53,3)*判定!$I$7*判定!$I$8+VLOOKUP($R11,CO2データ_戸!$H$6:$Q$53,3)*判定!$I$8</f>
        <v>600.27044721760876</v>
      </c>
      <c r="K11" s="438">
        <f>VLOOKUP($R11,CO2データ_㎡!$H$6:$Q$53,4)*判定!$I$7*判定!$I$8+VLOOKUP($R11,CO2データ_戸!$H$6:$Q$53,4)*判定!$I$8</f>
        <v>400.18029814507236</v>
      </c>
      <c r="L11" s="102">
        <f>L38</f>
        <v>3</v>
      </c>
      <c r="M11" s="504">
        <f>IF(L11&gt;=4.5,$K11,IF(L11&gt;=3.5,$J11,IF(L11&gt;=2.5,$I11,IF(L11&gt;=1.5,$H11,$F11))))*(1-G11)</f>
        <v>1200.5408944352175</v>
      </c>
      <c r="N11" s="91"/>
      <c r="O11" s="102">
        <v>3</v>
      </c>
      <c r="P11" s="504">
        <f>CO2データ_㎡!I36*判定!$I$7*判定!$I$8+CO2データ_戸!I36*判定!$I$8</f>
        <v>1200.5408944352175</v>
      </c>
      <c r="R11" s="13">
        <f>R38</f>
        <v>113</v>
      </c>
    </row>
    <row r="12" spans="1:28" ht="18" customHeight="1" x14ac:dyDescent="0.15">
      <c r="B12" s="637"/>
      <c r="C12" s="104"/>
      <c r="D12" s="121"/>
      <c r="E12" s="122" t="s">
        <v>19</v>
      </c>
      <c r="F12" s="438">
        <f>判定!E28</f>
        <v>0</v>
      </c>
      <c r="G12" s="438">
        <f>判定!G28</f>
        <v>0</v>
      </c>
      <c r="H12" s="424"/>
      <c r="I12" s="438">
        <f>VLOOKUP($R12,CO2データ_㎡!$H$6:$Q$53,5)*判定!$I$7*判定!$I$8+VLOOKUP($R12,CO2データ_戸!$H$6:$Q$53,5)*判定!$I$8</f>
        <v>1257.779829447162</v>
      </c>
      <c r="J12" s="438">
        <f>VLOOKUP($R12,CO2データ_㎡!$H$6:$Q$53,6)*判定!$I$7*判定!$I$8+VLOOKUP($R12,CO2データ_戸!$H$6:$Q$53,6)*判定!$I$8</f>
        <v>628.889914723581</v>
      </c>
      <c r="K12" s="438">
        <f>VLOOKUP($R12,CO2データ_㎡!$H$6:$Q$53,7)*判定!$I$7*判定!$I$8+VLOOKUP($R12,CO2データ_戸!$H$6:$Q$53,7)*判定!$I$8</f>
        <v>419.25994314905404</v>
      </c>
      <c r="L12" s="102">
        <f>L11</f>
        <v>3</v>
      </c>
      <c r="M12" s="504">
        <f>IF(L12&gt;=4.5,$K12,IF(L12&gt;=3.5,$J12,IF(L12&gt;=2.5,$I12,IF(L12&gt;=1.5,$H12,$F12))))*(1-G12)</f>
        <v>1257.779829447162</v>
      </c>
      <c r="N12" s="91"/>
      <c r="O12" s="102">
        <v>3</v>
      </c>
      <c r="P12" s="504">
        <f>CO2データ_㎡!L36*判定!$I$7*判定!$I$8+CO2データ_戸!L36*判定!$I$8</f>
        <v>1257.779829447162</v>
      </c>
      <c r="R12" s="13">
        <f>R11</f>
        <v>113</v>
      </c>
    </row>
    <row r="13" spans="1:28" ht="18" customHeight="1" thickBot="1" x14ac:dyDescent="0.2">
      <c r="B13" s="637"/>
      <c r="C13" s="104"/>
      <c r="D13" s="123"/>
      <c r="E13" s="125" t="s">
        <v>20</v>
      </c>
      <c r="F13" s="438">
        <f>判定!E29</f>
        <v>0</v>
      </c>
      <c r="G13" s="438">
        <f>判定!G29</f>
        <v>0</v>
      </c>
      <c r="H13" s="424"/>
      <c r="I13" s="438">
        <f>VLOOKUP($R13,CO2データ_㎡!$H$6:$Q$53,8)*判定!$I$7*判定!$I$8+VLOOKUP($R13,CO2データ_戸!$H$6:$Q$53,8)*判定!$I$8</f>
        <v>1247.28171706637</v>
      </c>
      <c r="J13" s="438">
        <f>VLOOKUP($R13,CO2データ_㎡!$H$6:$Q$53,9)*判定!$I$7*判定!$I$8+VLOOKUP($R13,CO2データ_戸!$H$6:$Q$53,9)*判定!$I$8</f>
        <v>623.640858533185</v>
      </c>
      <c r="K13" s="438">
        <f>VLOOKUP($R13,CO2データ_㎡!$H$6:$Q$53,10)*判定!$I$7*判定!$I$8+VLOOKUP($R13,CO2データ_戸!$H$6:$Q$53,10)*判定!$I$8</f>
        <v>415.7605723554567</v>
      </c>
      <c r="L13" s="102">
        <f>L11</f>
        <v>3</v>
      </c>
      <c r="M13" s="505">
        <f>IF(L13&gt;=4.5,$K13,IF(L13&gt;=3.5,$J13,IF(L13&gt;=2.5,$I13,IF(L13&gt;=1.5,$H13,$F13))))*(1-G13)</f>
        <v>1247.28171706637</v>
      </c>
      <c r="N13" s="91"/>
      <c r="O13" s="102">
        <v>3</v>
      </c>
      <c r="P13" s="505">
        <f>CO2データ_㎡!O36*判定!$I$7*判定!$I$8+CO2データ_㎡!O36*判定!$I$8</f>
        <v>179.66291949362727</v>
      </c>
      <c r="R13" s="13">
        <f>R11</f>
        <v>113</v>
      </c>
    </row>
    <row r="14" spans="1:28" ht="18" customHeight="1" x14ac:dyDescent="0.15">
      <c r="B14" s="637"/>
      <c r="C14" s="104"/>
      <c r="D14" s="126">
        <v>1.2</v>
      </c>
      <c r="E14" s="109" t="s">
        <v>21</v>
      </c>
      <c r="F14" s="109"/>
      <c r="G14" s="439"/>
      <c r="H14" s="424"/>
      <c r="I14" s="424"/>
      <c r="J14" s="424"/>
      <c r="K14" s="424"/>
      <c r="L14" s="135">
        <f>判定!M48</f>
        <v>1</v>
      </c>
      <c r="M14" s="91"/>
      <c r="N14" s="91"/>
      <c r="O14" s="137">
        <v>3</v>
      </c>
      <c r="P14" s="151"/>
    </row>
    <row r="15" spans="1:28" ht="18" customHeight="1" thickBot="1" x14ac:dyDescent="0.2">
      <c r="B15" s="637"/>
      <c r="C15" s="105"/>
      <c r="D15" s="126">
        <v>1.3</v>
      </c>
      <c r="E15" s="109" t="s">
        <v>22</v>
      </c>
      <c r="F15" s="109"/>
      <c r="G15" s="439"/>
      <c r="H15" s="424"/>
      <c r="I15" s="424"/>
      <c r="J15" s="424"/>
      <c r="K15" s="424"/>
      <c r="L15" s="136">
        <f>判定!M51</f>
        <v>1</v>
      </c>
      <c r="M15" s="91"/>
      <c r="N15" s="91"/>
      <c r="O15" s="138">
        <v>3</v>
      </c>
      <c r="P15" s="152"/>
    </row>
    <row r="16" spans="1:28" ht="18" customHeight="1" thickBot="1" x14ac:dyDescent="0.2">
      <c r="B16" s="637"/>
      <c r="C16" s="100">
        <v>2</v>
      </c>
      <c r="D16" s="116" t="s">
        <v>23</v>
      </c>
      <c r="E16" s="117"/>
      <c r="F16" s="117"/>
      <c r="G16" s="440"/>
      <c r="H16" s="424"/>
      <c r="I16" s="424"/>
      <c r="J16" s="424"/>
      <c r="K16" s="424"/>
      <c r="L16" s="441"/>
      <c r="M16" s="91"/>
      <c r="N16" s="91"/>
      <c r="O16" s="127"/>
      <c r="P16" s="148"/>
    </row>
    <row r="17" spans="2:16" ht="17.100000000000001" customHeight="1" thickBot="1" x14ac:dyDescent="0.2">
      <c r="B17" s="637"/>
      <c r="C17" s="105"/>
      <c r="D17" s="126">
        <v>2.2000000000000002</v>
      </c>
      <c r="E17" s="109" t="s">
        <v>24</v>
      </c>
      <c r="F17" s="109"/>
      <c r="G17" s="439"/>
      <c r="H17" s="424"/>
      <c r="I17" s="424"/>
      <c r="J17" s="424"/>
      <c r="K17" s="424"/>
      <c r="L17" s="140">
        <f>判定!M56</f>
        <v>3</v>
      </c>
      <c r="M17" s="91"/>
      <c r="N17" s="91"/>
      <c r="O17" s="140">
        <v>3</v>
      </c>
      <c r="P17" s="148"/>
    </row>
    <row r="18" spans="2:16" ht="13.5" x14ac:dyDescent="0.15">
      <c r="B18" s="637"/>
      <c r="C18" s="91" t="s">
        <v>274</v>
      </c>
      <c r="D18" s="90"/>
      <c r="E18" s="91"/>
      <c r="F18" s="91"/>
      <c r="G18" s="424"/>
      <c r="H18" s="424"/>
      <c r="I18" s="424"/>
      <c r="J18" s="424"/>
      <c r="K18" s="424"/>
      <c r="L18" s="424"/>
      <c r="M18" s="424"/>
      <c r="N18" s="91"/>
      <c r="O18" s="91"/>
      <c r="P18" s="148"/>
    </row>
    <row r="19" spans="2:16" ht="13.5" x14ac:dyDescent="0.15">
      <c r="B19" s="637"/>
      <c r="C19" s="91"/>
      <c r="D19" s="90"/>
      <c r="E19" s="91"/>
      <c r="F19" s="91"/>
      <c r="G19" s="424"/>
      <c r="H19" s="424"/>
      <c r="I19" s="424"/>
      <c r="J19" s="424"/>
      <c r="K19" s="424"/>
      <c r="L19" s="424"/>
      <c r="M19" s="424"/>
      <c r="N19" s="91"/>
      <c r="O19" s="91"/>
      <c r="P19" s="148"/>
    </row>
    <row r="20" spans="2:16" ht="26.1" customHeight="1" thickBot="1" x14ac:dyDescent="0.2">
      <c r="B20" s="637"/>
      <c r="C20" s="168" t="s">
        <v>275</v>
      </c>
      <c r="D20" s="90"/>
      <c r="E20" s="91"/>
      <c r="F20" s="91"/>
      <c r="G20" s="91"/>
      <c r="H20" s="424"/>
      <c r="I20" s="424"/>
      <c r="J20" s="424"/>
      <c r="K20" s="424"/>
      <c r="L20" s="128"/>
      <c r="M20" s="425"/>
      <c r="N20" s="91"/>
      <c r="O20" s="127"/>
      <c r="P20" s="148"/>
    </row>
    <row r="21" spans="2:16" ht="26.1" customHeight="1" x14ac:dyDescent="0.15">
      <c r="B21" s="637"/>
      <c r="C21" s="95"/>
      <c r="D21" s="90"/>
      <c r="E21" s="177" t="s">
        <v>29</v>
      </c>
      <c r="F21" s="229">
        <f>G56</f>
        <v>1.1100000000000001</v>
      </c>
      <c r="G21" s="214" t="s">
        <v>30</v>
      </c>
      <c r="H21" s="424"/>
      <c r="I21" s="91"/>
      <c r="J21" s="424"/>
      <c r="K21" s="108"/>
      <c r="L21" s="675" t="s">
        <v>8</v>
      </c>
      <c r="M21" s="676"/>
      <c r="N21" s="91"/>
      <c r="O21" s="127"/>
      <c r="P21" s="148"/>
    </row>
    <row r="22" spans="2:16" ht="26.1" customHeight="1" x14ac:dyDescent="0.15">
      <c r="B22" s="637"/>
      <c r="C22" s="95"/>
      <c r="D22" s="90"/>
      <c r="E22" s="91"/>
      <c r="F22" s="91"/>
      <c r="G22" s="424"/>
      <c r="H22" s="424"/>
      <c r="I22" s="97" t="s">
        <v>12</v>
      </c>
      <c r="J22" s="97" t="s">
        <v>13</v>
      </c>
      <c r="K22" s="98" t="s">
        <v>14</v>
      </c>
      <c r="L22" s="141" t="s">
        <v>15</v>
      </c>
      <c r="M22" s="269" t="s">
        <v>26</v>
      </c>
      <c r="N22" s="91"/>
      <c r="O22" s="127"/>
      <c r="P22" s="148"/>
    </row>
    <row r="23" spans="2:16" ht="26.1" customHeight="1" thickBot="1" x14ac:dyDescent="0.2">
      <c r="B23" s="637"/>
      <c r="C23" s="95"/>
      <c r="D23" s="90" t="s">
        <v>27</v>
      </c>
      <c r="E23" s="91"/>
      <c r="F23" s="91" t="s">
        <v>28</v>
      </c>
      <c r="G23" s="424"/>
      <c r="H23" s="424"/>
      <c r="I23" s="426">
        <f>CO2データ_㎡!I267</f>
        <v>30</v>
      </c>
      <c r="J23" s="426">
        <f>CO2データ_㎡!J267</f>
        <v>60</v>
      </c>
      <c r="K23" s="426">
        <f>CO2データ_㎡!K267</f>
        <v>90</v>
      </c>
      <c r="L23" s="106">
        <f>L11</f>
        <v>3</v>
      </c>
      <c r="M23" s="427">
        <f>IF(L23&gt;=4.5,$K23,IF(L23&gt;=3.5,$J23,IF(L23&gt;=2.5,$I23,IF(L23&gt;=1.5,$H23,$G23))))</f>
        <v>30</v>
      </c>
      <c r="N23" s="91"/>
      <c r="O23" s="127"/>
      <c r="P23" s="148"/>
    </row>
    <row r="24" spans="2:16" ht="26.1" customHeight="1" x14ac:dyDescent="0.2">
      <c r="B24" s="637"/>
      <c r="C24" s="95"/>
      <c r="D24" s="95"/>
      <c r="E24" s="95"/>
      <c r="F24" s="428" t="s">
        <v>276</v>
      </c>
      <c r="G24" s="428" t="s">
        <v>277</v>
      </c>
      <c r="H24" s="429"/>
      <c r="I24" s="428" t="s">
        <v>54</v>
      </c>
      <c r="J24" s="428" t="s">
        <v>16</v>
      </c>
      <c r="K24" s="430" t="s">
        <v>278</v>
      </c>
      <c r="L24" s="293"/>
      <c r="M24" s="431"/>
      <c r="N24" s="91"/>
      <c r="O24" s="127"/>
      <c r="P24" s="148"/>
    </row>
    <row r="25" spans="2:16" ht="14.25" x14ac:dyDescent="0.2">
      <c r="B25" s="637"/>
      <c r="C25" s="95"/>
      <c r="D25" s="90"/>
      <c r="E25" s="91"/>
      <c r="F25" s="432" t="s">
        <v>78</v>
      </c>
      <c r="G25" s="432" t="s">
        <v>43</v>
      </c>
      <c r="H25" s="429"/>
      <c r="I25" s="432" t="s">
        <v>58</v>
      </c>
      <c r="J25" s="432" t="s">
        <v>279</v>
      </c>
      <c r="K25" s="433" t="s">
        <v>43</v>
      </c>
      <c r="L25" s="429"/>
      <c r="M25" s="294" t="s">
        <v>280</v>
      </c>
      <c r="N25" s="91"/>
      <c r="O25" s="127"/>
      <c r="P25" s="148"/>
    </row>
    <row r="26" spans="2:16" ht="18.95" customHeight="1" x14ac:dyDescent="0.15">
      <c r="B26" s="637"/>
      <c r="C26" s="95"/>
      <c r="D26" s="90" t="s">
        <v>33</v>
      </c>
      <c r="E26" s="91"/>
      <c r="F26" s="270">
        <f>判定!J65</f>
        <v>0</v>
      </c>
      <c r="G26" s="434">
        <v>3</v>
      </c>
      <c r="H26" s="429"/>
      <c r="I26" s="435">
        <f>CO2データ_㎡!K236</f>
        <v>5.4560734426229503E-2</v>
      </c>
      <c r="J26" s="436">
        <f>F26*G26*I26</f>
        <v>0</v>
      </c>
      <c r="K26" s="434">
        <f>判定!M22</f>
        <v>30</v>
      </c>
      <c r="L26" s="296"/>
      <c r="M26" s="437">
        <f>J26/K26</f>
        <v>0</v>
      </c>
      <c r="N26" s="91"/>
      <c r="O26" s="127"/>
      <c r="P26" s="155"/>
    </row>
    <row r="27" spans="2:16" ht="14.25" hidden="1" x14ac:dyDescent="0.15">
      <c r="B27" s="637"/>
      <c r="C27" s="95"/>
      <c r="D27" s="90" t="s">
        <v>34</v>
      </c>
      <c r="E27" s="91"/>
      <c r="F27" s="270"/>
      <c r="G27" s="292"/>
      <c r="H27" s="429"/>
      <c r="I27" s="442"/>
      <c r="J27" s="295">
        <f>CO2データ_㎡!F213</f>
        <v>5.09</v>
      </c>
      <c r="K27" s="429"/>
      <c r="L27" s="296"/>
      <c r="M27" s="437"/>
      <c r="N27" s="91"/>
      <c r="O27" s="127"/>
      <c r="P27" s="155"/>
    </row>
    <row r="28" spans="2:16" ht="14.25" hidden="1" x14ac:dyDescent="0.15">
      <c r="B28" s="637"/>
      <c r="C28" s="95"/>
      <c r="D28" s="90" t="s">
        <v>35</v>
      </c>
      <c r="E28" s="91"/>
      <c r="F28" s="270"/>
      <c r="G28" s="292"/>
      <c r="H28" s="429"/>
      <c r="I28" s="442"/>
      <c r="J28" s="295">
        <f>CO2データ_㎡!F214</f>
        <v>5.09</v>
      </c>
      <c r="K28" s="429"/>
      <c r="L28" s="296"/>
      <c r="M28" s="437"/>
      <c r="N28" s="91"/>
      <c r="O28" s="127"/>
      <c r="P28" s="155"/>
    </row>
    <row r="29" spans="2:16" ht="14.25" hidden="1" x14ac:dyDescent="0.15">
      <c r="B29" s="637"/>
      <c r="C29" s="95"/>
      <c r="D29" s="90" t="s">
        <v>36</v>
      </c>
      <c r="E29" s="91"/>
      <c r="F29" s="270"/>
      <c r="G29" s="292"/>
      <c r="H29" s="429"/>
      <c r="I29" s="442"/>
      <c r="J29" s="295">
        <f>CO2データ_㎡!F215</f>
        <v>5.09</v>
      </c>
      <c r="K29" s="429"/>
      <c r="L29" s="296"/>
      <c r="M29" s="437"/>
      <c r="N29" s="91"/>
      <c r="O29" s="127"/>
      <c r="P29" s="155"/>
    </row>
    <row r="30" spans="2:16" ht="15" thickBot="1" x14ac:dyDescent="0.2">
      <c r="B30" s="637"/>
      <c r="C30" s="95"/>
      <c r="D30" s="95"/>
      <c r="E30" s="95"/>
      <c r="F30" s="95"/>
      <c r="G30" s="95"/>
      <c r="H30" s="95"/>
      <c r="I30" s="424"/>
      <c r="J30" s="424"/>
      <c r="K30" s="424"/>
      <c r="L30" s="424"/>
      <c r="M30" s="512">
        <f>M26/M31</f>
        <v>0</v>
      </c>
      <c r="N30" s="91"/>
      <c r="O30" s="127"/>
      <c r="P30" s="155"/>
    </row>
    <row r="31" spans="2:16" ht="14.25" thickBot="1" x14ac:dyDescent="0.2">
      <c r="B31" s="637"/>
      <c r="C31" s="168" t="s">
        <v>281</v>
      </c>
      <c r="D31" s="90"/>
      <c r="E31" s="91"/>
      <c r="F31" s="91"/>
      <c r="G31" s="91"/>
      <c r="H31" s="424"/>
      <c r="I31" s="424"/>
      <c r="J31" s="424"/>
      <c r="K31" s="424"/>
      <c r="L31" s="128"/>
      <c r="M31" s="443">
        <f>M11*F11+M12*F12+M13*F13+SUM(M26:M29)</f>
        <v>1200.5408944352175</v>
      </c>
      <c r="N31" s="91"/>
      <c r="O31" s="127"/>
      <c r="P31" s="129">
        <f>P11*F11+P12*F12+P13*F13</f>
        <v>1200.5408944352175</v>
      </c>
    </row>
    <row r="32" spans="2:16" ht="13.5" x14ac:dyDescent="0.15">
      <c r="B32" s="637"/>
      <c r="C32" s="91"/>
      <c r="D32" s="90"/>
      <c r="E32" s="91"/>
      <c r="F32" s="91"/>
      <c r="G32" s="91"/>
      <c r="H32" s="424"/>
      <c r="I32" s="424"/>
      <c r="J32" s="424"/>
      <c r="K32" s="424"/>
      <c r="L32" s="128"/>
      <c r="M32" s="130"/>
      <c r="N32" s="91"/>
      <c r="O32" s="127"/>
      <c r="P32" s="155"/>
    </row>
    <row r="33" spans="2:18" ht="12.95" hidden="1" customHeight="1" x14ac:dyDescent="0.15">
      <c r="B33" s="637"/>
      <c r="C33" s="91"/>
      <c r="D33" s="90"/>
      <c r="E33" s="91"/>
      <c r="F33" s="91" t="s">
        <v>38</v>
      </c>
      <c r="G33" s="424"/>
      <c r="H33" s="424"/>
      <c r="I33" s="426">
        <f>CO2データ_㎡!I267</f>
        <v>30</v>
      </c>
      <c r="J33" s="426">
        <f>CO2データ_㎡!J267</f>
        <v>60</v>
      </c>
      <c r="K33" s="426">
        <f>CO2データ_㎡!K267</f>
        <v>90</v>
      </c>
      <c r="L33" s="120">
        <f>L38</f>
        <v>3</v>
      </c>
      <c r="M33" s="131">
        <f>IF(L33&gt;=4.5,$K33,IF(L33&gt;=3.5,$J33,IF(L33&gt;=2.5,$I33,IF(L33&gt;=1.5,$H33,$G33))))</f>
        <v>30</v>
      </c>
      <c r="N33" s="91"/>
      <c r="O33" s="120">
        <v>3</v>
      </c>
      <c r="P33" s="154">
        <f>CO2データ_㎡!I267</f>
        <v>30</v>
      </c>
    </row>
    <row r="34" spans="2:18" ht="16.5" x14ac:dyDescent="0.15">
      <c r="B34" s="207" t="s">
        <v>39</v>
      </c>
      <c r="C34" s="91"/>
      <c r="D34" s="90"/>
      <c r="E34" s="91"/>
      <c r="F34" s="91"/>
      <c r="G34" s="424"/>
      <c r="H34" s="424"/>
      <c r="I34" s="424"/>
      <c r="J34" s="424"/>
      <c r="K34" s="424"/>
      <c r="L34" s="103"/>
      <c r="M34" s="91"/>
      <c r="N34" s="91"/>
      <c r="O34" s="103"/>
      <c r="P34" s="148"/>
    </row>
    <row r="35" spans="2:18" ht="15" thickBot="1" x14ac:dyDescent="0.2">
      <c r="B35" s="149"/>
      <c r="C35" s="168" t="s">
        <v>40</v>
      </c>
      <c r="D35" s="90"/>
      <c r="E35" s="91"/>
      <c r="F35" s="91"/>
      <c r="G35" s="424"/>
      <c r="H35" s="424"/>
      <c r="I35" s="424"/>
      <c r="J35" s="424"/>
      <c r="K35" s="424"/>
      <c r="L35" s="103"/>
      <c r="M35" s="108" t="s">
        <v>282</v>
      </c>
      <c r="N35" s="91"/>
      <c r="O35" s="103"/>
      <c r="P35" s="108" t="s">
        <v>282</v>
      </c>
    </row>
    <row r="36" spans="2:18" ht="18" customHeight="1" x14ac:dyDescent="0.15">
      <c r="B36" s="637"/>
      <c r="C36" s="91" t="s">
        <v>6</v>
      </c>
      <c r="D36" s="90" t="s">
        <v>7</v>
      </c>
      <c r="E36" s="91"/>
      <c r="F36" s="91"/>
      <c r="G36" s="424"/>
      <c r="H36" s="424"/>
      <c r="I36" s="91"/>
      <c r="J36" s="424"/>
      <c r="K36" s="108" t="s">
        <v>282</v>
      </c>
      <c r="L36" s="675" t="s">
        <v>8</v>
      </c>
      <c r="M36" s="676"/>
      <c r="N36" s="424"/>
      <c r="O36" s="677" t="s">
        <v>9</v>
      </c>
      <c r="P36" s="678"/>
      <c r="Q36" s="638"/>
    </row>
    <row r="37" spans="2:18" ht="18" customHeight="1" x14ac:dyDescent="0.15">
      <c r="B37" s="637"/>
      <c r="C37" s="100">
        <v>1</v>
      </c>
      <c r="D37" s="116" t="s">
        <v>10</v>
      </c>
      <c r="E37" s="117"/>
      <c r="F37" s="117"/>
      <c r="G37" s="503" t="s">
        <v>11</v>
      </c>
      <c r="H37" s="424"/>
      <c r="I37" s="97" t="s">
        <v>12</v>
      </c>
      <c r="J37" s="97" t="s">
        <v>13</v>
      </c>
      <c r="K37" s="98" t="s">
        <v>14</v>
      </c>
      <c r="L37" s="141" t="s">
        <v>15</v>
      </c>
      <c r="M37" s="142" t="s">
        <v>16</v>
      </c>
      <c r="N37" s="91"/>
      <c r="O37" s="141" t="s">
        <v>15</v>
      </c>
      <c r="P37" s="142" t="s">
        <v>16</v>
      </c>
      <c r="Q37" s="638"/>
    </row>
    <row r="38" spans="2:18" ht="18" customHeight="1" x14ac:dyDescent="0.15">
      <c r="B38" s="637"/>
      <c r="C38" s="104"/>
      <c r="D38" s="118">
        <v>1.1000000000000001</v>
      </c>
      <c r="E38" s="117" t="s">
        <v>17</v>
      </c>
      <c r="F38" s="119" t="s">
        <v>18</v>
      </c>
      <c r="G38" s="438">
        <f>F11</f>
        <v>1</v>
      </c>
      <c r="H38" s="424"/>
      <c r="I38" s="640">
        <f>VLOOKUP($R38,CO2データ_㎡!$H$58:$Q$105,2)*判定!$I$7*判定!$I$8+VLOOKUP($R38,CO2データ_戸!$H$58:$Q$105,2)*判定!$I$8</f>
        <v>374.08645392050676</v>
      </c>
      <c r="J38" s="640">
        <f>VLOOKUP($R38,CO2データ_㎡!$H$58:$Q$105,3)*判定!$I$7*判定!$I$8+VLOOKUP($R38,CO2データ_戸!$H$58:$Q$105,3)*判定!$I$8</f>
        <v>803.0665396847113</v>
      </c>
      <c r="K38" s="640">
        <f>VLOOKUP($R38,CO2データ_㎡!$H$58:$Q$105,4)*判定!$I$7*判定!$I$8+VLOOKUP($R38,CO2データ_戸!$H$58:$Q$105,4)*判定!$I$8</f>
        <v>948.79803483924013</v>
      </c>
      <c r="L38" s="102">
        <f>判定!M20</f>
        <v>3</v>
      </c>
      <c r="M38" s="649">
        <f>IF(L38&gt;=4.5,$K38,IF(L38&gt;=3.5,$J38,IF(L38&gt;=2.5,$I38,IF(L38&gt;=1.5,$H38,$G38))))</f>
        <v>374.08645392050676</v>
      </c>
      <c r="N38" s="91"/>
      <c r="O38" s="102">
        <v>3</v>
      </c>
      <c r="P38" s="649">
        <f>CO2データ_㎡!I88*判定!$I$7*判定!$I$8+CO2データ_戸!I88*判定!$I$8</f>
        <v>357.65775026587238</v>
      </c>
      <c r="R38" s="30">
        <f>L14*100+L15*10+L17</f>
        <v>113</v>
      </c>
    </row>
    <row r="39" spans="2:18" ht="18" customHeight="1" x14ac:dyDescent="0.15">
      <c r="B39" s="637"/>
      <c r="C39" s="104"/>
      <c r="D39" s="121"/>
      <c r="E39" s="91"/>
      <c r="F39" s="122" t="s">
        <v>19</v>
      </c>
      <c r="G39" s="438">
        <f>F12</f>
        <v>0</v>
      </c>
      <c r="H39" s="424"/>
      <c r="I39" s="640">
        <f>VLOOKUP($R39,CO2データ_㎡!$H$58:$Q$105,5)*判定!$I$7*判定!$I$8+VLOOKUP($R39,CO2データ_戸!$H$58:$Q$105,5)*判定!$I$8</f>
        <v>382.16574712697468</v>
      </c>
      <c r="J39" s="640">
        <f>VLOOKUP($R39,CO2データ_㎡!$H$58:$Q$105,6)*判定!$I$7*判定!$I$8+VLOOKUP($R39,CO2データ_戸!$H$58:$Q$105,6)*判定!$I$8</f>
        <v>820.30135716334792</v>
      </c>
      <c r="K39" s="640">
        <f>VLOOKUP($R39,CO2データ_㎡!$H$58:$Q$105,7)*判定!$I$7*判定!$I$8+VLOOKUP($R39,CO2データ_戸!$H$58:$Q$105,7)*判定!$I$8</f>
        <v>969.1422615279298</v>
      </c>
      <c r="L39" s="102">
        <f>L38</f>
        <v>3</v>
      </c>
      <c r="M39" s="649">
        <f>IF(L39&gt;=4.5,$K39,IF(L39&gt;=3.5,$J39,IF(L39&gt;=2.5,$I39,IF(L39&gt;=1.5,$H39,$G39))))</f>
        <v>382.16574712697468</v>
      </c>
      <c r="N39" s="91"/>
      <c r="O39" s="102">
        <v>3</v>
      </c>
      <c r="P39" s="649">
        <f>CO2データ_㎡!L88*判定!$I$7*判定!$I$8+CO2データ_戸!L88*判定!$I$8</f>
        <v>365.39156016105574</v>
      </c>
      <c r="R39" s="13">
        <f>R38</f>
        <v>113</v>
      </c>
    </row>
    <row r="40" spans="2:18" ht="18" customHeight="1" thickBot="1" x14ac:dyDescent="0.2">
      <c r="B40" s="637"/>
      <c r="C40" s="105"/>
      <c r="D40" s="123"/>
      <c r="E40" s="124"/>
      <c r="F40" s="125" t="s">
        <v>20</v>
      </c>
      <c r="G40" s="438">
        <f>F13</f>
        <v>0</v>
      </c>
      <c r="H40" s="424"/>
      <c r="I40" s="640">
        <f>VLOOKUP($R40,CO2データ_㎡!$H$58:$Q$105,8)*判定!$I$7*判定!$I$8+VLOOKUP($R40,CO2データ_戸!$H$58:$Q$105,8)*判定!$I$8</f>
        <v>369.4947733154292</v>
      </c>
      <c r="J40" s="640">
        <f>VLOOKUP($R40,CO2データ_㎡!$H$58:$Q$105,9)*判定!$I$7*判定!$I$8+VLOOKUP($R40,CO2データ_戸!$H$58:$Q$105,9)*判定!$I$8</f>
        <v>797.14045015095576</v>
      </c>
      <c r="K40" s="640">
        <f>VLOOKUP($R40,CO2データ_㎡!$H$58:$Q$105,10)*判定!$I$7*判定!$I$8+VLOOKUP($R40,CO2データ_戸!$H$58:$Q$105,10)*判定!$I$8</f>
        <v>940.83080329673305</v>
      </c>
      <c r="L40" s="106">
        <f>L38</f>
        <v>3</v>
      </c>
      <c r="M40" s="650">
        <f>IF(L40&gt;=4.5,$K40,IF(L40&gt;=3.5,$J40,IF(L40&gt;=2.5,$I40,IF(L40&gt;=1.5,$H40,$G40))))</f>
        <v>369.4947733154292</v>
      </c>
      <c r="N40" s="91"/>
      <c r="O40" s="106">
        <v>3</v>
      </c>
      <c r="P40" s="650">
        <f>CO2データ_㎡!O88*判定!$I$7*判定!$I$8+CO2データ_戸!O88*判定!$I$8</f>
        <v>362.64396981416496</v>
      </c>
      <c r="R40" s="13">
        <f>R39</f>
        <v>113</v>
      </c>
    </row>
    <row r="41" spans="2:18" ht="15.95" customHeight="1" x14ac:dyDescent="0.15">
      <c r="B41" s="637"/>
      <c r="C41" s="91"/>
      <c r="D41" s="90"/>
      <c r="E41" s="91"/>
      <c r="F41" s="91"/>
      <c r="G41" s="424"/>
      <c r="H41" s="424"/>
      <c r="I41" s="424"/>
      <c r="J41" s="424"/>
      <c r="K41" s="424"/>
      <c r="L41" s="424"/>
      <c r="M41" s="107"/>
      <c r="N41" s="91"/>
      <c r="O41" s="91"/>
      <c r="P41" s="155"/>
    </row>
    <row r="42" spans="2:18" ht="15.95" hidden="1" customHeight="1" x14ac:dyDescent="0.15">
      <c r="B42" s="651"/>
      <c r="C42" s="552" t="s">
        <v>41</v>
      </c>
      <c r="D42" s="553"/>
      <c r="E42" s="554"/>
      <c r="F42" s="554"/>
      <c r="G42" s="652"/>
      <c r="H42" s="652"/>
      <c r="I42" s="652"/>
      <c r="J42" s="652"/>
      <c r="K42" s="652"/>
      <c r="L42" s="652"/>
      <c r="M42" s="555"/>
      <c r="N42" s="554"/>
      <c r="O42" s="554"/>
      <c r="P42" s="556"/>
    </row>
    <row r="43" spans="2:18" ht="15.95" hidden="1" customHeight="1" x14ac:dyDescent="0.15">
      <c r="B43" s="653"/>
      <c r="C43" s="557"/>
      <c r="D43" s="558" t="s">
        <v>42</v>
      </c>
      <c r="E43" s="518"/>
      <c r="F43" s="518">
        <f>CO2データ_㎡!L212</f>
        <v>20</v>
      </c>
      <c r="G43" s="559" t="s">
        <v>43</v>
      </c>
      <c r="H43" s="654"/>
      <c r="I43" s="654"/>
      <c r="J43" s="654"/>
      <c r="K43" s="654"/>
      <c r="L43" s="654"/>
      <c r="M43" s="560"/>
      <c r="N43" s="518"/>
      <c r="O43" s="518"/>
      <c r="P43" s="561"/>
    </row>
    <row r="44" spans="2:18" ht="15.95" hidden="1" customHeight="1" x14ac:dyDescent="0.15">
      <c r="B44" s="653"/>
      <c r="C44" s="518"/>
      <c r="D44" s="558"/>
      <c r="E44" s="518"/>
      <c r="F44" s="575" t="s">
        <v>31</v>
      </c>
      <c r="G44" s="654"/>
      <c r="H44" s="654"/>
      <c r="I44" s="573" t="s">
        <v>44</v>
      </c>
      <c r="J44" s="573" t="s">
        <v>45</v>
      </c>
      <c r="K44" s="573" t="s">
        <v>46</v>
      </c>
      <c r="L44" s="655"/>
      <c r="M44" s="574" t="s">
        <v>280</v>
      </c>
      <c r="N44" s="518"/>
      <c r="O44" s="518"/>
      <c r="P44" s="561"/>
    </row>
    <row r="45" spans="2:18" ht="15.95" hidden="1" customHeight="1" x14ac:dyDescent="0.15">
      <c r="B45" s="653"/>
      <c r="C45" s="518"/>
      <c r="D45" s="576" t="s">
        <v>33</v>
      </c>
      <c r="E45" s="575"/>
      <c r="F45" s="577"/>
      <c r="G45" s="654"/>
      <c r="H45" s="654"/>
      <c r="I45" s="575">
        <f>CO2データ_㎡!F212</f>
        <v>10.99</v>
      </c>
      <c r="J45" s="655">
        <f>ROUNDDOWN($M$23/$F$43,0)</f>
        <v>1</v>
      </c>
      <c r="K45" s="656">
        <f>F45*I45*J45</f>
        <v>0</v>
      </c>
      <c r="L45" s="573" t="s">
        <v>47</v>
      </c>
      <c r="M45" s="657">
        <f>K45/$M$23</f>
        <v>0</v>
      </c>
      <c r="N45" s="518"/>
      <c r="O45" s="518"/>
      <c r="P45" s="561"/>
    </row>
    <row r="46" spans="2:18" ht="15.95" hidden="1" customHeight="1" x14ac:dyDescent="0.15">
      <c r="B46" s="653"/>
      <c r="C46" s="518"/>
      <c r="D46" s="576" t="s">
        <v>34</v>
      </c>
      <c r="E46" s="575"/>
      <c r="F46" s="577"/>
      <c r="G46" s="654"/>
      <c r="H46" s="654"/>
      <c r="I46" s="575">
        <f>CO2データ_㎡!F213</f>
        <v>5.09</v>
      </c>
      <c r="J46" s="655">
        <f>ROUNDDOWN($M$23/$F$43,0)</f>
        <v>1</v>
      </c>
      <c r="K46" s="656">
        <f t="shared" ref="K46:K48" si="0">F46*I46*J46</f>
        <v>0</v>
      </c>
      <c r="L46" s="573" t="s">
        <v>47</v>
      </c>
      <c r="M46" s="657">
        <f>K46/$M$23</f>
        <v>0</v>
      </c>
      <c r="N46" s="518"/>
      <c r="O46" s="518"/>
      <c r="P46" s="561"/>
    </row>
    <row r="47" spans="2:18" ht="15.95" hidden="1" customHeight="1" x14ac:dyDescent="0.15">
      <c r="B47" s="653"/>
      <c r="C47" s="518"/>
      <c r="D47" s="576" t="s">
        <v>35</v>
      </c>
      <c r="E47" s="575"/>
      <c r="F47" s="577"/>
      <c r="G47" s="654"/>
      <c r="H47" s="654"/>
      <c r="I47" s="575">
        <f>CO2データ_㎡!F214</f>
        <v>5.09</v>
      </c>
      <c r="J47" s="655">
        <f>ROUNDDOWN($M$23/$F$43,0)</f>
        <v>1</v>
      </c>
      <c r="K47" s="656">
        <f t="shared" si="0"/>
        <v>0</v>
      </c>
      <c r="L47" s="573" t="s">
        <v>47</v>
      </c>
      <c r="M47" s="657">
        <f>K47/$M$23</f>
        <v>0</v>
      </c>
      <c r="N47" s="518"/>
      <c r="O47" s="518"/>
      <c r="P47" s="561"/>
    </row>
    <row r="48" spans="2:18" ht="15.95" hidden="1" customHeight="1" x14ac:dyDescent="0.15">
      <c r="B48" s="653"/>
      <c r="C48" s="518"/>
      <c r="D48" s="576" t="s">
        <v>36</v>
      </c>
      <c r="E48" s="575"/>
      <c r="F48" s="577"/>
      <c r="G48" s="654"/>
      <c r="H48" s="654"/>
      <c r="I48" s="575">
        <f>CO2データ_㎡!F215</f>
        <v>5.09</v>
      </c>
      <c r="J48" s="655">
        <f>ROUNDDOWN($M$23/$F$43,0)</f>
        <v>1</v>
      </c>
      <c r="K48" s="656">
        <f t="shared" si="0"/>
        <v>0</v>
      </c>
      <c r="L48" s="573" t="s">
        <v>47</v>
      </c>
      <c r="M48" s="657">
        <f>K48/$M$23</f>
        <v>0</v>
      </c>
      <c r="N48" s="518"/>
      <c r="O48" s="518"/>
      <c r="P48" s="561"/>
    </row>
    <row r="49" spans="1:256" ht="15.95" hidden="1" customHeight="1" x14ac:dyDescent="0.15">
      <c r="B49" s="653"/>
      <c r="C49" s="518"/>
      <c r="D49" s="558"/>
      <c r="E49" s="518"/>
      <c r="F49" s="518"/>
      <c r="G49" s="654"/>
      <c r="H49" s="654"/>
      <c r="I49" s="654"/>
      <c r="J49" s="654"/>
      <c r="K49" s="654"/>
      <c r="L49" s="654"/>
      <c r="M49" s="560"/>
      <c r="N49" s="518"/>
      <c r="O49" s="518"/>
      <c r="P49" s="562"/>
    </row>
    <row r="50" spans="1:256" ht="15.95" hidden="1" customHeight="1" x14ac:dyDescent="0.15">
      <c r="B50" s="653"/>
      <c r="C50" s="529" t="s">
        <v>48</v>
      </c>
      <c r="D50" s="558"/>
      <c r="E50" s="518"/>
      <c r="F50" s="518"/>
      <c r="G50" s="518"/>
      <c r="H50" s="654"/>
      <c r="I50" s="654"/>
      <c r="J50" s="654"/>
      <c r="K50" s="654"/>
      <c r="L50" s="563"/>
      <c r="M50" s="564">
        <f>M38*G38+M39*G39+M40*G40+SUM(M45:M48)</f>
        <v>374.08645392050676</v>
      </c>
      <c r="N50" s="518"/>
      <c r="O50" s="518"/>
      <c r="P50" s="565">
        <f>P38*G38+P39*G39+P40*G40</f>
        <v>357.65775026587238</v>
      </c>
    </row>
    <row r="51" spans="1:256" ht="14.25" hidden="1" thickBot="1" x14ac:dyDescent="0.2">
      <c r="B51" s="658"/>
      <c r="C51" s="566"/>
      <c r="D51" s="567"/>
      <c r="E51" s="566"/>
      <c r="F51" s="566"/>
      <c r="G51" s="566"/>
      <c r="H51" s="659"/>
      <c r="I51" s="659"/>
      <c r="J51" s="659"/>
      <c r="K51" s="659"/>
      <c r="L51" s="568"/>
      <c r="M51" s="569"/>
      <c r="N51" s="566"/>
      <c r="O51" s="566"/>
      <c r="P51" s="570"/>
    </row>
    <row r="52" spans="1:256" ht="18" customHeight="1" thickBot="1" x14ac:dyDescent="0.2">
      <c r="B52" s="207" t="s">
        <v>49</v>
      </c>
      <c r="C52" s="89"/>
      <c r="D52" s="93"/>
      <c r="E52" s="89"/>
      <c r="F52" s="91"/>
      <c r="G52" s="424"/>
      <c r="H52" s="424"/>
      <c r="I52" s="424"/>
      <c r="J52" s="424"/>
      <c r="K52" s="424"/>
      <c r="L52" s="271"/>
      <c r="M52" s="108" t="s">
        <v>271</v>
      </c>
      <c r="N52" s="91"/>
      <c r="O52" s="103"/>
      <c r="P52" s="150" t="s">
        <v>280</v>
      </c>
    </row>
    <row r="53" spans="1:256" ht="16.5" customHeight="1" thickBot="1" x14ac:dyDescent="0.2">
      <c r="A53"/>
      <c r="B53" s="207"/>
      <c r="C53" s="168" t="s">
        <v>50</v>
      </c>
      <c r="D53" s="4"/>
      <c r="E53" s="4"/>
      <c r="F53" s="208"/>
      <c r="G53" s="4"/>
      <c r="H53" s="4"/>
      <c r="I53" s="4"/>
      <c r="J53" s="4"/>
      <c r="K53" s="4"/>
      <c r="L53" s="209" t="s">
        <v>51</v>
      </c>
      <c r="M53" s="506">
        <f>CO2計算!M56+CO2計算!M65</f>
        <v>1.9658100000000001</v>
      </c>
      <c r="N53" s="91"/>
      <c r="O53" s="169" t="s">
        <v>52</v>
      </c>
      <c r="P53" s="210">
        <f>CO2計算!P56+CO2計算!P65</f>
        <v>1.7094000000000003</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8" customHeight="1" x14ac:dyDescent="0.15">
      <c r="A54"/>
      <c r="B54" s="207"/>
      <c r="C54" s="168"/>
      <c r="D54" s="4"/>
      <c r="E54" s="4"/>
      <c r="F54" s="4"/>
      <c r="G54" s="4"/>
      <c r="H54" s="4"/>
      <c r="I54" s="4" t="s">
        <v>53</v>
      </c>
      <c r="J54" s="4"/>
      <c r="K54" s="4" t="s">
        <v>54</v>
      </c>
      <c r="L54" s="211"/>
      <c r="M54" s="108"/>
      <c r="N54" s="91"/>
      <c r="O54" s="169"/>
      <c r="P54" s="212"/>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8" customHeight="1" x14ac:dyDescent="0.15">
      <c r="A55"/>
      <c r="B55" s="207"/>
      <c r="C55" s="168"/>
      <c r="D55" s="4"/>
      <c r="E55" s="4"/>
      <c r="F55" s="4"/>
      <c r="G55" s="108" t="s">
        <v>55</v>
      </c>
      <c r="H55" s="4"/>
      <c r="I55" s="205" t="s">
        <v>56</v>
      </c>
      <c r="J55" s="205" t="s">
        <v>57</v>
      </c>
      <c r="K55" s="90" t="s">
        <v>58</v>
      </c>
      <c r="L55" s="213"/>
      <c r="M55" s="108" t="s">
        <v>271</v>
      </c>
      <c r="N55" s="91"/>
      <c r="O55" s="103"/>
      <c r="P55" s="150" t="s">
        <v>271</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8" customHeight="1" x14ac:dyDescent="0.15">
      <c r="A56"/>
      <c r="B56" s="207"/>
      <c r="C56" s="168"/>
      <c r="D56" s="4" t="s">
        <v>59</v>
      </c>
      <c r="E56" s="214"/>
      <c r="F56" s="177" t="s">
        <v>29</v>
      </c>
      <c r="G56" s="229">
        <f>判定!I6</f>
        <v>1.1100000000000001</v>
      </c>
      <c r="H56" s="4"/>
      <c r="I56" s="281">
        <f>判定!G64-判定!J67</f>
        <v>0</v>
      </c>
      <c r="J56" s="282">
        <f>判定!G65-判定!G66-判定!G67-(判定!J64-判定!J66)-判定!J67</f>
        <v>0</v>
      </c>
      <c r="K56" s="215">
        <f>CO2データ_㎡!K236</f>
        <v>5.4560734426229503E-2</v>
      </c>
      <c r="L56" s="216"/>
      <c r="M56" s="229">
        <f>J56*K56</f>
        <v>0</v>
      </c>
      <c r="N56" s="91"/>
      <c r="O56" s="169"/>
      <c r="P56" s="260">
        <f>I56*K56</f>
        <v>0</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8" hidden="1" customHeight="1" x14ac:dyDescent="0.15">
      <c r="A57"/>
      <c r="B57" s="207"/>
      <c r="C57" s="168"/>
      <c r="D57" s="4"/>
      <c r="E57" s="214"/>
      <c r="F57" s="214"/>
      <c r="G57" s="214"/>
      <c r="H57" s="214"/>
      <c r="I57" s="214"/>
      <c r="J57" s="214"/>
      <c r="K57" s="214"/>
      <c r="L57" s="219"/>
      <c r="M57" s="219"/>
      <c r="N57" s="219"/>
      <c r="O57" s="169"/>
      <c r="P57" s="212"/>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8" hidden="1" customHeight="1" x14ac:dyDescent="0.15">
      <c r="A58"/>
      <c r="B58" s="207"/>
      <c r="C58" s="168"/>
      <c r="D58" s="4"/>
      <c r="E58" s="214"/>
      <c r="F58" s="261"/>
      <c r="G58" s="214"/>
      <c r="H58" s="4"/>
      <c r="I58" s="205" t="s">
        <v>56</v>
      </c>
      <c r="J58" s="205" t="s">
        <v>57</v>
      </c>
      <c r="K58" s="177"/>
      <c r="L58" s="219"/>
      <c r="M58" s="219"/>
      <c r="N58" s="219"/>
      <c r="O58" s="169"/>
      <c r="P58" s="212"/>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14.25" hidden="1" x14ac:dyDescent="0.15">
      <c r="A59"/>
      <c r="B59" s="207"/>
      <c r="C59" s="168"/>
      <c r="D59" s="4"/>
      <c r="E59" s="4"/>
      <c r="F59" s="261"/>
      <c r="G59" s="214"/>
      <c r="H59" s="4"/>
      <c r="I59" s="108" t="s">
        <v>60</v>
      </c>
      <c r="J59" s="108" t="s">
        <v>60</v>
      </c>
      <c r="K59" s="177"/>
      <c r="L59" s="219"/>
      <c r="M59" s="219"/>
      <c r="N59" s="219"/>
      <c r="O59" s="169"/>
      <c r="P59" s="212"/>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ht="18" hidden="1" customHeight="1" x14ac:dyDescent="0.15">
      <c r="A60"/>
      <c r="B60" s="207"/>
      <c r="C60" s="168"/>
      <c r="D60" s="4"/>
      <c r="E60" s="214" t="s">
        <v>61</v>
      </c>
      <c r="F60" s="261"/>
      <c r="G60" s="214"/>
      <c r="H60" s="177"/>
      <c r="I60" s="229" t="e">
        <f>CO2データ_㎡!I260</f>
        <v>#REF!</v>
      </c>
      <c r="J60" s="229" t="e">
        <f>CO2データ_㎡!I259</f>
        <v>#REF!</v>
      </c>
      <c r="K60" s="215">
        <f>K56</f>
        <v>5.4560734426229503E-2</v>
      </c>
      <c r="L60" s="219"/>
      <c r="M60" s="229" t="e">
        <f>J60*K60</f>
        <v>#REF!</v>
      </c>
      <c r="N60" s="219"/>
      <c r="O60" s="169"/>
      <c r="P60" s="260" t="e">
        <f>I60*K60</f>
        <v>#REF!</v>
      </c>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ht="18" customHeight="1" x14ac:dyDescent="0.15">
      <c r="A61"/>
      <c r="B61" s="207"/>
      <c r="C61" s="168"/>
      <c r="D61" s="4"/>
      <c r="E61" s="214"/>
      <c r="F61" s="217"/>
      <c r="G61" s="214"/>
      <c r="H61" s="177"/>
      <c r="I61" s="218"/>
      <c r="J61" s="214"/>
      <c r="K61" s="219"/>
      <c r="L61" s="219"/>
      <c r="M61" s="219"/>
      <c r="N61" s="219"/>
      <c r="O61" s="169"/>
      <c r="P61" s="212"/>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ht="18" customHeight="1" x14ac:dyDescent="0.15">
      <c r="A62"/>
      <c r="B62" s="207"/>
      <c r="C62" s="168"/>
      <c r="D62" s="4"/>
      <c r="E62" s="214"/>
      <c r="F62" s="97" t="s">
        <v>62</v>
      </c>
      <c r="G62" s="98" t="s">
        <v>63</v>
      </c>
      <c r="H62" s="220"/>
      <c r="I62" s="97" t="s">
        <v>64</v>
      </c>
      <c r="J62" s="97" t="s">
        <v>13</v>
      </c>
      <c r="K62" s="97" t="s">
        <v>65</v>
      </c>
      <c r="L62" s="221" t="s">
        <v>66</v>
      </c>
      <c r="M62" s="97" t="s">
        <v>67</v>
      </c>
      <c r="N62" s="219"/>
      <c r="O62" s="221" t="s">
        <v>66</v>
      </c>
      <c r="P62" s="99" t="s">
        <v>67</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8" customHeight="1" x14ac:dyDescent="0.15">
      <c r="A63"/>
      <c r="B63" s="207"/>
      <c r="C63" s="168"/>
      <c r="D63" s="222" t="s">
        <v>68</v>
      </c>
      <c r="E63" s="214"/>
      <c r="F63" s="101">
        <v>1.1499999999999999</v>
      </c>
      <c r="G63" s="223" t="s">
        <v>69</v>
      </c>
      <c r="H63" s="224"/>
      <c r="I63" s="101">
        <v>1</v>
      </c>
      <c r="J63" s="101">
        <v>0.85</v>
      </c>
      <c r="K63" s="101">
        <v>0.7</v>
      </c>
      <c r="L63" s="225">
        <f>判定!M69</f>
        <v>1</v>
      </c>
      <c r="M63" s="226">
        <f>IF(L63&gt;=5,$K63,IF(L63&gt;=4,$J63,IF(L63&gt;=3,$I63,$F63)))</f>
        <v>1.1499999999999999</v>
      </c>
      <c r="N63" s="91"/>
      <c r="O63" s="225">
        <v>3</v>
      </c>
      <c r="P63" s="262">
        <v>1</v>
      </c>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8" customHeight="1" x14ac:dyDescent="0.15">
      <c r="A64"/>
      <c r="B64" s="207"/>
      <c r="C64" s="168"/>
      <c r="D64" s="222"/>
      <c r="E64" s="214"/>
      <c r="F64" s="217"/>
      <c r="G64" s="214"/>
      <c r="H64" s="177"/>
      <c r="I64" s="227" t="s">
        <v>70</v>
      </c>
      <c r="J64" s="214"/>
      <c r="K64" s="219"/>
      <c r="L64" s="213"/>
      <c r="M64" s="114"/>
      <c r="N64" s="91"/>
      <c r="O64" s="169"/>
      <c r="P64" s="228"/>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18" customHeight="1" x14ac:dyDescent="0.15">
      <c r="A65"/>
      <c r="B65" s="207"/>
      <c r="C65" s="168"/>
      <c r="D65" s="222"/>
      <c r="E65" s="214" t="s">
        <v>71</v>
      </c>
      <c r="F65" s="217"/>
      <c r="G65" s="214"/>
      <c r="H65" s="177"/>
      <c r="I65" s="602">
        <v>1.54</v>
      </c>
      <c r="J65" s="90" t="s">
        <v>5</v>
      </c>
      <c r="K65" s="219"/>
      <c r="L65" s="213"/>
      <c r="M65" s="449">
        <f>I65*M63*G74</f>
        <v>1.9658100000000001</v>
      </c>
      <c r="N65" s="91"/>
      <c r="O65" s="169"/>
      <c r="P65" s="451">
        <f>I65*P63*G56</f>
        <v>1.7094000000000003</v>
      </c>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95" hidden="1" customHeight="1" x14ac:dyDescent="0.15">
      <c r="A66"/>
      <c r="B66" s="207"/>
      <c r="C66" s="168"/>
      <c r="D66" s="4"/>
      <c r="E66" s="4"/>
      <c r="F66" s="4"/>
      <c r="G66" s="4"/>
      <c r="H66" s="4"/>
      <c r="I66" s="4"/>
      <c r="J66" s="4"/>
      <c r="K66" s="4"/>
      <c r="L66" s="4"/>
      <c r="M66" s="231"/>
      <c r="N66" s="91"/>
      <c r="O66" s="169"/>
      <c r="P66" s="212"/>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12.95" hidden="1" customHeight="1" x14ac:dyDescent="0.15">
      <c r="A67"/>
      <c r="B67" s="207"/>
      <c r="C67" s="168"/>
      <c r="D67" s="232" t="s">
        <v>72</v>
      </c>
      <c r="E67" s="4"/>
      <c r="F67" s="4"/>
      <c r="G67" s="4"/>
      <c r="H67" s="4"/>
      <c r="I67" s="97" t="s">
        <v>12</v>
      </c>
      <c r="J67" s="97" t="s">
        <v>13</v>
      </c>
      <c r="K67" s="97" t="s">
        <v>14</v>
      </c>
      <c r="L67" s="221" t="s">
        <v>66</v>
      </c>
      <c r="M67" s="221" t="s">
        <v>73</v>
      </c>
      <c r="N67" s="91"/>
      <c r="O67" s="169"/>
      <c r="P67" s="212"/>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2.95" hidden="1" customHeight="1" x14ac:dyDescent="0.15">
      <c r="A68"/>
      <c r="B68" s="207"/>
      <c r="C68" s="168"/>
      <c r="D68" s="4"/>
      <c r="E68" s="4"/>
      <c r="F68" s="4"/>
      <c r="G68" s="4"/>
      <c r="H68" s="4"/>
      <c r="I68" s="233">
        <v>1</v>
      </c>
      <c r="J68" s="234">
        <v>0.97499999999999998</v>
      </c>
      <c r="K68" s="233">
        <v>0.95</v>
      </c>
      <c r="L68" s="225"/>
      <c r="M68" s="235">
        <f>IF(L68&gt;=5,$K68,IF(L68&gt;=4,$J68,$I68))</f>
        <v>1</v>
      </c>
      <c r="N68" s="91"/>
      <c r="O68" s="169"/>
      <c r="P68" s="212"/>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18" customHeight="1" thickBot="1" x14ac:dyDescent="0.2">
      <c r="A69"/>
      <c r="B69" s="207"/>
      <c r="C69" s="4"/>
      <c r="D69" s="4"/>
      <c r="E69" s="4"/>
      <c r="F69" s="4"/>
      <c r="G69" s="4"/>
      <c r="H69" s="4"/>
      <c r="I69" s="4"/>
      <c r="J69" s="4"/>
      <c r="K69" s="4"/>
      <c r="L69" s="4"/>
      <c r="M69" s="108"/>
      <c r="N69" s="91"/>
      <c r="O69" s="91"/>
      <c r="P69" s="150"/>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ht="18" customHeight="1" thickBot="1" x14ac:dyDescent="0.2">
      <c r="A70"/>
      <c r="B70" s="236"/>
      <c r="C70" s="168" t="s">
        <v>74</v>
      </c>
      <c r="D70" s="4"/>
      <c r="E70" s="4"/>
      <c r="F70" s="4"/>
      <c r="G70" s="4"/>
      <c r="H70" s="4"/>
      <c r="I70" s="4"/>
      <c r="J70" s="4"/>
      <c r="K70" s="4"/>
      <c r="L70" s="209" t="s">
        <v>75</v>
      </c>
      <c r="M70" s="450">
        <f>M74+M65</f>
        <v>1.9658100000000001</v>
      </c>
      <c r="N70" s="4"/>
      <c r="O70" s="4"/>
      <c r="P70" s="238"/>
      <c r="Q70"/>
      <c r="R70"/>
      <c r="S70" t="s">
        <v>76</v>
      </c>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ht="18" customHeight="1" x14ac:dyDescent="0.15">
      <c r="A71"/>
      <c r="B71" s="236"/>
      <c r="C71" s="168"/>
      <c r="D71" s="4"/>
      <c r="E71" s="4" t="s">
        <v>77</v>
      </c>
      <c r="F71" s="4"/>
      <c r="G71" s="4"/>
      <c r="H71" s="4"/>
      <c r="I71" s="229">
        <f>判定!J65+判定!J66+判定!G68</f>
        <v>0</v>
      </c>
      <c r="J71" s="214" t="s">
        <v>78</v>
      </c>
      <c r="K71" s="4"/>
      <c r="L71" s="4"/>
      <c r="M71" s="4"/>
      <c r="N71" s="4"/>
      <c r="O71" s="4"/>
      <c r="P71" s="238"/>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ht="13.5" x14ac:dyDescent="0.15">
      <c r="A72"/>
      <c r="B72" s="236"/>
      <c r="C72" s="168"/>
      <c r="D72" s="4"/>
      <c r="E72" s="4"/>
      <c r="F72" s="4"/>
      <c r="G72" s="4"/>
      <c r="H72" s="4"/>
      <c r="I72" s="263"/>
      <c r="J72" s="177" t="s">
        <v>79</v>
      </c>
      <c r="K72" s="4" t="s">
        <v>54</v>
      </c>
      <c r="L72" s="4"/>
      <c r="M72" s="4"/>
      <c r="N72" s="4"/>
      <c r="O72" s="4"/>
      <c r="P72" s="238"/>
      <c r="Q72"/>
      <c r="R72"/>
      <c r="S72" s="44" t="s">
        <v>80</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ht="14.25" x14ac:dyDescent="0.15">
      <c r="A73"/>
      <c r="B73" s="236"/>
      <c r="C73" s="168"/>
      <c r="D73" s="4"/>
      <c r="E73" s="4"/>
      <c r="F73" s="4"/>
      <c r="G73" s="108" t="s">
        <v>55</v>
      </c>
      <c r="H73" s="4"/>
      <c r="I73" s="205"/>
      <c r="J73" s="205" t="s">
        <v>78</v>
      </c>
      <c r="K73" s="90" t="s">
        <v>58</v>
      </c>
      <c r="L73" s="4"/>
      <c r="M73" s="108" t="s">
        <v>282</v>
      </c>
      <c r="N73" s="4"/>
      <c r="O73" s="4"/>
      <c r="P73" s="238"/>
      <c r="Q73"/>
      <c r="R73"/>
      <c r="S73" s="44">
        <f>電気排出係数!D5</f>
        <v>5.1199999999999998E-4</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16" customFormat="1" ht="18.600000000000001" customHeight="1" x14ac:dyDescent="0.15">
      <c r="B74" s="645"/>
      <c r="C74" s="112"/>
      <c r="D74" s="113"/>
      <c r="E74" s="4"/>
      <c r="F74" s="177" t="s">
        <v>29</v>
      </c>
      <c r="G74" s="229">
        <f>G56</f>
        <v>1.1100000000000001</v>
      </c>
      <c r="H74" s="4"/>
      <c r="I74" s="205" t="s">
        <v>81</v>
      </c>
      <c r="J74" s="501">
        <f>J56-I71</f>
        <v>0</v>
      </c>
      <c r="K74" s="215">
        <f>K56</f>
        <v>5.4560734426229503E-2</v>
      </c>
      <c r="L74" s="4"/>
      <c r="M74" s="449">
        <f>J74*K74</f>
        <v>0</v>
      </c>
      <c r="N74" s="115"/>
      <c r="O74" s="115"/>
      <c r="P74" s="170"/>
    </row>
    <row r="75" spans="1:256" s="16" customFormat="1" ht="13.5" x14ac:dyDescent="0.15">
      <c r="B75" s="645"/>
      <c r="C75" s="112"/>
      <c r="D75" s="113"/>
      <c r="E75" s="4"/>
      <c r="F75" s="177"/>
      <c r="G75" s="263"/>
      <c r="H75" s="4"/>
      <c r="I75" s="205"/>
      <c r="J75" s="264"/>
      <c r="K75" s="217"/>
      <c r="L75" s="4"/>
      <c r="M75" s="263"/>
      <c r="N75" s="115"/>
      <c r="O75" s="115"/>
      <c r="P75" s="170"/>
    </row>
    <row r="76" spans="1:256" ht="17.25" thickBot="1" x14ac:dyDescent="0.2">
      <c r="B76" s="207" t="s">
        <v>82</v>
      </c>
      <c r="C76" s="91"/>
      <c r="D76" s="90"/>
      <c r="E76" s="91"/>
      <c r="F76" s="91"/>
      <c r="G76" s="424"/>
      <c r="H76" s="424"/>
      <c r="I76" s="424"/>
      <c r="J76" s="424"/>
      <c r="K76" s="424"/>
      <c r="L76" s="111"/>
      <c r="M76" s="108" t="s">
        <v>282</v>
      </c>
      <c r="N76" s="91"/>
      <c r="O76" s="91"/>
      <c r="P76" s="108" t="s">
        <v>282</v>
      </c>
      <c r="S76"/>
    </row>
    <row r="77" spans="1:256" ht="18" customHeight="1" x14ac:dyDescent="0.15">
      <c r="B77" s="149"/>
      <c r="C77" s="91"/>
      <c r="D77" s="90"/>
      <c r="E77" s="91"/>
      <c r="F77" s="91"/>
      <c r="G77" s="424"/>
      <c r="H77" s="424"/>
      <c r="I77" s="424"/>
      <c r="J77" s="424"/>
      <c r="K77" s="424"/>
      <c r="L77" s="111"/>
      <c r="M77" s="143" t="s">
        <v>8</v>
      </c>
      <c r="N77" s="91"/>
      <c r="O77" s="94"/>
      <c r="P77" s="143" t="s">
        <v>9</v>
      </c>
      <c r="S77" t="s">
        <v>76</v>
      </c>
    </row>
    <row r="78" spans="1:256" ht="18" customHeight="1" x14ac:dyDescent="0.15">
      <c r="B78" s="637"/>
      <c r="C78" s="133" t="s">
        <v>83</v>
      </c>
      <c r="D78" s="109"/>
      <c r="E78" s="109"/>
      <c r="F78" s="109"/>
      <c r="G78" s="439"/>
      <c r="H78" s="424"/>
      <c r="I78" s="424"/>
      <c r="J78" s="424"/>
      <c r="K78" s="424"/>
      <c r="L78" s="111"/>
      <c r="M78" s="444">
        <f>M31</f>
        <v>1200.5408944352175</v>
      </c>
      <c r="N78" s="445"/>
      <c r="O78" s="445"/>
      <c r="P78" s="444">
        <f>P31</f>
        <v>1200.5408944352175</v>
      </c>
    </row>
    <row r="79" spans="1:256" ht="18" customHeight="1" x14ac:dyDescent="0.15">
      <c r="B79" s="637"/>
      <c r="C79" s="133" t="s">
        <v>84</v>
      </c>
      <c r="D79" s="109"/>
      <c r="E79" s="109"/>
      <c r="F79" s="109"/>
      <c r="G79" s="439"/>
      <c r="H79" s="424"/>
      <c r="I79" s="424"/>
      <c r="J79" s="424"/>
      <c r="K79" s="424"/>
      <c r="L79" s="111"/>
      <c r="M79" s="444">
        <f>M50</f>
        <v>374.08645392050676</v>
      </c>
      <c r="N79" s="445"/>
      <c r="O79" s="445"/>
      <c r="P79" s="444">
        <f>P50</f>
        <v>357.65775026587238</v>
      </c>
    </row>
    <row r="80" spans="1:256" ht="18" customHeight="1" x14ac:dyDescent="0.15">
      <c r="B80" s="637"/>
      <c r="C80" s="133" t="s">
        <v>85</v>
      </c>
      <c r="D80" s="109"/>
      <c r="E80" s="109"/>
      <c r="F80" s="109"/>
      <c r="G80" s="439"/>
      <c r="H80" s="424"/>
      <c r="I80" s="424"/>
      <c r="J80" s="424"/>
      <c r="K80" s="424"/>
      <c r="L80" s="111"/>
      <c r="M80" s="446">
        <f>M70</f>
        <v>1.9658100000000001</v>
      </c>
      <c r="N80" s="445"/>
      <c r="O80" s="445"/>
      <c r="P80" s="446">
        <f>P53</f>
        <v>1.7094000000000003</v>
      </c>
    </row>
    <row r="81" spans="2:16" ht="18" customHeight="1" thickBot="1" x14ac:dyDescent="0.2">
      <c r="B81" s="646"/>
      <c r="C81" s="156" t="s">
        <v>86</v>
      </c>
      <c r="D81" s="157"/>
      <c r="E81" s="158"/>
      <c r="F81" s="158"/>
      <c r="G81" s="159"/>
      <c r="H81" s="647"/>
      <c r="I81" s="648"/>
      <c r="J81" s="648"/>
      <c r="K81" s="648"/>
      <c r="L81" s="160"/>
      <c r="M81" s="447">
        <f>SUM(M78:M80)</f>
        <v>1576.5931583557242</v>
      </c>
      <c r="N81" s="448"/>
      <c r="O81" s="448"/>
      <c r="P81" s="447">
        <f>IF(COUNTIF(P78:P80,$S$77)&gt;0,$S$77,SUM(P78:P80))</f>
        <v>1559.9080447010899</v>
      </c>
    </row>
    <row r="82" spans="2:16" ht="11.25" customHeight="1" x14ac:dyDescent="0.15">
      <c r="B82" s="636"/>
      <c r="C82" s="13"/>
      <c r="D82" s="82"/>
      <c r="E82" s="13"/>
      <c r="F82" s="13"/>
      <c r="G82" s="636"/>
      <c r="H82" s="636"/>
      <c r="I82" s="636"/>
      <c r="J82" s="636"/>
      <c r="K82" s="636"/>
      <c r="L82" s="83"/>
    </row>
  </sheetData>
  <sheetProtection algorithmName="SHA-512" hashValue="lRBDJSCTy8faDTBWX/7xEdvNhlJXOesFb8WNH19NBiySiz/G8CeQrUA6DV+D0K01UIlMLrxgUv+Ld23fQ+QbgQ==" saltValue="VilLHsjCx9PNSUlpCfI7Xw==" spinCount="100000" sheet="1" objects="1" scenarios="1"/>
  <mergeCells count="7">
    <mergeCell ref="L2:M2"/>
    <mergeCell ref="L3:M3"/>
    <mergeCell ref="L9:M9"/>
    <mergeCell ref="O9:P9"/>
    <mergeCell ref="L36:M36"/>
    <mergeCell ref="O36:P36"/>
    <mergeCell ref="L21:M21"/>
  </mergeCells>
  <phoneticPr fontId="4"/>
  <conditionalFormatting sqref="G11">
    <cfRule type="expression" dxfId="40" priority="40">
      <formula>$F$11=0</formula>
    </cfRule>
  </conditionalFormatting>
  <conditionalFormatting sqref="G12">
    <cfRule type="expression" dxfId="39" priority="39">
      <formula>$F$12=0</formula>
    </cfRule>
  </conditionalFormatting>
  <conditionalFormatting sqref="G13">
    <cfRule type="expression" dxfId="38" priority="32">
      <formula>$F$13=0</formula>
    </cfRule>
  </conditionalFormatting>
  <conditionalFormatting sqref="I21">
    <cfRule type="cellIs" dxfId="37" priority="41" stopIfTrue="1" operator="equal">
      <formula>5</formula>
    </cfRule>
    <cfRule type="cellIs" dxfId="36" priority="42" stopIfTrue="1" operator="equal">
      <formula>4</formula>
    </cfRule>
    <cfRule type="cellIs" dxfId="35" priority="43" stopIfTrue="1" operator="equal">
      <formula>2</formula>
    </cfRule>
  </conditionalFormatting>
  <conditionalFormatting sqref="I12:K13">
    <cfRule type="expression" dxfId="34" priority="9">
      <formula>$F$11=0</formula>
    </cfRule>
  </conditionalFormatting>
  <conditionalFormatting sqref="I38:K40">
    <cfRule type="expression" dxfId="33" priority="1">
      <formula>$G$38=0</formula>
    </cfRule>
  </conditionalFormatting>
  <conditionalFormatting sqref="I11:M11">
    <cfRule type="expression" dxfId="32" priority="38">
      <formula>$F$11=0</formula>
    </cfRule>
  </conditionalFormatting>
  <conditionalFormatting sqref="L12:M12">
    <cfRule type="expression" dxfId="31" priority="34">
      <formula>$F$12=0</formula>
    </cfRule>
  </conditionalFormatting>
  <conditionalFormatting sqref="L13:M13">
    <cfRule type="expression" dxfId="30" priority="31">
      <formula>$F$13=0</formula>
    </cfRule>
  </conditionalFormatting>
  <conditionalFormatting sqref="L38:M38">
    <cfRule type="expression" dxfId="29" priority="20">
      <formula>$G$38=0</formula>
    </cfRule>
  </conditionalFormatting>
  <conditionalFormatting sqref="L39:M39">
    <cfRule type="expression" dxfId="28" priority="19">
      <formula>$G$39=0</formula>
    </cfRule>
  </conditionalFormatting>
  <conditionalFormatting sqref="L40:M40">
    <cfRule type="expression" dxfId="27" priority="18">
      <formula>$G$40=0</formula>
    </cfRule>
  </conditionalFormatting>
  <conditionalFormatting sqref="O11:P11">
    <cfRule type="expression" dxfId="26" priority="36">
      <formula>$F$11=0</formula>
    </cfRule>
  </conditionalFormatting>
  <conditionalFormatting sqref="O12:P12">
    <cfRule type="expression" dxfId="25" priority="33">
      <formula>$F$12=0</formula>
    </cfRule>
  </conditionalFormatting>
  <conditionalFormatting sqref="O13:P13">
    <cfRule type="expression" dxfId="24" priority="30">
      <formula>$F$13=0</formula>
    </cfRule>
  </conditionalFormatting>
  <conditionalFormatting sqref="O38:P38">
    <cfRule type="expression" dxfId="23" priority="17">
      <formula>$G$38=0</formula>
    </cfRule>
  </conditionalFormatting>
  <conditionalFormatting sqref="O39:P39">
    <cfRule type="expression" dxfId="22" priority="16">
      <formula>$G$39=0</formula>
    </cfRule>
  </conditionalFormatting>
  <conditionalFormatting sqref="O40:P40">
    <cfRule type="expression" dxfId="21" priority="15">
      <formula>$G$40=0</formula>
    </cfRule>
  </conditionalFormatting>
  <conditionalFormatting sqref="Q5:IV6 I7 Q7:Q8 R7:IV17 I9 Q11:Q17 Q18:IV33 G20 G31:G32 Q34:Q35 R34:IV51 I36 Q38:Q51 G50:G51 Q52:IV52 Q74:R65557 T74:IV65557 F78 S78:S65557 F80">
    <cfRule type="cellIs" dxfId="20" priority="45" stopIfTrue="1" operator="equal">
      <formula>5</formula>
    </cfRule>
    <cfRule type="cellIs" dxfId="19" priority="46" stopIfTrue="1" operator="equal">
      <formula>4</formula>
    </cfRule>
    <cfRule type="cellIs" dxfId="18" priority="47" stopIfTrue="1" operator="equal">
      <formula>2</formula>
    </cfRule>
  </conditionalFormatting>
  <printOptions horizontalCentered="1"/>
  <pageMargins left="0.25" right="0.25" top="0.75" bottom="0.75" header="0.3" footer="0.3"/>
  <pageSetup paperSize="9" scale="77" fitToHeight="0" orientation="portrait" horizontalDpi="300" verticalDpi="300" r:id="rId1"/>
  <headerFooter alignWithMargins="0">
    <oddHeader>&amp;L&amp;F&amp;R&amp;A</oddHeader>
    <oddFooter>&amp;C&amp;P/&amp;N</oddFooter>
  </headerFooter>
  <rowBreaks count="1" manualBreakCount="1">
    <brk id="5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XEW341"/>
  <sheetViews>
    <sheetView showGridLines="0" view="pageBreakPreview" topLeftCell="A107" zoomScale="85" zoomScaleNormal="100" zoomScaleSheetLayoutView="85" workbookViewId="0">
      <selection activeCell="O107" sqref="O107"/>
    </sheetView>
  </sheetViews>
  <sheetFormatPr defaultColWidth="0" defaultRowHeight="13.5" customHeight="1" zeroHeight="1" x14ac:dyDescent="0.15"/>
  <cols>
    <col min="1" max="2" width="1.5" style="20" customWidth="1"/>
    <col min="3" max="3" width="2.75" style="20" customWidth="1"/>
    <col min="4" max="4" width="8.5" style="20" customWidth="1"/>
    <col min="5" max="5" width="13.75" style="20" customWidth="1"/>
    <col min="6" max="6" width="14.25" style="20" customWidth="1"/>
    <col min="7" max="7" width="4.625" style="20" hidden="1" customWidth="1"/>
    <col min="8" max="8" width="9.375" style="20" hidden="1" customWidth="1"/>
    <col min="9" max="17" width="9.25" style="20" customWidth="1"/>
    <col min="18" max="18" width="2.625" style="20" customWidth="1"/>
    <col min="19" max="19" width="9.625" style="20" hidden="1" customWidth="1"/>
    <col min="20" max="20" width="11.125" style="20" hidden="1" customWidth="1"/>
    <col min="21" max="27" width="5.875" style="20" hidden="1" customWidth="1"/>
    <col min="28" max="249" width="8.875" style="20" hidden="1" customWidth="1"/>
    <col min="250" max="16377" width="9" style="20" hidden="1" customWidth="1"/>
    <col min="16378" max="16384" width="0" style="20" hidden="1" customWidth="1"/>
  </cols>
  <sheetData>
    <row r="1" spans="2:17" ht="23.25" x14ac:dyDescent="0.35">
      <c r="B1" s="45" t="s">
        <v>283</v>
      </c>
    </row>
    <row r="2" spans="2:17" ht="18" customHeight="1" x14ac:dyDescent="0.15">
      <c r="B2" s="28"/>
    </row>
    <row r="3" spans="2:17" ht="16.5" x14ac:dyDescent="0.25">
      <c r="C3" s="29" t="s">
        <v>284</v>
      </c>
      <c r="D3" s="29"/>
      <c r="I3" s="46" t="s">
        <v>28</v>
      </c>
      <c r="J3" s="47"/>
      <c r="K3" s="47"/>
      <c r="L3" s="48"/>
      <c r="M3" s="48"/>
      <c r="N3" s="48"/>
      <c r="O3" s="48"/>
      <c r="P3" s="48"/>
      <c r="Q3" s="49"/>
    </row>
    <row r="4" spans="2:17" ht="14.25" x14ac:dyDescent="0.15">
      <c r="C4" s="21"/>
      <c r="D4" s="21"/>
      <c r="E4" s="21"/>
      <c r="F4" s="13" t="s">
        <v>285</v>
      </c>
      <c r="H4" s="21"/>
      <c r="I4" s="50" t="s">
        <v>18</v>
      </c>
      <c r="J4" s="48"/>
      <c r="K4" s="51"/>
      <c r="L4" s="50" t="s">
        <v>19</v>
      </c>
      <c r="M4" s="48"/>
      <c r="N4" s="51"/>
      <c r="O4" s="50" t="s">
        <v>20</v>
      </c>
      <c r="P4" s="48"/>
      <c r="Q4" s="51"/>
    </row>
    <row r="5" spans="2:17" ht="16.5" x14ac:dyDescent="0.25">
      <c r="C5" s="36" t="s">
        <v>286</v>
      </c>
      <c r="D5" s="39"/>
      <c r="E5" s="27" t="s">
        <v>287</v>
      </c>
      <c r="F5" s="22" t="s">
        <v>288</v>
      </c>
      <c r="H5" s="23"/>
      <c r="I5" s="52" t="s">
        <v>289</v>
      </c>
      <c r="J5" s="52" t="s">
        <v>290</v>
      </c>
      <c r="K5" s="52" t="s">
        <v>291</v>
      </c>
      <c r="L5" s="52" t="s">
        <v>289</v>
      </c>
      <c r="M5" s="52" t="s">
        <v>290</v>
      </c>
      <c r="N5" s="52" t="s">
        <v>291</v>
      </c>
      <c r="O5" s="52" t="s">
        <v>289</v>
      </c>
      <c r="P5" s="52" t="s">
        <v>290</v>
      </c>
      <c r="Q5" s="52" t="s">
        <v>291</v>
      </c>
    </row>
    <row r="6" spans="2:17" x14ac:dyDescent="0.15">
      <c r="C6" s="43" t="s">
        <v>292</v>
      </c>
      <c r="D6" s="40"/>
      <c r="E6" s="24" t="s">
        <v>292</v>
      </c>
      <c r="F6" s="23" t="s">
        <v>289</v>
      </c>
      <c r="H6" s="23">
        <v>113</v>
      </c>
      <c r="I6" s="674">
        <v>8.9364493041147846</v>
      </c>
      <c r="J6" s="674">
        <v>4.4682246520573923</v>
      </c>
      <c r="K6" s="674">
        <v>2.9788164347049282</v>
      </c>
      <c r="L6" s="674">
        <v>13.857536086289198</v>
      </c>
      <c r="M6" s="674">
        <v>6.9287680431445988</v>
      </c>
      <c r="N6" s="674">
        <v>4.6191786954297331</v>
      </c>
      <c r="O6" s="674">
        <v>14.191383846258077</v>
      </c>
      <c r="P6" s="674">
        <v>7.0956919231290385</v>
      </c>
      <c r="Q6" s="674">
        <v>4.7304612820860266</v>
      </c>
    </row>
    <row r="7" spans="2:17" x14ac:dyDescent="0.15">
      <c r="C7" s="37"/>
      <c r="D7" s="41"/>
      <c r="E7" s="25"/>
      <c r="F7" s="23" t="s">
        <v>290</v>
      </c>
      <c r="H7" s="23">
        <v>114</v>
      </c>
      <c r="I7" s="674">
        <v>8.9364493041147846</v>
      </c>
      <c r="J7" s="674">
        <v>4.4682246520573923</v>
      </c>
      <c r="K7" s="674">
        <v>2.9788164347049282</v>
      </c>
      <c r="L7" s="674">
        <v>13.857536086289198</v>
      </c>
      <c r="M7" s="674">
        <v>6.9287680431445988</v>
      </c>
      <c r="N7" s="674">
        <v>4.6191786954297331</v>
      </c>
      <c r="O7" s="674">
        <v>14.191383846258077</v>
      </c>
      <c r="P7" s="674">
        <v>7.0956919231290385</v>
      </c>
      <c r="Q7" s="674">
        <v>4.7304612820860266</v>
      </c>
    </row>
    <row r="8" spans="2:17" x14ac:dyDescent="0.15">
      <c r="C8" s="37"/>
      <c r="D8" s="41"/>
      <c r="E8" s="26"/>
      <c r="F8" s="23" t="s">
        <v>291</v>
      </c>
      <c r="H8" s="23">
        <v>115</v>
      </c>
      <c r="I8" s="674">
        <v>8.9364493041147846</v>
      </c>
      <c r="J8" s="674">
        <v>4.4682246520573923</v>
      </c>
      <c r="K8" s="674">
        <v>2.9788164347049282</v>
      </c>
      <c r="L8" s="674">
        <v>13.857536086289198</v>
      </c>
      <c r="M8" s="674">
        <v>6.9287680431445988</v>
      </c>
      <c r="N8" s="674">
        <v>4.6191786954297331</v>
      </c>
      <c r="O8" s="674">
        <v>14.191383846258077</v>
      </c>
      <c r="P8" s="674">
        <v>7.0956919231290385</v>
      </c>
      <c r="Q8" s="674">
        <v>4.7304612820860266</v>
      </c>
    </row>
    <row r="9" spans="2:17" x14ac:dyDescent="0.15">
      <c r="C9" s="37"/>
      <c r="D9" s="41"/>
      <c r="E9" s="24" t="s">
        <v>293</v>
      </c>
      <c r="F9" s="23" t="s">
        <v>289</v>
      </c>
      <c r="H9" s="23">
        <v>123</v>
      </c>
      <c r="I9" s="674">
        <v>8.9364493041147846</v>
      </c>
      <c r="J9" s="674">
        <v>4.4682246520573923</v>
      </c>
      <c r="K9" s="674">
        <v>2.9788164347049282</v>
      </c>
      <c r="L9" s="674">
        <v>13.857536086289198</v>
      </c>
      <c r="M9" s="674">
        <v>6.9287680431445988</v>
      </c>
      <c r="N9" s="674">
        <v>4.6191786954297331</v>
      </c>
      <c r="O9" s="674">
        <v>14.191383846258077</v>
      </c>
      <c r="P9" s="674">
        <v>7.0956919231290385</v>
      </c>
      <c r="Q9" s="674">
        <v>4.7304612820860266</v>
      </c>
    </row>
    <row r="10" spans="2:17" x14ac:dyDescent="0.15">
      <c r="C10" s="37"/>
      <c r="D10" s="41"/>
      <c r="E10" s="25"/>
      <c r="F10" s="23" t="s">
        <v>290</v>
      </c>
      <c r="H10" s="23">
        <v>124</v>
      </c>
      <c r="I10" s="674">
        <v>8.9364493041147846</v>
      </c>
      <c r="J10" s="674">
        <v>4.4682246520573923</v>
      </c>
      <c r="K10" s="674">
        <v>2.9788164347049282</v>
      </c>
      <c r="L10" s="674">
        <v>13.857536086289198</v>
      </c>
      <c r="M10" s="674">
        <v>6.9287680431445988</v>
      </c>
      <c r="N10" s="674">
        <v>4.6191786954297331</v>
      </c>
      <c r="O10" s="674">
        <v>14.191383846258077</v>
      </c>
      <c r="P10" s="674">
        <v>7.0956919231290385</v>
      </c>
      <c r="Q10" s="674">
        <v>4.7304612820860266</v>
      </c>
    </row>
    <row r="11" spans="2:17" x14ac:dyDescent="0.15">
      <c r="C11" s="37"/>
      <c r="D11" s="41"/>
      <c r="E11" s="26"/>
      <c r="F11" s="23" t="s">
        <v>291</v>
      </c>
      <c r="H11" s="23">
        <v>125</v>
      </c>
      <c r="I11" s="674">
        <v>8.9364493041147846</v>
      </c>
      <c r="J11" s="674">
        <v>4.4682246520573923</v>
      </c>
      <c r="K11" s="674">
        <v>2.9788164347049282</v>
      </c>
      <c r="L11" s="674">
        <v>13.857536086289198</v>
      </c>
      <c r="M11" s="674">
        <v>6.9287680431445988</v>
      </c>
      <c r="N11" s="674">
        <v>4.6191786954297331</v>
      </c>
      <c r="O11" s="674">
        <v>14.191383846258077</v>
      </c>
      <c r="P11" s="674">
        <v>7.0956919231290385</v>
      </c>
      <c r="Q11" s="674">
        <v>4.7304612820860266</v>
      </c>
    </row>
    <row r="12" spans="2:17" x14ac:dyDescent="0.15">
      <c r="C12" s="37"/>
      <c r="D12" s="41"/>
      <c r="E12" s="24" t="s">
        <v>289</v>
      </c>
      <c r="F12" s="23" t="s">
        <v>289</v>
      </c>
      <c r="H12" s="23">
        <v>133</v>
      </c>
      <c r="I12" s="674">
        <v>8.9364493041147846</v>
      </c>
      <c r="J12" s="674">
        <v>4.4682246520573923</v>
      </c>
      <c r="K12" s="674">
        <v>2.9788164347049282</v>
      </c>
      <c r="L12" s="674">
        <v>13.857536086289198</v>
      </c>
      <c r="M12" s="674">
        <v>6.9287680431445988</v>
      </c>
      <c r="N12" s="674">
        <v>4.6191786954297331</v>
      </c>
      <c r="O12" s="674">
        <v>14.191383846258077</v>
      </c>
      <c r="P12" s="674">
        <v>7.0956919231290385</v>
      </c>
      <c r="Q12" s="674">
        <v>4.7304612820860266</v>
      </c>
    </row>
    <row r="13" spans="2:17" x14ac:dyDescent="0.15">
      <c r="C13" s="37"/>
      <c r="D13" s="41"/>
      <c r="E13" s="25"/>
      <c r="F13" s="23" t="s">
        <v>290</v>
      </c>
      <c r="H13" s="23">
        <v>134</v>
      </c>
      <c r="I13" s="674">
        <v>8.9364493041147846</v>
      </c>
      <c r="J13" s="674">
        <v>4.4682246520573923</v>
      </c>
      <c r="K13" s="674">
        <v>2.9788164347049282</v>
      </c>
      <c r="L13" s="674">
        <v>13.857536086289198</v>
      </c>
      <c r="M13" s="674">
        <v>6.9287680431445988</v>
      </c>
      <c r="N13" s="674">
        <v>4.6191786954297331</v>
      </c>
      <c r="O13" s="674">
        <v>14.191383846258077</v>
      </c>
      <c r="P13" s="674">
        <v>7.0956919231290385</v>
      </c>
      <c r="Q13" s="674">
        <v>4.7304612820860266</v>
      </c>
    </row>
    <row r="14" spans="2:17" x14ac:dyDescent="0.15">
      <c r="C14" s="37"/>
      <c r="D14" s="41"/>
      <c r="E14" s="26"/>
      <c r="F14" s="23" t="s">
        <v>291</v>
      </c>
      <c r="H14" s="23">
        <v>135</v>
      </c>
      <c r="I14" s="674">
        <v>8.9364493041147846</v>
      </c>
      <c r="J14" s="674">
        <v>4.4682246520573923</v>
      </c>
      <c r="K14" s="674">
        <v>2.9788164347049282</v>
      </c>
      <c r="L14" s="674">
        <v>13.857536086289198</v>
      </c>
      <c r="M14" s="674">
        <v>6.9287680431445988</v>
      </c>
      <c r="N14" s="674">
        <v>4.6191786954297331</v>
      </c>
      <c r="O14" s="674">
        <v>14.191383846258077</v>
      </c>
      <c r="P14" s="674">
        <v>7.0956919231290385</v>
      </c>
      <c r="Q14" s="674">
        <v>4.7304612820860266</v>
      </c>
    </row>
    <row r="15" spans="2:17" x14ac:dyDescent="0.15">
      <c r="C15" s="37"/>
      <c r="D15" s="41"/>
      <c r="E15" s="24" t="s">
        <v>290</v>
      </c>
      <c r="F15" s="23" t="s">
        <v>289</v>
      </c>
      <c r="H15" s="23">
        <v>143</v>
      </c>
      <c r="I15" s="674">
        <v>8.9364493041147846</v>
      </c>
      <c r="J15" s="674">
        <v>4.4682246520573923</v>
      </c>
      <c r="K15" s="674">
        <v>2.9788164347049282</v>
      </c>
      <c r="L15" s="674">
        <v>13.857536086289198</v>
      </c>
      <c r="M15" s="674">
        <v>6.9287680431445988</v>
      </c>
      <c r="N15" s="674">
        <v>4.6191786954297331</v>
      </c>
      <c r="O15" s="674">
        <v>14.191383846258077</v>
      </c>
      <c r="P15" s="674">
        <v>7.0956919231290385</v>
      </c>
      <c r="Q15" s="674">
        <v>4.7304612820860266</v>
      </c>
    </row>
    <row r="16" spans="2:17" x14ac:dyDescent="0.15">
      <c r="C16" s="37"/>
      <c r="D16" s="41"/>
      <c r="E16" s="25"/>
      <c r="F16" s="23" t="s">
        <v>290</v>
      </c>
      <c r="H16" s="23">
        <v>144</v>
      </c>
      <c r="I16" s="674">
        <v>8.9364493041147846</v>
      </c>
      <c r="J16" s="674">
        <v>4.4682246520573923</v>
      </c>
      <c r="K16" s="674">
        <v>2.9788164347049282</v>
      </c>
      <c r="L16" s="674">
        <v>13.857536086289198</v>
      </c>
      <c r="M16" s="674">
        <v>6.9287680431445988</v>
      </c>
      <c r="N16" s="674">
        <v>4.6191786954297331</v>
      </c>
      <c r="O16" s="674">
        <v>14.191383846258077</v>
      </c>
      <c r="P16" s="674">
        <v>7.0956919231290385</v>
      </c>
      <c r="Q16" s="674">
        <v>4.7304612820860266</v>
      </c>
    </row>
    <row r="17" spans="3:17" x14ac:dyDescent="0.15">
      <c r="C17" s="38"/>
      <c r="D17" s="42"/>
      <c r="E17" s="26"/>
      <c r="F17" s="23" t="s">
        <v>291</v>
      </c>
      <c r="H17" s="23">
        <v>145</v>
      </c>
      <c r="I17" s="674">
        <v>8.9364493041147846</v>
      </c>
      <c r="J17" s="674">
        <v>4.4682246520573923</v>
      </c>
      <c r="K17" s="674">
        <v>2.9788164347049282</v>
      </c>
      <c r="L17" s="674">
        <v>13.857536086289198</v>
      </c>
      <c r="M17" s="674">
        <v>6.9287680431445988</v>
      </c>
      <c r="N17" s="674">
        <v>4.6191786954297331</v>
      </c>
      <c r="O17" s="674">
        <v>14.191383846258077</v>
      </c>
      <c r="P17" s="674">
        <v>7.0956919231290385</v>
      </c>
      <c r="Q17" s="674">
        <v>4.7304612820860266</v>
      </c>
    </row>
    <row r="18" spans="3:17" x14ac:dyDescent="0.15">
      <c r="C18" s="43" t="s">
        <v>293</v>
      </c>
      <c r="D18" s="40"/>
      <c r="E18" s="24" t="s">
        <v>292</v>
      </c>
      <c r="F18" s="23" t="s">
        <v>289</v>
      </c>
      <c r="H18" s="23">
        <v>213</v>
      </c>
      <c r="I18" s="674">
        <v>8.9364493041147846</v>
      </c>
      <c r="J18" s="674">
        <v>4.4682246520573923</v>
      </c>
      <c r="K18" s="674">
        <v>2.9788164347049282</v>
      </c>
      <c r="L18" s="674">
        <v>13.857536086289198</v>
      </c>
      <c r="M18" s="674">
        <v>6.9287680431445988</v>
      </c>
      <c r="N18" s="674">
        <v>4.6191786954297331</v>
      </c>
      <c r="O18" s="674">
        <v>14.191383846258077</v>
      </c>
      <c r="P18" s="674">
        <v>7.0956919231290385</v>
      </c>
      <c r="Q18" s="674">
        <v>4.7304612820860266</v>
      </c>
    </row>
    <row r="19" spans="3:17" x14ac:dyDescent="0.15">
      <c r="C19" s="37"/>
      <c r="D19" s="41"/>
      <c r="E19" s="25"/>
      <c r="F19" s="23" t="s">
        <v>290</v>
      </c>
      <c r="H19" s="23">
        <v>214</v>
      </c>
      <c r="I19" s="674">
        <v>8.9364493041147846</v>
      </c>
      <c r="J19" s="674">
        <v>4.4682246520573923</v>
      </c>
      <c r="K19" s="674">
        <v>2.9788164347049282</v>
      </c>
      <c r="L19" s="674">
        <v>13.857536086289198</v>
      </c>
      <c r="M19" s="674">
        <v>6.9287680431445988</v>
      </c>
      <c r="N19" s="674">
        <v>4.6191786954297331</v>
      </c>
      <c r="O19" s="674">
        <v>14.191383846258077</v>
      </c>
      <c r="P19" s="674">
        <v>7.0956919231290385</v>
      </c>
      <c r="Q19" s="674">
        <v>4.7304612820860266</v>
      </c>
    </row>
    <row r="20" spans="3:17" x14ac:dyDescent="0.15">
      <c r="C20" s="37"/>
      <c r="D20" s="41"/>
      <c r="E20" s="26"/>
      <c r="F20" s="23" t="s">
        <v>291</v>
      </c>
      <c r="H20" s="23">
        <v>215</v>
      </c>
      <c r="I20" s="674">
        <v>8.9364493041147846</v>
      </c>
      <c r="J20" s="674">
        <v>4.4682246520573923</v>
      </c>
      <c r="K20" s="674">
        <v>2.9788164347049282</v>
      </c>
      <c r="L20" s="674">
        <v>13.857536086289198</v>
      </c>
      <c r="M20" s="674">
        <v>6.9287680431445988</v>
      </c>
      <c r="N20" s="674">
        <v>4.6191786954297331</v>
      </c>
      <c r="O20" s="674">
        <v>14.191383846258077</v>
      </c>
      <c r="P20" s="674">
        <v>7.0956919231290385</v>
      </c>
      <c r="Q20" s="674">
        <v>4.7304612820860266</v>
      </c>
    </row>
    <row r="21" spans="3:17" x14ac:dyDescent="0.15">
      <c r="C21" s="37"/>
      <c r="D21" s="41"/>
      <c r="E21" s="24" t="s">
        <v>293</v>
      </c>
      <c r="F21" s="23" t="s">
        <v>289</v>
      </c>
      <c r="H21" s="23">
        <v>223</v>
      </c>
      <c r="I21" s="674">
        <v>8.9364493041147846</v>
      </c>
      <c r="J21" s="674">
        <v>4.4682246520573923</v>
      </c>
      <c r="K21" s="674">
        <v>2.9788164347049282</v>
      </c>
      <c r="L21" s="674">
        <v>13.857536086289198</v>
      </c>
      <c r="M21" s="674">
        <v>6.9287680431445988</v>
      </c>
      <c r="N21" s="674">
        <v>4.6191786954297331</v>
      </c>
      <c r="O21" s="674">
        <v>14.191383846258077</v>
      </c>
      <c r="P21" s="674">
        <v>7.0956919231290385</v>
      </c>
      <c r="Q21" s="674">
        <v>4.7304612820860266</v>
      </c>
    </row>
    <row r="22" spans="3:17" x14ac:dyDescent="0.15">
      <c r="C22" s="37"/>
      <c r="D22" s="41"/>
      <c r="E22" s="25"/>
      <c r="F22" s="23" t="s">
        <v>290</v>
      </c>
      <c r="H22" s="23">
        <v>224</v>
      </c>
      <c r="I22" s="674">
        <v>8.9364493041147846</v>
      </c>
      <c r="J22" s="674">
        <v>4.4682246520573923</v>
      </c>
      <c r="K22" s="674">
        <v>2.9788164347049282</v>
      </c>
      <c r="L22" s="674">
        <v>13.857536086289198</v>
      </c>
      <c r="M22" s="674">
        <v>6.9287680431445988</v>
      </c>
      <c r="N22" s="674">
        <v>4.6191786954297331</v>
      </c>
      <c r="O22" s="674">
        <v>14.191383846258077</v>
      </c>
      <c r="P22" s="674">
        <v>7.0956919231290385</v>
      </c>
      <c r="Q22" s="674">
        <v>4.7304612820860266</v>
      </c>
    </row>
    <row r="23" spans="3:17" x14ac:dyDescent="0.15">
      <c r="C23" s="37"/>
      <c r="D23" s="41"/>
      <c r="E23" s="26"/>
      <c r="F23" s="23" t="s">
        <v>291</v>
      </c>
      <c r="H23" s="23">
        <v>225</v>
      </c>
      <c r="I23" s="674">
        <v>8.9364493041147846</v>
      </c>
      <c r="J23" s="674">
        <v>4.4682246520573923</v>
      </c>
      <c r="K23" s="674">
        <v>2.9788164347049282</v>
      </c>
      <c r="L23" s="674">
        <v>13.857536086289198</v>
      </c>
      <c r="M23" s="674">
        <v>6.9287680431445988</v>
      </c>
      <c r="N23" s="674">
        <v>4.6191786954297331</v>
      </c>
      <c r="O23" s="674">
        <v>14.191383846258077</v>
      </c>
      <c r="P23" s="674">
        <v>7.0956919231290385</v>
      </c>
      <c r="Q23" s="674">
        <v>4.7304612820860266</v>
      </c>
    </row>
    <row r="24" spans="3:17" x14ac:dyDescent="0.15">
      <c r="C24" s="37"/>
      <c r="D24" s="41"/>
      <c r="E24" s="24" t="s">
        <v>289</v>
      </c>
      <c r="F24" s="23" t="s">
        <v>289</v>
      </c>
      <c r="H24" s="23">
        <v>233</v>
      </c>
      <c r="I24" s="674">
        <v>8.9364493041147846</v>
      </c>
      <c r="J24" s="674">
        <v>4.4682246520573923</v>
      </c>
      <c r="K24" s="674">
        <v>2.9788164347049282</v>
      </c>
      <c r="L24" s="674">
        <v>13.857536086289198</v>
      </c>
      <c r="M24" s="674">
        <v>6.9287680431445988</v>
      </c>
      <c r="N24" s="674">
        <v>4.6191786954297331</v>
      </c>
      <c r="O24" s="674">
        <v>14.191383846258077</v>
      </c>
      <c r="P24" s="674">
        <v>7.0956919231290385</v>
      </c>
      <c r="Q24" s="674">
        <v>4.7304612820860266</v>
      </c>
    </row>
    <row r="25" spans="3:17" x14ac:dyDescent="0.15">
      <c r="C25" s="37"/>
      <c r="D25" s="41"/>
      <c r="E25" s="25"/>
      <c r="F25" s="23" t="s">
        <v>290</v>
      </c>
      <c r="H25" s="23">
        <v>234</v>
      </c>
      <c r="I25" s="674">
        <v>8.9364493041147846</v>
      </c>
      <c r="J25" s="674">
        <v>4.4682246520573923</v>
      </c>
      <c r="K25" s="674">
        <v>2.9788164347049282</v>
      </c>
      <c r="L25" s="674">
        <v>13.857536086289198</v>
      </c>
      <c r="M25" s="674">
        <v>6.9287680431445988</v>
      </c>
      <c r="N25" s="674">
        <v>4.6191786954297331</v>
      </c>
      <c r="O25" s="674">
        <v>14.191383846258077</v>
      </c>
      <c r="P25" s="674">
        <v>7.0956919231290385</v>
      </c>
      <c r="Q25" s="674">
        <v>4.7304612820860266</v>
      </c>
    </row>
    <row r="26" spans="3:17" x14ac:dyDescent="0.15">
      <c r="C26" s="37"/>
      <c r="D26" s="41"/>
      <c r="E26" s="26"/>
      <c r="F26" s="23" t="s">
        <v>291</v>
      </c>
      <c r="H26" s="23">
        <v>235</v>
      </c>
      <c r="I26" s="674">
        <v>8.9364493041147846</v>
      </c>
      <c r="J26" s="674">
        <v>4.4682246520573923</v>
      </c>
      <c r="K26" s="674">
        <v>2.9788164347049282</v>
      </c>
      <c r="L26" s="674">
        <v>13.857536086289198</v>
      </c>
      <c r="M26" s="674">
        <v>6.9287680431445988</v>
      </c>
      <c r="N26" s="674">
        <v>4.6191786954297331</v>
      </c>
      <c r="O26" s="674">
        <v>14.191383846258077</v>
      </c>
      <c r="P26" s="674">
        <v>7.0956919231290385</v>
      </c>
      <c r="Q26" s="674">
        <v>4.7304612820860266</v>
      </c>
    </row>
    <row r="27" spans="3:17" x14ac:dyDescent="0.15">
      <c r="C27" s="37"/>
      <c r="D27" s="41"/>
      <c r="E27" s="24" t="s">
        <v>290</v>
      </c>
      <c r="F27" s="23" t="s">
        <v>289</v>
      </c>
      <c r="H27" s="23">
        <v>243</v>
      </c>
      <c r="I27" s="674">
        <v>8.9364493041147846</v>
      </c>
      <c r="J27" s="674">
        <v>4.4682246520573923</v>
      </c>
      <c r="K27" s="674">
        <v>2.9788164347049282</v>
      </c>
      <c r="L27" s="674">
        <v>13.857536086289198</v>
      </c>
      <c r="M27" s="674">
        <v>6.9287680431445988</v>
      </c>
      <c r="N27" s="674">
        <v>4.6191786954297331</v>
      </c>
      <c r="O27" s="674">
        <v>14.191383846258077</v>
      </c>
      <c r="P27" s="674">
        <v>7.0956919231290385</v>
      </c>
      <c r="Q27" s="674">
        <v>4.7304612820860266</v>
      </c>
    </row>
    <row r="28" spans="3:17" x14ac:dyDescent="0.15">
      <c r="C28" s="37"/>
      <c r="D28" s="41"/>
      <c r="E28" s="25"/>
      <c r="F28" s="23" t="s">
        <v>290</v>
      </c>
      <c r="H28" s="23">
        <v>244</v>
      </c>
      <c r="I28" s="674">
        <v>8.9364493041147846</v>
      </c>
      <c r="J28" s="674">
        <v>4.4682246520573923</v>
      </c>
      <c r="K28" s="674">
        <v>2.9788164347049282</v>
      </c>
      <c r="L28" s="674">
        <v>13.857536086289198</v>
      </c>
      <c r="M28" s="674">
        <v>6.9287680431445988</v>
      </c>
      <c r="N28" s="674">
        <v>4.6191786954297331</v>
      </c>
      <c r="O28" s="674">
        <v>14.191383846258077</v>
      </c>
      <c r="P28" s="674">
        <v>7.0956919231290385</v>
      </c>
      <c r="Q28" s="674">
        <v>4.7304612820860266</v>
      </c>
    </row>
    <row r="29" spans="3:17" x14ac:dyDescent="0.15">
      <c r="C29" s="38"/>
      <c r="D29" s="42"/>
      <c r="E29" s="26"/>
      <c r="F29" s="23" t="s">
        <v>291</v>
      </c>
      <c r="H29" s="23">
        <v>245</v>
      </c>
      <c r="I29" s="674">
        <v>8.9364493041147846</v>
      </c>
      <c r="J29" s="674">
        <v>4.4682246520573923</v>
      </c>
      <c r="K29" s="674">
        <v>2.9788164347049282</v>
      </c>
      <c r="L29" s="674">
        <v>13.857536086289198</v>
      </c>
      <c r="M29" s="674">
        <v>6.9287680431445988</v>
      </c>
      <c r="N29" s="674">
        <v>4.6191786954297331</v>
      </c>
      <c r="O29" s="674">
        <v>14.191383846258077</v>
      </c>
      <c r="P29" s="674">
        <v>7.0956919231290385</v>
      </c>
      <c r="Q29" s="674">
        <v>4.7304612820860266</v>
      </c>
    </row>
    <row r="30" spans="3:17" x14ac:dyDescent="0.15">
      <c r="C30" s="43" t="s">
        <v>289</v>
      </c>
      <c r="D30" s="40"/>
      <c r="E30" s="24" t="s">
        <v>292</v>
      </c>
      <c r="F30" s="23" t="s">
        <v>289</v>
      </c>
      <c r="H30" s="23">
        <v>313</v>
      </c>
      <c r="I30" s="674">
        <v>8.9364493041147846</v>
      </c>
      <c r="J30" s="674">
        <v>4.4682246520573923</v>
      </c>
      <c r="K30" s="674">
        <v>2.9788164347049282</v>
      </c>
      <c r="L30" s="674">
        <v>13.857536086289198</v>
      </c>
      <c r="M30" s="674">
        <v>6.9287680431445988</v>
      </c>
      <c r="N30" s="674">
        <v>4.6191786954297331</v>
      </c>
      <c r="O30" s="674">
        <v>14.191383846258077</v>
      </c>
      <c r="P30" s="674">
        <v>7.0956919231290385</v>
      </c>
      <c r="Q30" s="674">
        <v>4.7304612820860266</v>
      </c>
    </row>
    <row r="31" spans="3:17" x14ac:dyDescent="0.15">
      <c r="C31" s="37"/>
      <c r="D31" s="41"/>
      <c r="E31" s="25"/>
      <c r="F31" s="23" t="s">
        <v>290</v>
      </c>
      <c r="H31" s="23">
        <v>314</v>
      </c>
      <c r="I31" s="674">
        <v>8.9364493041147846</v>
      </c>
      <c r="J31" s="674">
        <v>4.4682246520573923</v>
      </c>
      <c r="K31" s="674">
        <v>2.9788164347049282</v>
      </c>
      <c r="L31" s="674">
        <v>13.857536086289198</v>
      </c>
      <c r="M31" s="674">
        <v>6.9287680431445988</v>
      </c>
      <c r="N31" s="674">
        <v>4.6191786954297331</v>
      </c>
      <c r="O31" s="674">
        <v>14.191383846258077</v>
      </c>
      <c r="P31" s="674">
        <v>7.0956919231290385</v>
      </c>
      <c r="Q31" s="674">
        <v>4.7304612820860266</v>
      </c>
    </row>
    <row r="32" spans="3:17" x14ac:dyDescent="0.15">
      <c r="C32" s="37"/>
      <c r="D32" s="41"/>
      <c r="E32" s="26"/>
      <c r="F32" s="23" t="s">
        <v>291</v>
      </c>
      <c r="H32" s="23">
        <v>315</v>
      </c>
      <c r="I32" s="674">
        <v>8.9364493041147846</v>
      </c>
      <c r="J32" s="674">
        <v>4.4682246520573923</v>
      </c>
      <c r="K32" s="674">
        <v>2.9788164347049282</v>
      </c>
      <c r="L32" s="674">
        <v>13.857536086289198</v>
      </c>
      <c r="M32" s="674">
        <v>6.9287680431445988</v>
      </c>
      <c r="N32" s="674">
        <v>4.6191786954297331</v>
      </c>
      <c r="O32" s="674">
        <v>14.191383846258077</v>
      </c>
      <c r="P32" s="674">
        <v>7.0956919231290385</v>
      </c>
      <c r="Q32" s="674">
        <v>4.7304612820860266</v>
      </c>
    </row>
    <row r="33" spans="3:17" x14ac:dyDescent="0.15">
      <c r="C33" s="37"/>
      <c r="D33" s="41"/>
      <c r="E33" s="24" t="s">
        <v>293</v>
      </c>
      <c r="F33" s="23" t="s">
        <v>289</v>
      </c>
      <c r="H33" s="23">
        <v>323</v>
      </c>
      <c r="I33" s="674">
        <v>8.9364493041147846</v>
      </c>
      <c r="J33" s="674">
        <v>4.4682246520573923</v>
      </c>
      <c r="K33" s="674">
        <v>2.9788164347049282</v>
      </c>
      <c r="L33" s="674">
        <v>13.857536086289198</v>
      </c>
      <c r="M33" s="674">
        <v>6.9287680431445988</v>
      </c>
      <c r="N33" s="674">
        <v>4.6191786954297331</v>
      </c>
      <c r="O33" s="674">
        <v>14.191383846258077</v>
      </c>
      <c r="P33" s="674">
        <v>7.0956919231290385</v>
      </c>
      <c r="Q33" s="674">
        <v>4.7304612820860266</v>
      </c>
    </row>
    <row r="34" spans="3:17" x14ac:dyDescent="0.15">
      <c r="C34" s="37"/>
      <c r="D34" s="41"/>
      <c r="E34" s="25"/>
      <c r="F34" s="23" t="s">
        <v>290</v>
      </c>
      <c r="H34" s="23">
        <v>324</v>
      </c>
      <c r="I34" s="674">
        <v>8.9364493041147846</v>
      </c>
      <c r="J34" s="674">
        <v>4.4682246520573923</v>
      </c>
      <c r="K34" s="674">
        <v>2.9788164347049282</v>
      </c>
      <c r="L34" s="674">
        <v>13.857536086289198</v>
      </c>
      <c r="M34" s="674">
        <v>6.9287680431445988</v>
      </c>
      <c r="N34" s="674">
        <v>4.6191786954297331</v>
      </c>
      <c r="O34" s="674">
        <v>14.191383846258077</v>
      </c>
      <c r="P34" s="674">
        <v>7.0956919231290385</v>
      </c>
      <c r="Q34" s="674">
        <v>4.7304612820860266</v>
      </c>
    </row>
    <row r="35" spans="3:17" x14ac:dyDescent="0.15">
      <c r="C35" s="37"/>
      <c r="D35" s="41"/>
      <c r="E35" s="26"/>
      <c r="F35" s="23" t="s">
        <v>291</v>
      </c>
      <c r="H35" s="23">
        <v>325</v>
      </c>
      <c r="I35" s="674">
        <v>8.9364493041147846</v>
      </c>
      <c r="J35" s="674">
        <v>4.4682246520573923</v>
      </c>
      <c r="K35" s="674">
        <v>2.9788164347049282</v>
      </c>
      <c r="L35" s="674">
        <v>13.857536086289198</v>
      </c>
      <c r="M35" s="674">
        <v>6.9287680431445988</v>
      </c>
      <c r="N35" s="674">
        <v>4.6191786954297331</v>
      </c>
      <c r="O35" s="674">
        <v>14.191383846258077</v>
      </c>
      <c r="P35" s="674">
        <v>7.0956919231290385</v>
      </c>
      <c r="Q35" s="674">
        <v>4.7304612820860266</v>
      </c>
    </row>
    <row r="36" spans="3:17" x14ac:dyDescent="0.15">
      <c r="C36" s="37"/>
      <c r="D36" s="41"/>
      <c r="E36" s="24" t="s">
        <v>289</v>
      </c>
      <c r="F36" s="23" t="s">
        <v>289</v>
      </c>
      <c r="H36" s="23">
        <v>333</v>
      </c>
      <c r="I36" s="673">
        <v>8.9364493041147846</v>
      </c>
      <c r="J36" s="674">
        <v>4.4682246520573923</v>
      </c>
      <c r="K36" s="674">
        <v>2.9788164347049282</v>
      </c>
      <c r="L36" s="673">
        <v>13.857536086289198</v>
      </c>
      <c r="M36" s="674">
        <v>6.9287680431445988</v>
      </c>
      <c r="N36" s="674">
        <v>4.6191786954297331</v>
      </c>
      <c r="O36" s="673">
        <v>14.191383846258077</v>
      </c>
      <c r="P36" s="674">
        <v>7.0956919231290385</v>
      </c>
      <c r="Q36" s="674">
        <v>4.7304612820860266</v>
      </c>
    </row>
    <row r="37" spans="3:17" x14ac:dyDescent="0.15">
      <c r="C37" s="37"/>
      <c r="D37" s="41"/>
      <c r="E37" s="25"/>
      <c r="F37" s="23" t="s">
        <v>290</v>
      </c>
      <c r="H37" s="23">
        <v>334</v>
      </c>
      <c r="I37" s="674">
        <v>8.9364493041147846</v>
      </c>
      <c r="J37" s="674">
        <v>4.4682246520573923</v>
      </c>
      <c r="K37" s="674">
        <v>2.9788164347049282</v>
      </c>
      <c r="L37" s="674">
        <v>13.857536086289198</v>
      </c>
      <c r="M37" s="674">
        <v>6.9287680431445988</v>
      </c>
      <c r="N37" s="674">
        <v>4.6191786954297331</v>
      </c>
      <c r="O37" s="674">
        <v>14.191383846258077</v>
      </c>
      <c r="P37" s="674">
        <v>7.0956919231290385</v>
      </c>
      <c r="Q37" s="674">
        <v>4.7304612820860266</v>
      </c>
    </row>
    <row r="38" spans="3:17" x14ac:dyDescent="0.15">
      <c r="C38" s="37"/>
      <c r="D38" s="41"/>
      <c r="E38" s="26"/>
      <c r="F38" s="23" t="s">
        <v>291</v>
      </c>
      <c r="H38" s="23">
        <v>335</v>
      </c>
      <c r="I38" s="674">
        <v>8.9364493041147846</v>
      </c>
      <c r="J38" s="674">
        <v>4.4682246520573923</v>
      </c>
      <c r="K38" s="674">
        <v>2.9788164347049282</v>
      </c>
      <c r="L38" s="674">
        <v>13.857536086289198</v>
      </c>
      <c r="M38" s="674">
        <v>6.9287680431445988</v>
      </c>
      <c r="N38" s="674">
        <v>4.6191786954297331</v>
      </c>
      <c r="O38" s="674">
        <v>14.191383846258077</v>
      </c>
      <c r="P38" s="674">
        <v>7.0956919231290385</v>
      </c>
      <c r="Q38" s="674">
        <v>4.7304612820860266</v>
      </c>
    </row>
    <row r="39" spans="3:17" x14ac:dyDescent="0.15">
      <c r="C39" s="37"/>
      <c r="D39" s="41"/>
      <c r="E39" s="24" t="s">
        <v>290</v>
      </c>
      <c r="F39" s="23" t="s">
        <v>289</v>
      </c>
      <c r="H39" s="23">
        <v>343</v>
      </c>
      <c r="I39" s="674">
        <v>8.9364493041147846</v>
      </c>
      <c r="J39" s="674">
        <v>4.4682246520573923</v>
      </c>
      <c r="K39" s="674">
        <v>2.9788164347049282</v>
      </c>
      <c r="L39" s="674">
        <v>13.857536086289198</v>
      </c>
      <c r="M39" s="674">
        <v>6.9287680431445988</v>
      </c>
      <c r="N39" s="674">
        <v>4.6191786954297331</v>
      </c>
      <c r="O39" s="674">
        <v>14.191383846258077</v>
      </c>
      <c r="P39" s="674">
        <v>7.0956919231290385</v>
      </c>
      <c r="Q39" s="674">
        <v>4.7304612820860266</v>
      </c>
    </row>
    <row r="40" spans="3:17" x14ac:dyDescent="0.15">
      <c r="C40" s="37"/>
      <c r="D40" s="41"/>
      <c r="E40" s="25"/>
      <c r="F40" s="23" t="s">
        <v>290</v>
      </c>
      <c r="H40" s="23">
        <v>344</v>
      </c>
      <c r="I40" s="674">
        <v>8.9364493041147846</v>
      </c>
      <c r="J40" s="674">
        <v>4.4682246520573923</v>
      </c>
      <c r="K40" s="674">
        <v>2.9788164347049282</v>
      </c>
      <c r="L40" s="674">
        <v>13.857536086289198</v>
      </c>
      <c r="M40" s="674">
        <v>6.9287680431445988</v>
      </c>
      <c r="N40" s="674">
        <v>4.6191786954297331</v>
      </c>
      <c r="O40" s="674">
        <v>14.191383846258077</v>
      </c>
      <c r="P40" s="674">
        <v>7.0956919231290385</v>
      </c>
      <c r="Q40" s="674">
        <v>4.7304612820860266</v>
      </c>
    </row>
    <row r="41" spans="3:17" x14ac:dyDescent="0.15">
      <c r="C41" s="38"/>
      <c r="D41" s="42"/>
      <c r="E41" s="26"/>
      <c r="F41" s="23" t="s">
        <v>291</v>
      </c>
      <c r="H41" s="23">
        <v>345</v>
      </c>
      <c r="I41" s="674">
        <v>8.9364493041147846</v>
      </c>
      <c r="J41" s="674">
        <v>4.4682246520573923</v>
      </c>
      <c r="K41" s="674">
        <v>2.9788164347049282</v>
      </c>
      <c r="L41" s="674">
        <v>13.857536086289198</v>
      </c>
      <c r="M41" s="674">
        <v>6.9287680431445988</v>
      </c>
      <c r="N41" s="674">
        <v>4.6191786954297331</v>
      </c>
      <c r="O41" s="674">
        <v>14.191383846258077</v>
      </c>
      <c r="P41" s="674">
        <v>7.0956919231290385</v>
      </c>
      <c r="Q41" s="674">
        <v>4.7304612820860266</v>
      </c>
    </row>
    <row r="42" spans="3:17" x14ac:dyDescent="0.15">
      <c r="C42" s="43" t="s">
        <v>290</v>
      </c>
      <c r="D42" s="40"/>
      <c r="E42" s="24" t="s">
        <v>292</v>
      </c>
      <c r="F42" s="23" t="s">
        <v>289</v>
      </c>
      <c r="H42" s="23">
        <v>413</v>
      </c>
      <c r="I42" s="674">
        <v>8.9364493041147846</v>
      </c>
      <c r="J42" s="674">
        <v>4.4682246520573923</v>
      </c>
      <c r="K42" s="674">
        <v>2.9788164347049282</v>
      </c>
      <c r="L42" s="674">
        <v>13.857536086289198</v>
      </c>
      <c r="M42" s="674">
        <v>6.9287680431445988</v>
      </c>
      <c r="N42" s="674">
        <v>4.6191786954297331</v>
      </c>
      <c r="O42" s="674">
        <v>14.191383846258077</v>
      </c>
      <c r="P42" s="674">
        <v>7.0956919231290385</v>
      </c>
      <c r="Q42" s="674">
        <v>4.7304612820860266</v>
      </c>
    </row>
    <row r="43" spans="3:17" x14ac:dyDescent="0.15">
      <c r="C43" s="37"/>
      <c r="D43" s="41"/>
      <c r="E43" s="25"/>
      <c r="F43" s="23" t="s">
        <v>290</v>
      </c>
      <c r="H43" s="23">
        <v>414</v>
      </c>
      <c r="I43" s="674">
        <v>8.9364493041147846</v>
      </c>
      <c r="J43" s="674">
        <v>4.4682246520573923</v>
      </c>
      <c r="K43" s="674">
        <v>2.9788164347049282</v>
      </c>
      <c r="L43" s="674">
        <v>13.857536086289198</v>
      </c>
      <c r="M43" s="674">
        <v>6.9287680431445988</v>
      </c>
      <c r="N43" s="674">
        <v>4.6191786954297331</v>
      </c>
      <c r="O43" s="674">
        <v>14.191383846258077</v>
      </c>
      <c r="P43" s="674">
        <v>7.0956919231290385</v>
      </c>
      <c r="Q43" s="674">
        <v>4.7304612820860266</v>
      </c>
    </row>
    <row r="44" spans="3:17" x14ac:dyDescent="0.15">
      <c r="C44" s="37"/>
      <c r="D44" s="41"/>
      <c r="E44" s="26"/>
      <c r="F44" s="23" t="s">
        <v>291</v>
      </c>
      <c r="H44" s="23">
        <v>415</v>
      </c>
      <c r="I44" s="674">
        <v>8.9364493041147846</v>
      </c>
      <c r="J44" s="674">
        <v>4.4682246520573923</v>
      </c>
      <c r="K44" s="674">
        <v>2.9788164347049282</v>
      </c>
      <c r="L44" s="674">
        <v>13.857536086289198</v>
      </c>
      <c r="M44" s="674">
        <v>6.9287680431445988</v>
      </c>
      <c r="N44" s="674">
        <v>4.6191786954297331</v>
      </c>
      <c r="O44" s="674">
        <v>14.191383846258077</v>
      </c>
      <c r="P44" s="674">
        <v>7.0956919231290385</v>
      </c>
      <c r="Q44" s="674">
        <v>4.7304612820860266</v>
      </c>
    </row>
    <row r="45" spans="3:17" x14ac:dyDescent="0.15">
      <c r="C45" s="37"/>
      <c r="D45" s="41"/>
      <c r="E45" s="24" t="s">
        <v>293</v>
      </c>
      <c r="F45" s="23" t="s">
        <v>289</v>
      </c>
      <c r="H45" s="23">
        <v>423</v>
      </c>
      <c r="I45" s="674">
        <v>8.9364493041147846</v>
      </c>
      <c r="J45" s="674">
        <v>4.4682246520573923</v>
      </c>
      <c r="K45" s="674">
        <v>2.9788164347049282</v>
      </c>
      <c r="L45" s="674">
        <v>13.857536086289198</v>
      </c>
      <c r="M45" s="674">
        <v>6.9287680431445988</v>
      </c>
      <c r="N45" s="674">
        <v>4.6191786954297331</v>
      </c>
      <c r="O45" s="674">
        <v>14.191383846258077</v>
      </c>
      <c r="P45" s="674">
        <v>7.0956919231290385</v>
      </c>
      <c r="Q45" s="674">
        <v>4.7304612820860266</v>
      </c>
    </row>
    <row r="46" spans="3:17" x14ac:dyDescent="0.15">
      <c r="C46" s="37"/>
      <c r="D46" s="41"/>
      <c r="E46" s="25"/>
      <c r="F46" s="23" t="s">
        <v>290</v>
      </c>
      <c r="H46" s="23">
        <v>424</v>
      </c>
      <c r="I46" s="674">
        <v>8.9364493041147846</v>
      </c>
      <c r="J46" s="674">
        <v>4.4682246520573923</v>
      </c>
      <c r="K46" s="674">
        <v>2.9788164347049282</v>
      </c>
      <c r="L46" s="674">
        <v>13.857536086289198</v>
      </c>
      <c r="M46" s="674">
        <v>6.9287680431445988</v>
      </c>
      <c r="N46" s="674">
        <v>4.6191786954297331</v>
      </c>
      <c r="O46" s="674">
        <v>14.191383846258077</v>
      </c>
      <c r="P46" s="674">
        <v>7.0956919231290385</v>
      </c>
      <c r="Q46" s="674">
        <v>4.7304612820860266</v>
      </c>
    </row>
    <row r="47" spans="3:17" x14ac:dyDescent="0.15">
      <c r="C47" s="37"/>
      <c r="D47" s="41"/>
      <c r="E47" s="26"/>
      <c r="F47" s="23" t="s">
        <v>291</v>
      </c>
      <c r="H47" s="23">
        <v>425</v>
      </c>
      <c r="I47" s="674">
        <v>8.9364493041147846</v>
      </c>
      <c r="J47" s="674">
        <v>4.4682246520573923</v>
      </c>
      <c r="K47" s="674">
        <v>2.9788164347049282</v>
      </c>
      <c r="L47" s="674">
        <v>13.857536086289198</v>
      </c>
      <c r="M47" s="674">
        <v>6.9287680431445988</v>
      </c>
      <c r="N47" s="674">
        <v>4.6191786954297331</v>
      </c>
      <c r="O47" s="674">
        <v>14.191383846258077</v>
      </c>
      <c r="P47" s="674">
        <v>7.0956919231290385</v>
      </c>
      <c r="Q47" s="674">
        <v>4.7304612820860266</v>
      </c>
    </row>
    <row r="48" spans="3:17" x14ac:dyDescent="0.15">
      <c r="C48" s="37"/>
      <c r="D48" s="41"/>
      <c r="E48" s="24" t="s">
        <v>289</v>
      </c>
      <c r="F48" s="23" t="s">
        <v>289</v>
      </c>
      <c r="H48" s="23">
        <v>433</v>
      </c>
      <c r="I48" s="674">
        <v>8.9364493041147846</v>
      </c>
      <c r="J48" s="674">
        <v>4.4682246520573923</v>
      </c>
      <c r="K48" s="674">
        <v>2.9788164347049282</v>
      </c>
      <c r="L48" s="674">
        <v>13.857536086289198</v>
      </c>
      <c r="M48" s="674">
        <v>6.9287680431445988</v>
      </c>
      <c r="N48" s="674">
        <v>4.6191786954297331</v>
      </c>
      <c r="O48" s="674">
        <v>14.191383846258077</v>
      </c>
      <c r="P48" s="674">
        <v>7.0956919231290385</v>
      </c>
      <c r="Q48" s="674">
        <v>4.7304612820860266</v>
      </c>
    </row>
    <row r="49" spans="3:17" x14ac:dyDescent="0.15">
      <c r="C49" s="37"/>
      <c r="D49" s="41"/>
      <c r="E49" s="25"/>
      <c r="F49" s="23" t="s">
        <v>290</v>
      </c>
      <c r="H49" s="23">
        <v>434</v>
      </c>
      <c r="I49" s="674">
        <v>8.9364493041147846</v>
      </c>
      <c r="J49" s="674">
        <v>4.4682246520573923</v>
      </c>
      <c r="K49" s="674">
        <v>2.9788164347049282</v>
      </c>
      <c r="L49" s="674">
        <v>13.857536086289198</v>
      </c>
      <c r="M49" s="674">
        <v>6.9287680431445988</v>
      </c>
      <c r="N49" s="674">
        <v>4.6191786954297331</v>
      </c>
      <c r="O49" s="674">
        <v>14.191383846258077</v>
      </c>
      <c r="P49" s="674">
        <v>7.0956919231290385</v>
      </c>
      <c r="Q49" s="674">
        <v>4.7304612820860266</v>
      </c>
    </row>
    <row r="50" spans="3:17" x14ac:dyDescent="0.15">
      <c r="C50" s="37"/>
      <c r="D50" s="41"/>
      <c r="E50" s="26"/>
      <c r="F50" s="23" t="s">
        <v>291</v>
      </c>
      <c r="H50" s="23">
        <v>435</v>
      </c>
      <c r="I50" s="674">
        <v>8.9364493041147846</v>
      </c>
      <c r="J50" s="674">
        <v>4.4682246520573923</v>
      </c>
      <c r="K50" s="674">
        <v>2.9788164347049282</v>
      </c>
      <c r="L50" s="674">
        <v>13.857536086289198</v>
      </c>
      <c r="M50" s="674">
        <v>6.9287680431445988</v>
      </c>
      <c r="N50" s="674">
        <v>4.6191786954297331</v>
      </c>
      <c r="O50" s="674">
        <v>14.191383846258077</v>
      </c>
      <c r="P50" s="674">
        <v>7.0956919231290385</v>
      </c>
      <c r="Q50" s="674">
        <v>4.7304612820860266</v>
      </c>
    </row>
    <row r="51" spans="3:17" x14ac:dyDescent="0.15">
      <c r="C51" s="37"/>
      <c r="D51" s="41"/>
      <c r="E51" s="24" t="s">
        <v>290</v>
      </c>
      <c r="F51" s="23" t="s">
        <v>289</v>
      </c>
      <c r="H51" s="23">
        <v>443</v>
      </c>
      <c r="I51" s="674">
        <v>8.9364493041147846</v>
      </c>
      <c r="J51" s="674">
        <v>4.4682246520573923</v>
      </c>
      <c r="K51" s="674">
        <v>2.9788164347049282</v>
      </c>
      <c r="L51" s="674">
        <v>13.857536086289198</v>
      </c>
      <c r="M51" s="674">
        <v>6.9287680431445988</v>
      </c>
      <c r="N51" s="674">
        <v>4.6191786954297331</v>
      </c>
      <c r="O51" s="674">
        <v>14.191383846258077</v>
      </c>
      <c r="P51" s="674">
        <v>7.0956919231290385</v>
      </c>
      <c r="Q51" s="674">
        <v>4.7304612820860266</v>
      </c>
    </row>
    <row r="52" spans="3:17" x14ac:dyDescent="0.15">
      <c r="C52" s="37"/>
      <c r="D52" s="41"/>
      <c r="E52" s="25"/>
      <c r="F52" s="23" t="s">
        <v>290</v>
      </c>
      <c r="H52" s="23">
        <v>444</v>
      </c>
      <c r="I52" s="674">
        <v>8.9364493041147846</v>
      </c>
      <c r="J52" s="674">
        <v>4.4682246520573923</v>
      </c>
      <c r="K52" s="674">
        <v>2.9788164347049282</v>
      </c>
      <c r="L52" s="674">
        <v>13.857536086289198</v>
      </c>
      <c r="M52" s="674">
        <v>6.9287680431445988</v>
      </c>
      <c r="N52" s="674">
        <v>4.6191786954297331</v>
      </c>
      <c r="O52" s="674">
        <v>14.191383846258077</v>
      </c>
      <c r="P52" s="674">
        <v>7.0956919231290385</v>
      </c>
      <c r="Q52" s="674">
        <v>4.7304612820860266</v>
      </c>
    </row>
    <row r="53" spans="3:17" x14ac:dyDescent="0.15">
      <c r="C53" s="38"/>
      <c r="D53" s="42"/>
      <c r="E53" s="26"/>
      <c r="F53" s="23" t="s">
        <v>291</v>
      </c>
      <c r="H53" s="23">
        <v>445</v>
      </c>
      <c r="I53" s="674">
        <v>8.9364493041147846</v>
      </c>
      <c r="J53" s="674">
        <v>4.4682246520573923</v>
      </c>
      <c r="K53" s="674">
        <v>2.9788164347049282</v>
      </c>
      <c r="L53" s="674">
        <v>13.857536086289198</v>
      </c>
      <c r="M53" s="674">
        <v>6.9287680431445988</v>
      </c>
      <c r="N53" s="674">
        <v>4.6191786954297331</v>
      </c>
      <c r="O53" s="674">
        <v>14.191383846258077</v>
      </c>
      <c r="P53" s="674">
        <v>7.0956919231290385</v>
      </c>
      <c r="Q53" s="674">
        <v>4.7304612820860266</v>
      </c>
    </row>
    <row r="54" spans="3:17" ht="13.5" customHeight="1" x14ac:dyDescent="0.15"/>
    <row r="55" spans="3:17" ht="16.5" x14ac:dyDescent="0.25">
      <c r="C55" s="29" t="s">
        <v>294</v>
      </c>
      <c r="D55" s="29"/>
      <c r="I55" s="46" t="s">
        <v>28</v>
      </c>
      <c r="J55" s="53"/>
      <c r="K55" s="53"/>
      <c r="L55" s="54"/>
      <c r="M55" s="54"/>
      <c r="N55" s="54"/>
      <c r="O55" s="54"/>
      <c r="P55" s="54"/>
      <c r="Q55" s="55"/>
    </row>
    <row r="56" spans="3:17" s="21" customFormat="1" ht="14.25" x14ac:dyDescent="0.15">
      <c r="F56" s="13" t="s">
        <v>285</v>
      </c>
      <c r="I56" s="56" t="s">
        <v>18</v>
      </c>
      <c r="J56" s="54"/>
      <c r="K56" s="57"/>
      <c r="L56" s="56" t="s">
        <v>19</v>
      </c>
      <c r="M56" s="54"/>
      <c r="N56" s="57"/>
      <c r="O56" s="56" t="s">
        <v>20</v>
      </c>
      <c r="P56" s="54"/>
      <c r="Q56" s="57"/>
    </row>
    <row r="57" spans="3:17" ht="16.5" x14ac:dyDescent="0.25">
      <c r="C57" s="36" t="s">
        <v>286</v>
      </c>
      <c r="D57" s="39"/>
      <c r="E57" s="27" t="s">
        <v>287</v>
      </c>
      <c r="F57" s="22" t="s">
        <v>288</v>
      </c>
      <c r="H57" s="23"/>
      <c r="I57" s="58" t="s">
        <v>289</v>
      </c>
      <c r="J57" s="58" t="s">
        <v>290</v>
      </c>
      <c r="K57" s="58" t="s">
        <v>291</v>
      </c>
      <c r="L57" s="58" t="s">
        <v>289</v>
      </c>
      <c r="M57" s="58" t="s">
        <v>290</v>
      </c>
      <c r="N57" s="58" t="s">
        <v>291</v>
      </c>
      <c r="O57" s="58" t="s">
        <v>289</v>
      </c>
      <c r="P57" s="58" t="s">
        <v>290</v>
      </c>
      <c r="Q57" s="58" t="s">
        <v>291</v>
      </c>
    </row>
    <row r="58" spans="3:17" x14ac:dyDescent="0.15">
      <c r="C58" s="43" t="s">
        <v>292</v>
      </c>
      <c r="D58" s="40"/>
      <c r="E58" s="24" t="s">
        <v>292</v>
      </c>
      <c r="F58" s="23" t="s">
        <v>289</v>
      </c>
      <c r="H58" s="23">
        <v>113</v>
      </c>
      <c r="I58" s="508">
        <f>I110+I162</f>
        <v>4.7716533482827082</v>
      </c>
      <c r="J58" s="508">
        <f t="shared" ref="J58:Q58" si="0">J110+J162</f>
        <v>6.1731221924408661</v>
      </c>
      <c r="K58" s="508">
        <f t="shared" si="0"/>
        <v>7.0514095899121196</v>
      </c>
      <c r="L58" s="508">
        <f>L110+L162</f>
        <v>4.8827560650498292</v>
      </c>
      <c r="M58" s="508">
        <f t="shared" ref="M58:N58" si="1">M110+M162</f>
        <v>6.3079429308054085</v>
      </c>
      <c r="N58" s="508">
        <f t="shared" si="1"/>
        <v>7.2027801471870241</v>
      </c>
      <c r="O58" s="508">
        <f t="shared" si="0"/>
        <v>3.5532497177690479</v>
      </c>
      <c r="P58" s="508">
        <f t="shared" si="0"/>
        <v>4.1058839060899093</v>
      </c>
      <c r="Q58" s="508">
        <f t="shared" si="0"/>
        <v>4.4615358728578274</v>
      </c>
    </row>
    <row r="59" spans="3:17" x14ac:dyDescent="0.15">
      <c r="C59" s="37"/>
      <c r="D59" s="41"/>
      <c r="E59" s="25"/>
      <c r="F59" s="23" t="s">
        <v>290</v>
      </c>
      <c r="H59" s="23">
        <v>114</v>
      </c>
      <c r="I59" s="508">
        <f t="shared" ref="I59:Q59" si="2">I111+I163</f>
        <v>4.7716533482827082</v>
      </c>
      <c r="J59" s="508">
        <f t="shared" si="2"/>
        <v>6.1731221924408661</v>
      </c>
      <c r="K59" s="508">
        <f t="shared" si="2"/>
        <v>7.0514095899121196</v>
      </c>
      <c r="L59" s="508">
        <f t="shared" ref="L59:N59" si="3">L111+L163</f>
        <v>4.8827560650498292</v>
      </c>
      <c r="M59" s="508">
        <f t="shared" si="3"/>
        <v>6.3079429308054085</v>
      </c>
      <c r="N59" s="508">
        <f t="shared" si="3"/>
        <v>7.2027801471870241</v>
      </c>
      <c r="O59" s="508">
        <f t="shared" si="2"/>
        <v>3.5532497177690479</v>
      </c>
      <c r="P59" s="508">
        <f t="shared" si="2"/>
        <v>4.1058839060899093</v>
      </c>
      <c r="Q59" s="508">
        <f t="shared" si="2"/>
        <v>4.4615358728578274</v>
      </c>
    </row>
    <row r="60" spans="3:17" x14ac:dyDescent="0.15">
      <c r="C60" s="37"/>
      <c r="D60" s="41"/>
      <c r="E60" s="26"/>
      <c r="F60" s="23" t="s">
        <v>291</v>
      </c>
      <c r="H60" s="23">
        <v>115</v>
      </c>
      <c r="I60" s="508">
        <f t="shared" ref="I60:Q60" si="4">I112+I164</f>
        <v>4.7716533482827082</v>
      </c>
      <c r="J60" s="508">
        <f t="shared" si="4"/>
        <v>6.1731221924408661</v>
      </c>
      <c r="K60" s="508">
        <f t="shared" si="4"/>
        <v>7.0514095899121196</v>
      </c>
      <c r="L60" s="508">
        <f t="shared" ref="L60:N60" si="5">L112+L164</f>
        <v>4.8827560650498292</v>
      </c>
      <c r="M60" s="508">
        <f t="shared" si="5"/>
        <v>6.3079429308054085</v>
      </c>
      <c r="N60" s="508">
        <f t="shared" si="5"/>
        <v>7.2027801471870241</v>
      </c>
      <c r="O60" s="508">
        <f t="shared" si="4"/>
        <v>3.5532497177690479</v>
      </c>
      <c r="P60" s="508">
        <f t="shared" si="4"/>
        <v>4.1058839060899093</v>
      </c>
      <c r="Q60" s="508">
        <f t="shared" si="4"/>
        <v>4.4615358728578274</v>
      </c>
    </row>
    <row r="61" spans="3:17" x14ac:dyDescent="0.15">
      <c r="C61" s="37"/>
      <c r="D61" s="41"/>
      <c r="E61" s="24" t="s">
        <v>293</v>
      </c>
      <c r="F61" s="23" t="s">
        <v>289</v>
      </c>
      <c r="H61" s="23">
        <v>123</v>
      </c>
      <c r="I61" s="508">
        <f t="shared" ref="I61:Q61" si="6">I113+I165</f>
        <v>4.7716533482827082</v>
      </c>
      <c r="J61" s="508">
        <f t="shared" si="6"/>
        <v>6.1731221924408661</v>
      </c>
      <c r="K61" s="508">
        <f t="shared" si="6"/>
        <v>7.0514095899121196</v>
      </c>
      <c r="L61" s="508">
        <f t="shared" ref="L61:N61" si="7">L113+L165</f>
        <v>4.8827560650498292</v>
      </c>
      <c r="M61" s="508">
        <f t="shared" si="7"/>
        <v>6.3079429308054085</v>
      </c>
      <c r="N61" s="508">
        <f t="shared" si="7"/>
        <v>7.2027801471870241</v>
      </c>
      <c r="O61" s="508">
        <f t="shared" si="6"/>
        <v>3.5532497177690479</v>
      </c>
      <c r="P61" s="508">
        <f t="shared" si="6"/>
        <v>4.1058839060899093</v>
      </c>
      <c r="Q61" s="508">
        <f t="shared" si="6"/>
        <v>4.4615358728578274</v>
      </c>
    </row>
    <row r="62" spans="3:17" x14ac:dyDescent="0.15">
      <c r="C62" s="37"/>
      <c r="D62" s="41"/>
      <c r="E62" s="25"/>
      <c r="F62" s="23" t="s">
        <v>290</v>
      </c>
      <c r="H62" s="23">
        <v>124</v>
      </c>
      <c r="I62" s="508">
        <f t="shared" ref="I62:Q62" si="8">I114+I166</f>
        <v>3.9714797928553427</v>
      </c>
      <c r="J62" s="508">
        <f t="shared" si="8"/>
        <v>5.3729515122126079</v>
      </c>
      <c r="K62" s="508">
        <f t="shared" si="8"/>
        <v>6.2512360344847533</v>
      </c>
      <c r="L62" s="508">
        <f t="shared" ref="L62:N62" si="9">L114+L166</f>
        <v>4.0656660584968023</v>
      </c>
      <c r="M62" s="508">
        <f t="shared" si="9"/>
        <v>5.4908557994514888</v>
      </c>
      <c r="N62" s="508">
        <f t="shared" si="9"/>
        <v>6.3856901406339963</v>
      </c>
      <c r="O62" s="508">
        <f t="shared" si="8"/>
        <v>3.1991565282820438</v>
      </c>
      <c r="P62" s="508">
        <f t="shared" si="8"/>
        <v>3.7517878414037966</v>
      </c>
      <c r="Q62" s="508">
        <f t="shared" si="8"/>
        <v>4.1074369329726084</v>
      </c>
    </row>
    <row r="63" spans="3:17" x14ac:dyDescent="0.15">
      <c r="C63" s="37"/>
      <c r="D63" s="41"/>
      <c r="E63" s="26"/>
      <c r="F63" s="23" t="s">
        <v>291</v>
      </c>
      <c r="H63" s="23">
        <v>125</v>
      </c>
      <c r="I63" s="508">
        <f t="shared" ref="I63:Q63" si="10">I115+I167</f>
        <v>3.1713091126270845</v>
      </c>
      <c r="J63" s="508">
        <f t="shared" si="10"/>
        <v>5.3729515122126079</v>
      </c>
      <c r="K63" s="508">
        <f t="shared" si="10"/>
        <v>5.9845124744086675</v>
      </c>
      <c r="L63" s="508">
        <f t="shared" ref="L63:N63" si="11">L115+L167</f>
        <v>3.2485789271428827</v>
      </c>
      <c r="M63" s="508">
        <f t="shared" si="11"/>
        <v>5.4908557994514888</v>
      </c>
      <c r="N63" s="508">
        <f t="shared" si="11"/>
        <v>6.1133277635160237</v>
      </c>
      <c r="O63" s="508">
        <f t="shared" si="10"/>
        <v>2.8450575883968243</v>
      </c>
      <c r="P63" s="508">
        <f t="shared" si="10"/>
        <v>3.7517878414037966</v>
      </c>
      <c r="Q63" s="508">
        <f t="shared" si="10"/>
        <v>3.9894068282099759</v>
      </c>
    </row>
    <row r="64" spans="3:17" x14ac:dyDescent="0.15">
      <c r="C64" s="37"/>
      <c r="D64" s="41"/>
      <c r="E64" s="24" t="s">
        <v>289</v>
      </c>
      <c r="F64" s="23" t="s">
        <v>289</v>
      </c>
      <c r="H64" s="23">
        <v>133</v>
      </c>
      <c r="I64" s="508">
        <f t="shared" ref="I64:Q64" si="12">I116+I168</f>
        <v>3.1713091126270845</v>
      </c>
      <c r="J64" s="508">
        <f t="shared" si="12"/>
        <v>4.9728647344989243</v>
      </c>
      <c r="K64" s="508">
        <f t="shared" si="12"/>
        <v>5.9845124744086675</v>
      </c>
      <c r="L64" s="508">
        <f t="shared" ref="L64:N64" si="13">L116+L168</f>
        <v>3.2485789271428827</v>
      </c>
      <c r="M64" s="508">
        <f t="shared" si="13"/>
        <v>5.0823107961749754</v>
      </c>
      <c r="N64" s="508">
        <f t="shared" si="13"/>
        <v>6.1133277635160237</v>
      </c>
      <c r="O64" s="508">
        <f t="shared" si="12"/>
        <v>2.8450575883968243</v>
      </c>
      <c r="P64" s="508">
        <f t="shared" si="12"/>
        <v>3.5747354962620794</v>
      </c>
      <c r="Q64" s="508">
        <f t="shared" si="12"/>
        <v>3.9894068282099759</v>
      </c>
    </row>
    <row r="65" spans="3:17" x14ac:dyDescent="0.15">
      <c r="C65" s="37"/>
      <c r="D65" s="41"/>
      <c r="E65" s="25"/>
      <c r="F65" s="23" t="s">
        <v>290</v>
      </c>
      <c r="H65" s="23">
        <v>134</v>
      </c>
      <c r="I65" s="508">
        <f t="shared" ref="I65:Q65" si="14">I117+I169</f>
        <v>3.1713091126270845</v>
      </c>
      <c r="J65" s="508">
        <f t="shared" si="14"/>
        <v>4.9728647344989243</v>
      </c>
      <c r="K65" s="508">
        <f t="shared" si="14"/>
        <v>5.451065354256496</v>
      </c>
      <c r="L65" s="508">
        <f t="shared" ref="L65:N65" si="15">L117+L169</f>
        <v>3.2485789271428827</v>
      </c>
      <c r="M65" s="508">
        <f t="shared" si="15"/>
        <v>5.0823107961749754</v>
      </c>
      <c r="N65" s="508">
        <f t="shared" si="15"/>
        <v>5.5686030092800776</v>
      </c>
      <c r="O65" s="508">
        <f t="shared" si="14"/>
        <v>2.8450575883968243</v>
      </c>
      <c r="P65" s="508">
        <f t="shared" si="14"/>
        <v>3.5747354962620794</v>
      </c>
      <c r="Q65" s="508">
        <f t="shared" si="14"/>
        <v>3.7533437434856038</v>
      </c>
    </row>
    <row r="66" spans="3:17" x14ac:dyDescent="0.15">
      <c r="C66" s="37"/>
      <c r="D66" s="41"/>
      <c r="E66" s="26"/>
      <c r="F66" s="23" t="s">
        <v>291</v>
      </c>
      <c r="H66" s="23">
        <v>135</v>
      </c>
      <c r="I66" s="508">
        <f t="shared" ref="I66:Q66" si="16">I118+I170</f>
        <v>3.1713091126270845</v>
      </c>
      <c r="J66" s="508">
        <f t="shared" si="16"/>
        <v>4.5258920849386168</v>
      </c>
      <c r="K66" s="508">
        <f t="shared" si="16"/>
        <v>5.451065354256496</v>
      </c>
      <c r="L66" s="508">
        <f t="shared" ref="L66:N66" si="17">L118+L170</f>
        <v>3.2485789271428827</v>
      </c>
      <c r="M66" s="508">
        <f t="shared" si="17"/>
        <v>4.6737686680975701</v>
      </c>
      <c r="N66" s="508">
        <f t="shared" si="17"/>
        <v>5.5686030092800776</v>
      </c>
      <c r="O66" s="508">
        <f t="shared" si="16"/>
        <v>2.8450575883968243</v>
      </c>
      <c r="P66" s="508">
        <f t="shared" si="16"/>
        <v>3.3997389184822526</v>
      </c>
      <c r="Q66" s="508">
        <f t="shared" si="16"/>
        <v>3.7533437434856038</v>
      </c>
    </row>
    <row r="67" spans="3:17" x14ac:dyDescent="0.15">
      <c r="C67" s="37"/>
      <c r="D67" s="41"/>
      <c r="E67" s="24" t="s">
        <v>290</v>
      </c>
      <c r="F67" s="23" t="s">
        <v>289</v>
      </c>
      <c r="H67" s="23">
        <v>143</v>
      </c>
      <c r="I67" s="508">
        <f t="shared" ref="I67:Q67" si="18">I119+I171</f>
        <v>3.1713091126270845</v>
      </c>
      <c r="J67" s="508">
        <f t="shared" si="18"/>
        <v>4.5258920849386168</v>
      </c>
      <c r="K67" s="508">
        <f t="shared" si="18"/>
        <v>5.451065354256496</v>
      </c>
      <c r="L67" s="508">
        <f t="shared" ref="L67:N67" si="19">L119+L171</f>
        <v>3.2485789271428827</v>
      </c>
      <c r="M67" s="508">
        <f t="shared" si="19"/>
        <v>4.6737686680975701</v>
      </c>
      <c r="N67" s="508">
        <f t="shared" si="19"/>
        <v>5.5686030092800776</v>
      </c>
      <c r="O67" s="508">
        <f t="shared" si="18"/>
        <v>2.8450575883968243</v>
      </c>
      <c r="P67" s="508">
        <f t="shared" si="18"/>
        <v>3.3997389184822526</v>
      </c>
      <c r="Q67" s="508">
        <f t="shared" si="18"/>
        <v>3.7533437434856038</v>
      </c>
    </row>
    <row r="68" spans="3:17" x14ac:dyDescent="0.15">
      <c r="C68" s="37"/>
      <c r="D68" s="41"/>
      <c r="E68" s="25"/>
      <c r="F68" s="23" t="s">
        <v>290</v>
      </c>
      <c r="H68" s="23">
        <v>144</v>
      </c>
      <c r="I68" s="508">
        <f t="shared" ref="I68:Q68" si="20">I120+I172</f>
        <v>3.1713091126270845</v>
      </c>
      <c r="J68" s="508">
        <f t="shared" si="20"/>
        <v>4.5258920849386168</v>
      </c>
      <c r="K68" s="674">
        <f t="shared" si="20"/>
        <v>5.1843389189813021</v>
      </c>
      <c r="L68" s="508">
        <f t="shared" ref="L68:N68" si="21">L120+L172</f>
        <v>3.2485789271428827</v>
      </c>
      <c r="M68" s="508">
        <f t="shared" si="21"/>
        <v>4.6737686680975701</v>
      </c>
      <c r="N68" s="508">
        <f t="shared" si="21"/>
        <v>5.2962377569629968</v>
      </c>
      <c r="O68" s="508">
        <f t="shared" si="20"/>
        <v>2.8450575883968243</v>
      </c>
      <c r="P68" s="508">
        <f t="shared" si="20"/>
        <v>3.3976889015185781</v>
      </c>
      <c r="Q68" s="508">
        <f t="shared" si="20"/>
        <v>3.6353107635238642</v>
      </c>
    </row>
    <row r="69" spans="3:17" x14ac:dyDescent="0.15">
      <c r="C69" s="38"/>
      <c r="D69" s="42"/>
      <c r="E69" s="26"/>
      <c r="F69" s="23" t="s">
        <v>291</v>
      </c>
      <c r="H69" s="23">
        <v>145</v>
      </c>
      <c r="I69" s="508">
        <f t="shared" ref="I69:Q69" si="22">I121+I173</f>
        <v>3.1713091126270845</v>
      </c>
      <c r="J69" s="508">
        <f t="shared" si="22"/>
        <v>4.5258920849386168</v>
      </c>
      <c r="K69" s="674">
        <f t="shared" si="22"/>
        <v>5.1843389189813021</v>
      </c>
      <c r="L69" s="508">
        <f t="shared" ref="L69:N69" si="23">L121+L173</f>
        <v>3.2485789271428827</v>
      </c>
      <c r="M69" s="508">
        <f t="shared" si="23"/>
        <v>4.6737686680975701</v>
      </c>
      <c r="N69" s="508">
        <f t="shared" si="23"/>
        <v>5.2962377569629968</v>
      </c>
      <c r="O69" s="508">
        <f t="shared" si="22"/>
        <v>2.8450575883968243</v>
      </c>
      <c r="P69" s="508">
        <f t="shared" si="22"/>
        <v>3.3976889015185781</v>
      </c>
      <c r="Q69" s="508">
        <f t="shared" si="22"/>
        <v>3.6353107635238642</v>
      </c>
    </row>
    <row r="70" spans="3:17" x14ac:dyDescent="0.15">
      <c r="C70" s="43" t="s">
        <v>293</v>
      </c>
      <c r="D70" s="40"/>
      <c r="E70" s="24" t="s">
        <v>292</v>
      </c>
      <c r="F70" s="23" t="s">
        <v>289</v>
      </c>
      <c r="H70" s="23">
        <v>213</v>
      </c>
      <c r="I70" s="508">
        <f t="shared" ref="I70:Q70" si="24">I122+I174</f>
        <v>4.7716533482827082</v>
      </c>
      <c r="J70" s="508">
        <f t="shared" si="24"/>
        <v>6.1731221924408661</v>
      </c>
      <c r="K70" s="508">
        <f t="shared" si="24"/>
        <v>7.0514095899121196</v>
      </c>
      <c r="L70" s="508">
        <f t="shared" ref="L70:N70" si="25">L122+L174</f>
        <v>4.8827560650498292</v>
      </c>
      <c r="M70" s="508">
        <f t="shared" si="25"/>
        <v>6.3079429308054085</v>
      </c>
      <c r="N70" s="508">
        <f t="shared" si="25"/>
        <v>7.1766704640914698</v>
      </c>
      <c r="O70" s="508">
        <f t="shared" si="24"/>
        <v>3.5532497177690479</v>
      </c>
      <c r="P70" s="508">
        <f t="shared" si="24"/>
        <v>4.1058839060899093</v>
      </c>
      <c r="Q70" s="508">
        <f t="shared" si="24"/>
        <v>4.4615358728578274</v>
      </c>
    </row>
    <row r="71" spans="3:17" x14ac:dyDescent="0.15">
      <c r="C71" s="37"/>
      <c r="D71" s="41"/>
      <c r="E71" s="25"/>
      <c r="F71" s="23" t="s">
        <v>290</v>
      </c>
      <c r="H71" s="23">
        <v>214</v>
      </c>
      <c r="I71" s="508">
        <f t="shared" ref="I71:Q71" si="26">I123+I175</f>
        <v>4.3384421810517955</v>
      </c>
      <c r="J71" s="508">
        <f t="shared" si="26"/>
        <v>5.7399081500108453</v>
      </c>
      <c r="K71" s="508">
        <f t="shared" si="26"/>
        <v>6.6181955474820988</v>
      </c>
      <c r="L71" s="508">
        <f t="shared" ref="L71:N71" si="27">L123+L175</f>
        <v>4.4405212882135903</v>
      </c>
      <c r="M71" s="508">
        <f t="shared" si="27"/>
        <v>5.8657110291682768</v>
      </c>
      <c r="N71" s="508">
        <f t="shared" si="27"/>
        <v>6.7605453703507861</v>
      </c>
      <c r="O71" s="508">
        <f t="shared" si="26"/>
        <v>3.393024070472265</v>
      </c>
      <c r="P71" s="508">
        <f t="shared" si="26"/>
        <v>3.9456553835940182</v>
      </c>
      <c r="Q71" s="508">
        <f t="shared" si="26"/>
        <v>4.3013102255610454</v>
      </c>
    </row>
    <row r="72" spans="3:17" x14ac:dyDescent="0.15">
      <c r="C72" s="37"/>
      <c r="D72" s="41"/>
      <c r="E72" s="26"/>
      <c r="F72" s="23" t="s">
        <v>291</v>
      </c>
      <c r="H72" s="23">
        <v>215</v>
      </c>
      <c r="I72" s="508">
        <f t="shared" ref="I72:Q72" si="28">I124+I176</f>
        <v>3.9052281386217738</v>
      </c>
      <c r="J72" s="508">
        <f t="shared" si="28"/>
        <v>5.7399081500108453</v>
      </c>
      <c r="K72" s="508">
        <f t="shared" si="28"/>
        <v>6.4737927834714961</v>
      </c>
      <c r="L72" s="508">
        <f t="shared" ref="L72:N72" si="29">L124+L176</f>
        <v>3.9982893865764595</v>
      </c>
      <c r="M72" s="508">
        <f t="shared" si="29"/>
        <v>5.8657110291682768</v>
      </c>
      <c r="N72" s="508">
        <f t="shared" si="29"/>
        <v>6.6131356948714446</v>
      </c>
      <c r="O72" s="508">
        <f t="shared" si="28"/>
        <v>3.2327955479763744</v>
      </c>
      <c r="P72" s="508">
        <f t="shared" si="28"/>
        <v>3.9456553835940182</v>
      </c>
      <c r="Q72" s="508">
        <f t="shared" si="28"/>
        <v>4.2478968844636045</v>
      </c>
    </row>
    <row r="73" spans="3:17" x14ac:dyDescent="0.15">
      <c r="C73" s="37"/>
      <c r="D73" s="41"/>
      <c r="E73" s="24" t="s">
        <v>293</v>
      </c>
      <c r="F73" s="23" t="s">
        <v>289</v>
      </c>
      <c r="H73" s="23">
        <v>223</v>
      </c>
      <c r="I73" s="508">
        <f t="shared" ref="I73:Q73" si="30">I125+I177</f>
        <v>4.7716533482827082</v>
      </c>
      <c r="J73" s="508">
        <f t="shared" si="30"/>
        <v>6.1731221924408661</v>
      </c>
      <c r="K73" s="508">
        <f t="shared" si="30"/>
        <v>7.0514095899121196</v>
      </c>
      <c r="L73" s="508">
        <f t="shared" ref="L73:N73" si="31">L125+L177</f>
        <v>4.8827560650498292</v>
      </c>
      <c r="M73" s="508">
        <f t="shared" si="31"/>
        <v>6.3079429308054085</v>
      </c>
      <c r="N73" s="508">
        <f t="shared" si="31"/>
        <v>7.1766704640914698</v>
      </c>
      <c r="O73" s="508">
        <f t="shared" si="30"/>
        <v>3.5532497177690479</v>
      </c>
      <c r="P73" s="508">
        <f t="shared" si="30"/>
        <v>4.1058839060899093</v>
      </c>
      <c r="Q73" s="508">
        <f t="shared" si="30"/>
        <v>4.4615358728578274</v>
      </c>
    </row>
    <row r="74" spans="3:17" x14ac:dyDescent="0.15">
      <c r="C74" s="37"/>
      <c r="D74" s="41"/>
      <c r="E74" s="25"/>
      <c r="F74" s="23" t="s">
        <v>290</v>
      </c>
      <c r="H74" s="23">
        <v>224</v>
      </c>
      <c r="I74" s="508">
        <f t="shared" ref="I74:Q74" si="32">I126+I178</f>
        <v>3.5382686256244291</v>
      </c>
      <c r="J74" s="508">
        <f t="shared" si="32"/>
        <v>4.9397374697825862</v>
      </c>
      <c r="K74" s="508">
        <f t="shared" si="32"/>
        <v>5.8180248672538397</v>
      </c>
      <c r="L74" s="508">
        <f t="shared" ref="L74:N74" si="33">L126+L178</f>
        <v>3.6234312816605638</v>
      </c>
      <c r="M74" s="508">
        <f t="shared" si="33"/>
        <v>5.0486210226152508</v>
      </c>
      <c r="N74" s="508">
        <f t="shared" si="33"/>
        <v>5.9434582389968655</v>
      </c>
      <c r="O74" s="508">
        <f t="shared" si="32"/>
        <v>3.0389251305870459</v>
      </c>
      <c r="P74" s="508">
        <f t="shared" si="32"/>
        <v>3.5915564437087992</v>
      </c>
      <c r="Q74" s="508">
        <f t="shared" si="32"/>
        <v>3.9472112856758255</v>
      </c>
    </row>
    <row r="75" spans="3:17" x14ac:dyDescent="0.15">
      <c r="C75" s="37"/>
      <c r="D75" s="41"/>
      <c r="E75" s="26"/>
      <c r="F75" s="23" t="s">
        <v>291</v>
      </c>
      <c r="H75" s="23">
        <v>225</v>
      </c>
      <c r="I75" s="508">
        <f t="shared" ref="I75:Q75" si="34">I127+I179</f>
        <v>2.304881027767042</v>
      </c>
      <c r="J75" s="508">
        <f t="shared" si="34"/>
        <v>4.9397374697825862</v>
      </c>
      <c r="K75" s="508">
        <f t="shared" si="34"/>
        <v>5.4068956679680449</v>
      </c>
      <c r="L75" s="508">
        <f t="shared" ref="L75:N75" si="35">L127+L179</f>
        <v>2.3641093734704062</v>
      </c>
      <c r="M75" s="508">
        <f t="shared" si="35"/>
        <v>5.0486210226152508</v>
      </c>
      <c r="N75" s="508">
        <f t="shared" si="35"/>
        <v>5.5236833112004442</v>
      </c>
      <c r="O75" s="508">
        <f t="shared" si="34"/>
        <v>2.5246005434050436</v>
      </c>
      <c r="P75" s="508">
        <f t="shared" si="34"/>
        <v>3.5915564437087992</v>
      </c>
      <c r="Q75" s="508">
        <f t="shared" si="34"/>
        <v>3.7757678398157526</v>
      </c>
    </row>
    <row r="76" spans="3:17" x14ac:dyDescent="0.15">
      <c r="C76" s="37"/>
      <c r="D76" s="41"/>
      <c r="E76" s="24" t="s">
        <v>289</v>
      </c>
      <c r="F76" s="23" t="s">
        <v>289</v>
      </c>
      <c r="H76" s="23">
        <v>233</v>
      </c>
      <c r="I76" s="508">
        <f t="shared" ref="I76:Q76" si="36">I128+I180</f>
        <v>3.1713091126270845</v>
      </c>
      <c r="J76" s="508">
        <f t="shared" si="36"/>
        <v>4.9728647344989243</v>
      </c>
      <c r="K76" s="508">
        <f t="shared" si="36"/>
        <v>5.9845124744086675</v>
      </c>
      <c r="L76" s="508">
        <f t="shared" ref="L76:N76" si="37">L128+L180</f>
        <v>3.2485789271428827</v>
      </c>
      <c r="M76" s="508">
        <f t="shared" si="37"/>
        <v>5.0823107961749754</v>
      </c>
      <c r="N76" s="508">
        <f t="shared" si="37"/>
        <v>6.1133277635160237</v>
      </c>
      <c r="O76" s="508">
        <f t="shared" si="36"/>
        <v>2.8450575883968243</v>
      </c>
      <c r="P76" s="508">
        <f t="shared" si="36"/>
        <v>3.5747354962620794</v>
      </c>
      <c r="Q76" s="508">
        <f t="shared" si="36"/>
        <v>3.9894068282099759</v>
      </c>
    </row>
    <row r="77" spans="3:17" x14ac:dyDescent="0.15">
      <c r="C77" s="37"/>
      <c r="D77" s="41"/>
      <c r="E77" s="25"/>
      <c r="F77" s="23" t="s">
        <v>290</v>
      </c>
      <c r="H77" s="23">
        <v>234</v>
      </c>
      <c r="I77" s="508">
        <f t="shared" ref="I77:Q77" si="38">I129+I181</f>
        <v>2.7380950701970632</v>
      </c>
      <c r="J77" s="508">
        <f t="shared" si="38"/>
        <v>4.5396506920689035</v>
      </c>
      <c r="K77" s="508">
        <f t="shared" si="38"/>
        <v>5.0178513118264734</v>
      </c>
      <c r="L77" s="508">
        <f t="shared" ref="L77:N77" si="39">L129+L181</f>
        <v>2.8063441503066446</v>
      </c>
      <c r="M77" s="508">
        <f t="shared" si="39"/>
        <v>4.6400788945378446</v>
      </c>
      <c r="N77" s="508">
        <f t="shared" si="39"/>
        <v>5.1263682324438387</v>
      </c>
      <c r="O77" s="508">
        <f t="shared" si="38"/>
        <v>2.6848290659009342</v>
      </c>
      <c r="P77" s="508">
        <f t="shared" si="38"/>
        <v>3.4145098489652965</v>
      </c>
      <c r="Q77" s="508">
        <f t="shared" si="38"/>
        <v>3.5931123457906065</v>
      </c>
    </row>
    <row r="78" spans="3:17" x14ac:dyDescent="0.15">
      <c r="C78" s="37"/>
      <c r="D78" s="41"/>
      <c r="E78" s="26"/>
      <c r="F78" s="23" t="s">
        <v>291</v>
      </c>
      <c r="H78" s="23">
        <v>235</v>
      </c>
      <c r="I78" s="508">
        <f t="shared" ref="I78:Q78" si="40">I130+I182</f>
        <v>2.304881027767042</v>
      </c>
      <c r="J78" s="508">
        <f t="shared" si="40"/>
        <v>4.139566789554328</v>
      </c>
      <c r="K78" s="508">
        <f t="shared" si="40"/>
        <v>4.8734456726167652</v>
      </c>
      <c r="L78" s="508">
        <f t="shared" ref="L78:N78" si="41">L130+L182</f>
        <v>2.3641093734704062</v>
      </c>
      <c r="M78" s="508">
        <f t="shared" si="41"/>
        <v>4.2315338912613312</v>
      </c>
      <c r="N78" s="508">
        <f t="shared" si="41"/>
        <v>4.9789556817653899</v>
      </c>
      <c r="O78" s="508">
        <f t="shared" si="40"/>
        <v>2.5246005434050436</v>
      </c>
      <c r="P78" s="508">
        <f t="shared" si="40"/>
        <v>3.2374603790226875</v>
      </c>
      <c r="Q78" s="508">
        <f t="shared" si="40"/>
        <v>3.5397018798922733</v>
      </c>
    </row>
    <row r="79" spans="3:17" x14ac:dyDescent="0.15">
      <c r="C79" s="37"/>
      <c r="D79" s="41"/>
      <c r="E79" s="24" t="s">
        <v>290</v>
      </c>
      <c r="F79" s="23" t="s">
        <v>289</v>
      </c>
      <c r="H79" s="23">
        <v>243</v>
      </c>
      <c r="I79" s="508">
        <f t="shared" ref="I79:Q79" si="42">I131+I183</f>
        <v>3.1713091126270845</v>
      </c>
      <c r="J79" s="508">
        <f t="shared" si="42"/>
        <v>4.5258920849386168</v>
      </c>
      <c r="K79" s="508">
        <f t="shared" si="42"/>
        <v>5.451065354256496</v>
      </c>
      <c r="L79" s="508">
        <f t="shared" ref="L79:N79" si="43">L131+L183</f>
        <v>3.2485789271428827</v>
      </c>
      <c r="M79" s="508">
        <f t="shared" si="43"/>
        <v>4.6737686680975701</v>
      </c>
      <c r="N79" s="508">
        <f t="shared" si="43"/>
        <v>5.5686030092800776</v>
      </c>
      <c r="O79" s="508">
        <f t="shared" si="42"/>
        <v>2.8450575883968243</v>
      </c>
      <c r="P79" s="508">
        <f t="shared" si="42"/>
        <v>3.3976889015185781</v>
      </c>
      <c r="Q79" s="508">
        <f t="shared" si="42"/>
        <v>3.7533437434856038</v>
      </c>
    </row>
    <row r="80" spans="3:17" x14ac:dyDescent="0.15">
      <c r="C80" s="37"/>
      <c r="D80" s="41"/>
      <c r="E80" s="25"/>
      <c r="F80" s="23" t="s">
        <v>290</v>
      </c>
      <c r="H80" s="23">
        <v>244</v>
      </c>
      <c r="I80" s="508">
        <f t="shared" ref="I80:Q80" si="44">I132+I184</f>
        <v>2.7380950701970632</v>
      </c>
      <c r="J80" s="508">
        <f t="shared" si="44"/>
        <v>4.139566789554328</v>
      </c>
      <c r="K80" s="508">
        <f t="shared" si="44"/>
        <v>4.7511277517503876</v>
      </c>
      <c r="L80" s="508">
        <f t="shared" ref="L80:N80" si="45">L132+L184</f>
        <v>2.8063441503066446</v>
      </c>
      <c r="M80" s="508">
        <f t="shared" si="45"/>
        <v>4.2315338912613312</v>
      </c>
      <c r="N80" s="508">
        <f t="shared" si="45"/>
        <v>4.8540029801267579</v>
      </c>
      <c r="O80" s="508">
        <f t="shared" si="44"/>
        <v>2.6848290659009342</v>
      </c>
      <c r="P80" s="508">
        <f t="shared" si="44"/>
        <v>3.2374603790226875</v>
      </c>
      <c r="Q80" s="508">
        <f t="shared" si="44"/>
        <v>3.4750793658288663</v>
      </c>
    </row>
    <row r="81" spans="3:17" x14ac:dyDescent="0.15">
      <c r="C81" s="38"/>
      <c r="D81" s="42"/>
      <c r="E81" s="26"/>
      <c r="F81" s="23" t="s">
        <v>291</v>
      </c>
      <c r="H81" s="23">
        <v>245</v>
      </c>
      <c r="I81" s="508">
        <f t="shared" ref="I81:Q81" si="46">I133+I185</f>
        <v>2.304881027767042</v>
      </c>
      <c r="J81" s="508">
        <f t="shared" si="46"/>
        <v>4.139566789554328</v>
      </c>
      <c r="K81" s="508">
        <f t="shared" si="46"/>
        <v>4.6067249877397858</v>
      </c>
      <c r="L81" s="508">
        <f t="shared" ref="L81:N81" si="47">L133+L185</f>
        <v>2.3641093734704062</v>
      </c>
      <c r="M81" s="508">
        <f t="shared" si="47"/>
        <v>4.2315338912613312</v>
      </c>
      <c r="N81" s="508">
        <f t="shared" si="47"/>
        <v>4.7065961798465246</v>
      </c>
      <c r="O81" s="508">
        <f t="shared" si="46"/>
        <v>2.5246005434050436</v>
      </c>
      <c r="P81" s="508">
        <f t="shared" si="46"/>
        <v>3.2374603790226875</v>
      </c>
      <c r="Q81" s="508">
        <f t="shared" si="46"/>
        <v>3.421668899930534</v>
      </c>
    </row>
    <row r="82" spans="3:17" x14ac:dyDescent="0.15">
      <c r="C82" s="43" t="s">
        <v>289</v>
      </c>
      <c r="D82" s="40"/>
      <c r="E82" s="24" t="s">
        <v>292</v>
      </c>
      <c r="F82" s="23" t="s">
        <v>289</v>
      </c>
      <c r="H82" s="23">
        <v>313</v>
      </c>
      <c r="I82" s="508">
        <f t="shared" ref="I82:Q82" si="48">I134+I186</f>
        <v>3.9052281386217738</v>
      </c>
      <c r="J82" s="508">
        <f t="shared" si="48"/>
        <v>5.5233054415944949</v>
      </c>
      <c r="K82" s="508">
        <f t="shared" si="48"/>
        <v>6.4737927834714961</v>
      </c>
      <c r="L82" s="508">
        <f t="shared" ref="L82:N82" si="49">L134+L186</f>
        <v>3.9982893865764595</v>
      </c>
      <c r="M82" s="508">
        <f t="shared" si="49"/>
        <v>5.6445950783497114</v>
      </c>
      <c r="N82" s="508">
        <f t="shared" si="49"/>
        <v>6.6131356948714446</v>
      </c>
      <c r="O82" s="508">
        <f t="shared" si="48"/>
        <v>3.2327955479763744</v>
      </c>
      <c r="P82" s="508">
        <f t="shared" si="48"/>
        <v>3.8655396847465195</v>
      </c>
      <c r="Q82" s="508">
        <f t="shared" si="48"/>
        <v>4.2478968844636045</v>
      </c>
    </row>
    <row r="83" spans="3:17" x14ac:dyDescent="0.15">
      <c r="C83" s="37"/>
      <c r="D83" s="41"/>
      <c r="E83" s="25"/>
      <c r="F83" s="23" t="s">
        <v>290</v>
      </c>
      <c r="H83" s="23">
        <v>314</v>
      </c>
      <c r="I83" s="508">
        <f t="shared" ref="I83:Q83" si="50">I135+I187</f>
        <v>3.9052281386217738</v>
      </c>
      <c r="J83" s="508">
        <f t="shared" si="50"/>
        <v>5.5233054415944949</v>
      </c>
      <c r="K83" s="508">
        <f t="shared" si="50"/>
        <v>6.1849843802511844</v>
      </c>
      <c r="L83" s="508">
        <f t="shared" ref="L83:N83" si="51">L135+L187</f>
        <v>3.9982893865764595</v>
      </c>
      <c r="M83" s="508">
        <f t="shared" si="51"/>
        <v>5.6445950783497114</v>
      </c>
      <c r="N83" s="508">
        <f t="shared" si="51"/>
        <v>6.3183134687136544</v>
      </c>
      <c r="O83" s="508">
        <f t="shared" si="50"/>
        <v>3.2327955479763744</v>
      </c>
      <c r="P83" s="508">
        <f t="shared" si="50"/>
        <v>3.8655396847465195</v>
      </c>
      <c r="Q83" s="508">
        <f t="shared" si="50"/>
        <v>4.1410788278660471</v>
      </c>
    </row>
    <row r="84" spans="3:17" x14ac:dyDescent="0.15">
      <c r="C84" s="37"/>
      <c r="D84" s="41"/>
      <c r="E84" s="26"/>
      <c r="F84" s="23" t="s">
        <v>291</v>
      </c>
      <c r="H84" s="23">
        <v>315</v>
      </c>
      <c r="I84" s="508">
        <f t="shared" ref="I84:Q84" si="52">I136+I188</f>
        <v>3.9052281386217738</v>
      </c>
      <c r="J84" s="508">
        <f t="shared" si="52"/>
        <v>5.3066998579790381</v>
      </c>
      <c r="K84" s="508">
        <f t="shared" si="52"/>
        <v>6.1849843802511844</v>
      </c>
      <c r="L84" s="508">
        <f t="shared" ref="L84:N84" si="53">L136+L188</f>
        <v>3.9982893865764595</v>
      </c>
      <c r="M84" s="508">
        <f t="shared" si="53"/>
        <v>5.423479127531146</v>
      </c>
      <c r="N84" s="508">
        <f t="shared" si="53"/>
        <v>6.3183134687136544</v>
      </c>
      <c r="O84" s="508">
        <f t="shared" si="52"/>
        <v>3.2327955479763744</v>
      </c>
      <c r="P84" s="508">
        <f t="shared" si="52"/>
        <v>3.7854268610981281</v>
      </c>
      <c r="Q84" s="508">
        <f t="shared" si="52"/>
        <v>4.1410788278660471</v>
      </c>
    </row>
    <row r="85" spans="3:17" x14ac:dyDescent="0.15">
      <c r="C85" s="37"/>
      <c r="D85" s="41"/>
      <c r="E85" s="24" t="s">
        <v>293</v>
      </c>
      <c r="F85" s="23" t="s">
        <v>289</v>
      </c>
      <c r="H85" s="23">
        <v>323</v>
      </c>
      <c r="I85" s="508">
        <f t="shared" ref="I85:Q85" si="54">I137+I189</f>
        <v>3.9052281386217738</v>
      </c>
      <c r="J85" s="508">
        <f t="shared" si="54"/>
        <v>5.5233054415944949</v>
      </c>
      <c r="K85" s="508">
        <f t="shared" si="54"/>
        <v>6.4737927834714961</v>
      </c>
      <c r="L85" s="508">
        <f t="shared" ref="L85:N85" si="55">L137+L189</f>
        <v>3.9982893865764595</v>
      </c>
      <c r="M85" s="508">
        <f t="shared" si="55"/>
        <v>5.6445950783497114</v>
      </c>
      <c r="N85" s="508">
        <f t="shared" si="55"/>
        <v>6.6131356948714446</v>
      </c>
      <c r="O85" s="508">
        <f t="shared" si="54"/>
        <v>3.2327955479763744</v>
      </c>
      <c r="P85" s="508">
        <f t="shared" si="54"/>
        <v>3.8655396847465195</v>
      </c>
      <c r="Q85" s="508">
        <f t="shared" si="54"/>
        <v>4.2478968844636045</v>
      </c>
    </row>
    <row r="86" spans="3:17" x14ac:dyDescent="0.15">
      <c r="C86" s="37"/>
      <c r="D86" s="41"/>
      <c r="E86" s="25"/>
      <c r="F86" s="23" t="s">
        <v>290</v>
      </c>
      <c r="H86" s="23">
        <v>324</v>
      </c>
      <c r="I86" s="508">
        <f t="shared" ref="I86:Q86" si="56">I138+I190</f>
        <v>3.1050574583935155</v>
      </c>
      <c r="J86" s="508">
        <f t="shared" si="56"/>
        <v>4.7231318861671294</v>
      </c>
      <c r="K86" s="508">
        <f t="shared" si="56"/>
        <v>5.3848108248238189</v>
      </c>
      <c r="L86" s="508">
        <f t="shared" ref="L86:N86" si="57">L138+L190</f>
        <v>3.1812022552225403</v>
      </c>
      <c r="M86" s="508">
        <f t="shared" si="57"/>
        <v>4.8275050717966845</v>
      </c>
      <c r="N86" s="508">
        <f t="shared" si="57"/>
        <v>5.5012234621606266</v>
      </c>
      <c r="O86" s="508">
        <f t="shared" si="56"/>
        <v>2.8786966080911558</v>
      </c>
      <c r="P86" s="508">
        <f t="shared" si="56"/>
        <v>3.5114436200604078</v>
      </c>
      <c r="Q86" s="508">
        <f t="shared" si="56"/>
        <v>3.7869827631799353</v>
      </c>
    </row>
    <row r="87" spans="3:17" x14ac:dyDescent="0.15">
      <c r="C87" s="37"/>
      <c r="D87" s="41"/>
      <c r="E87" s="26"/>
      <c r="F87" s="23" t="s">
        <v>291</v>
      </c>
      <c r="H87" s="23">
        <v>325</v>
      </c>
      <c r="I87" s="508">
        <f t="shared" ref="I87:Q87" si="58">I139+I191</f>
        <v>2.304881027767042</v>
      </c>
      <c r="J87" s="508">
        <f t="shared" si="58"/>
        <v>4.5065263025516726</v>
      </c>
      <c r="K87" s="508">
        <f t="shared" si="58"/>
        <v>5.1180872647477331</v>
      </c>
      <c r="L87" s="508">
        <f t="shared" ref="L87:N87" si="59">L139+L191</f>
        <v>2.3641093734704062</v>
      </c>
      <c r="M87" s="508">
        <f t="shared" si="59"/>
        <v>4.60638912097812</v>
      </c>
      <c r="N87" s="508">
        <f t="shared" si="59"/>
        <v>5.2288610850426549</v>
      </c>
      <c r="O87" s="508">
        <f t="shared" si="58"/>
        <v>2.5246005434050436</v>
      </c>
      <c r="P87" s="508">
        <f t="shared" si="58"/>
        <v>3.4313279212129086</v>
      </c>
      <c r="Q87" s="508">
        <f t="shared" si="58"/>
        <v>3.6689497832181952</v>
      </c>
    </row>
    <row r="88" spans="3:17" x14ac:dyDescent="0.15">
      <c r="C88" s="37"/>
      <c r="D88" s="41"/>
      <c r="E88" s="24" t="s">
        <v>289</v>
      </c>
      <c r="F88" s="23" t="s">
        <v>289</v>
      </c>
      <c r="H88" s="23">
        <v>333</v>
      </c>
      <c r="I88" s="665">
        <f t="shared" ref="I88:Q88" si="60">I140+I192</f>
        <v>2.304881027767042</v>
      </c>
      <c r="J88" s="508">
        <f t="shared" si="60"/>
        <v>4.3230451084534476</v>
      </c>
      <c r="K88" s="508">
        <f t="shared" si="60"/>
        <v>5.4068956679680449</v>
      </c>
      <c r="L88" s="665">
        <f t="shared" ref="L88:N88" si="61">L140+L192</f>
        <v>2.3641093734704062</v>
      </c>
      <c r="M88" s="508">
        <f t="shared" si="61"/>
        <v>4.4189629437192792</v>
      </c>
      <c r="N88" s="508">
        <f t="shared" si="61"/>
        <v>5.5236833112004442</v>
      </c>
      <c r="O88" s="665">
        <f t="shared" si="60"/>
        <v>2.5246005434050436</v>
      </c>
      <c r="P88" s="508">
        <f t="shared" si="60"/>
        <v>3.3343941501177978</v>
      </c>
      <c r="Q88" s="508">
        <f t="shared" si="60"/>
        <v>3.7757678398157526</v>
      </c>
    </row>
    <row r="89" spans="3:17" x14ac:dyDescent="0.15">
      <c r="C89" s="37"/>
      <c r="D89" s="41"/>
      <c r="E89" s="25"/>
      <c r="F89" s="23" t="s">
        <v>290</v>
      </c>
      <c r="H89" s="23">
        <v>334</v>
      </c>
      <c r="I89" s="508">
        <f t="shared" ref="I89:Q89" si="62">I141+I193</f>
        <v>2.304881027767042</v>
      </c>
      <c r="J89" s="508">
        <f t="shared" si="62"/>
        <v>4.3230451084534476</v>
      </c>
      <c r="K89" s="508">
        <f t="shared" si="62"/>
        <v>4.5846372693964543</v>
      </c>
      <c r="L89" s="508">
        <f t="shared" ref="L89:N89" si="63">L141+L193</f>
        <v>2.3641093734704062</v>
      </c>
      <c r="M89" s="508">
        <f t="shared" si="63"/>
        <v>4.4189629437192792</v>
      </c>
      <c r="N89" s="508">
        <f t="shared" si="63"/>
        <v>4.6841334556075997</v>
      </c>
      <c r="O89" s="508">
        <f t="shared" si="62"/>
        <v>2.5246005434050436</v>
      </c>
      <c r="P89" s="508">
        <f t="shared" si="62"/>
        <v>3.3343941501177978</v>
      </c>
      <c r="Q89" s="508">
        <f t="shared" si="62"/>
        <v>3.4328838232947159</v>
      </c>
    </row>
    <row r="90" spans="3:17" x14ac:dyDescent="0.15">
      <c r="C90" s="37"/>
      <c r="D90" s="41"/>
      <c r="E90" s="26"/>
      <c r="F90" s="23" t="s">
        <v>291</v>
      </c>
      <c r="H90" s="23">
        <v>335</v>
      </c>
      <c r="I90" s="508">
        <f t="shared" ref="I90:Q90" si="64">I142+I194</f>
        <v>2.304881027767042</v>
      </c>
      <c r="J90" s="508">
        <f t="shared" si="64"/>
        <v>3.7063527471243081</v>
      </c>
      <c r="K90" s="508">
        <f t="shared" si="64"/>
        <v>4.5846372693964543</v>
      </c>
      <c r="L90" s="508">
        <f t="shared" ref="L90:N90" si="65">L142+L194</f>
        <v>2.3641093734704062</v>
      </c>
      <c r="M90" s="508">
        <f t="shared" si="65"/>
        <v>3.7892991144250927</v>
      </c>
      <c r="N90" s="508">
        <f t="shared" si="65"/>
        <v>4.6841334556075997</v>
      </c>
      <c r="O90" s="508">
        <f t="shared" si="64"/>
        <v>2.5246005434050436</v>
      </c>
      <c r="P90" s="508">
        <f t="shared" si="64"/>
        <v>3.0772289813276892</v>
      </c>
      <c r="Q90" s="508">
        <f t="shared" si="64"/>
        <v>3.4328838232947159</v>
      </c>
    </row>
    <row r="91" spans="3:17" x14ac:dyDescent="0.15">
      <c r="C91" s="37"/>
      <c r="D91" s="41"/>
      <c r="E91" s="24" t="s">
        <v>290</v>
      </c>
      <c r="F91" s="23" t="s">
        <v>289</v>
      </c>
      <c r="H91" s="23">
        <v>343</v>
      </c>
      <c r="I91" s="508">
        <f t="shared" ref="I91:Q91" si="66">I143+I195</f>
        <v>2.304881027767042</v>
      </c>
      <c r="J91" s="508">
        <f t="shared" si="66"/>
        <v>3.9229612059388721</v>
      </c>
      <c r="K91" s="508">
        <f t="shared" si="66"/>
        <v>4.8734456726167652</v>
      </c>
      <c r="L91" s="508">
        <f t="shared" ref="L91:N91" si="67">L143+L195</f>
        <v>2.3641093734704062</v>
      </c>
      <c r="M91" s="508">
        <f t="shared" si="67"/>
        <v>4.0104179404427658</v>
      </c>
      <c r="N91" s="508">
        <f t="shared" si="67"/>
        <v>4.9789556817653899</v>
      </c>
      <c r="O91" s="508">
        <f t="shared" si="66"/>
        <v>2.5246005434050436</v>
      </c>
      <c r="P91" s="508">
        <f t="shared" si="66"/>
        <v>3.1573446801751879</v>
      </c>
      <c r="Q91" s="508">
        <f t="shared" si="66"/>
        <v>3.5397018798922733</v>
      </c>
    </row>
    <row r="92" spans="3:17" x14ac:dyDescent="0.15">
      <c r="C92" s="37"/>
      <c r="D92" s="41"/>
      <c r="E92" s="25"/>
      <c r="F92" s="23" t="s">
        <v>290</v>
      </c>
      <c r="H92" s="23">
        <v>344</v>
      </c>
      <c r="I92" s="508">
        <f t="shared" ref="I92:Q92" si="68">I144+I196</f>
        <v>2.304881027767042</v>
      </c>
      <c r="J92" s="508">
        <f t="shared" si="68"/>
        <v>3.9229612059388721</v>
      </c>
      <c r="K92" s="508">
        <f t="shared" si="68"/>
        <v>4.3179165845194749</v>
      </c>
      <c r="L92" s="508">
        <f t="shared" ref="L92:N92" si="69">L144+L196</f>
        <v>2.3641093734704062</v>
      </c>
      <c r="M92" s="508">
        <f t="shared" si="69"/>
        <v>4.0104179404427658</v>
      </c>
      <c r="N92" s="508">
        <f t="shared" si="69"/>
        <v>4.4117739536887344</v>
      </c>
      <c r="O92" s="508">
        <f t="shared" si="68"/>
        <v>2.5246005434050436</v>
      </c>
      <c r="P92" s="508">
        <f t="shared" si="68"/>
        <v>3.1573446801751879</v>
      </c>
      <c r="Q92" s="508">
        <f t="shared" si="68"/>
        <v>3.3148508433329757</v>
      </c>
    </row>
    <row r="93" spans="3:17" x14ac:dyDescent="0.15">
      <c r="C93" s="38"/>
      <c r="D93" s="42"/>
      <c r="E93" s="26"/>
      <c r="F93" s="23" t="s">
        <v>291</v>
      </c>
      <c r="H93" s="23">
        <v>345</v>
      </c>
      <c r="I93" s="508">
        <f t="shared" ref="I93:Q93" si="70">I145+I197</f>
        <v>2.304881027767042</v>
      </c>
      <c r="J93" s="508">
        <f t="shared" si="70"/>
        <v>3.7063527471243081</v>
      </c>
      <c r="K93" s="508">
        <f t="shared" si="70"/>
        <v>4.3179165845194749</v>
      </c>
      <c r="L93" s="508">
        <f t="shared" ref="L93:N93" si="71">L145+L197</f>
        <v>2.3641093734704062</v>
      </c>
      <c r="M93" s="508">
        <f t="shared" si="71"/>
        <v>3.7892991144250927</v>
      </c>
      <c r="N93" s="508">
        <f t="shared" si="71"/>
        <v>4.4117739536887344</v>
      </c>
      <c r="O93" s="508">
        <f t="shared" si="70"/>
        <v>2.5246005434050436</v>
      </c>
      <c r="P93" s="508">
        <f t="shared" si="70"/>
        <v>3.0772289813276892</v>
      </c>
      <c r="Q93" s="508">
        <f t="shared" si="70"/>
        <v>3.3148508433329757</v>
      </c>
    </row>
    <row r="94" spans="3:17" x14ac:dyDescent="0.15">
      <c r="C94" s="43" t="s">
        <v>290</v>
      </c>
      <c r="D94" s="40"/>
      <c r="E94" s="24" t="s">
        <v>292</v>
      </c>
      <c r="F94" s="23" t="s">
        <v>289</v>
      </c>
      <c r="H94" s="23">
        <v>413</v>
      </c>
      <c r="I94" s="508">
        <f t="shared" ref="I94:Q94" si="72">I146+I198</f>
        <v>3.9052281386217738</v>
      </c>
      <c r="J94" s="508">
        <f t="shared" si="72"/>
        <v>5.3066998579790381</v>
      </c>
      <c r="K94" s="508">
        <f t="shared" si="72"/>
        <v>6.1849843802511844</v>
      </c>
      <c r="L94" s="508">
        <f t="shared" ref="L94:N94" si="73">L146+L198</f>
        <v>3.9982893865764595</v>
      </c>
      <c r="M94" s="508">
        <f t="shared" si="73"/>
        <v>5.423479127531146</v>
      </c>
      <c r="N94" s="508">
        <f t="shared" si="73"/>
        <v>6.3183134687136544</v>
      </c>
      <c r="O94" s="508">
        <f t="shared" si="72"/>
        <v>3.2327955479763744</v>
      </c>
      <c r="P94" s="508">
        <f t="shared" si="72"/>
        <v>3.7854268610981281</v>
      </c>
      <c r="Q94" s="508">
        <f t="shared" si="72"/>
        <v>4.1410788278660471</v>
      </c>
    </row>
    <row r="95" spans="3:17" x14ac:dyDescent="0.15">
      <c r="C95" s="37"/>
      <c r="D95" s="41"/>
      <c r="E95" s="25"/>
      <c r="F95" s="23" t="s">
        <v>290</v>
      </c>
      <c r="H95" s="23">
        <v>414</v>
      </c>
      <c r="I95" s="508">
        <f t="shared" ref="I95:Q95" si="74">I147+I199</f>
        <v>3.9052281386217738</v>
      </c>
      <c r="J95" s="508">
        <f t="shared" si="74"/>
        <v>5.3066998579790381</v>
      </c>
      <c r="K95" s="508">
        <f t="shared" si="74"/>
        <v>6.0405787410414762</v>
      </c>
      <c r="L95" s="508">
        <f t="shared" ref="L95:N95" si="75">L147+L199</f>
        <v>3.9982893865764595</v>
      </c>
      <c r="M95" s="508">
        <f t="shared" si="75"/>
        <v>5.423479127531146</v>
      </c>
      <c r="N95" s="508">
        <f t="shared" si="75"/>
        <v>6.1709009180352057</v>
      </c>
      <c r="O95" s="508">
        <f t="shared" si="74"/>
        <v>3.2327955479763744</v>
      </c>
      <c r="P95" s="508">
        <f t="shared" si="74"/>
        <v>3.7854268610981281</v>
      </c>
      <c r="Q95" s="508">
        <f t="shared" si="74"/>
        <v>4.0876683619677143</v>
      </c>
    </row>
    <row r="96" spans="3:17" x14ac:dyDescent="0.15">
      <c r="C96" s="37"/>
      <c r="D96" s="41"/>
      <c r="E96" s="26"/>
      <c r="F96" s="23" t="s">
        <v>291</v>
      </c>
      <c r="H96" s="23">
        <v>415</v>
      </c>
      <c r="I96" s="508">
        <f t="shared" ref="I96:Q96" si="76">I148+I200</f>
        <v>3.9052281386217738</v>
      </c>
      <c r="J96" s="508">
        <f t="shared" si="76"/>
        <v>5.3066998579790381</v>
      </c>
      <c r="K96" s="508">
        <f t="shared" si="76"/>
        <v>6.0405787410414762</v>
      </c>
      <c r="L96" s="508">
        <f t="shared" ref="L96:N96" si="77">L148+L200</f>
        <v>3.9982893865764595</v>
      </c>
      <c r="M96" s="508">
        <f t="shared" si="77"/>
        <v>5.423479127531146</v>
      </c>
      <c r="N96" s="508">
        <f t="shared" si="77"/>
        <v>6.1709009180352057</v>
      </c>
      <c r="O96" s="508">
        <f t="shared" si="76"/>
        <v>3.2327955479763744</v>
      </c>
      <c r="P96" s="508">
        <f t="shared" si="76"/>
        <v>3.7854268610981281</v>
      </c>
      <c r="Q96" s="508">
        <f t="shared" si="76"/>
        <v>4.0876683619677143</v>
      </c>
    </row>
    <row r="97" spans="3:21" x14ac:dyDescent="0.15">
      <c r="C97" s="37"/>
      <c r="D97" s="41"/>
      <c r="E97" s="24" t="s">
        <v>293</v>
      </c>
      <c r="F97" s="23" t="s">
        <v>289</v>
      </c>
      <c r="H97" s="23">
        <v>423</v>
      </c>
      <c r="I97" s="508">
        <f t="shared" ref="I97:Q97" si="78">I149+I201</f>
        <v>3.9052281386217738</v>
      </c>
      <c r="J97" s="508">
        <f t="shared" si="78"/>
        <v>5.3066998579790381</v>
      </c>
      <c r="K97" s="508">
        <f t="shared" si="78"/>
        <v>6.1849843802511844</v>
      </c>
      <c r="L97" s="508">
        <f t="shared" ref="L97:N97" si="79">L149+L201</f>
        <v>3.9982893865764595</v>
      </c>
      <c r="M97" s="508">
        <f t="shared" si="79"/>
        <v>5.423479127531146</v>
      </c>
      <c r="N97" s="508">
        <f t="shared" si="79"/>
        <v>6.3183134687136544</v>
      </c>
      <c r="O97" s="508">
        <f t="shared" si="78"/>
        <v>3.2327955479763744</v>
      </c>
      <c r="P97" s="508">
        <f t="shared" si="78"/>
        <v>3.7854268610981281</v>
      </c>
      <c r="Q97" s="508">
        <f t="shared" si="78"/>
        <v>4.1410788278660471</v>
      </c>
    </row>
    <row r="98" spans="3:21" x14ac:dyDescent="0.15">
      <c r="C98" s="37"/>
      <c r="D98" s="41"/>
      <c r="E98" s="25"/>
      <c r="F98" s="23" t="s">
        <v>290</v>
      </c>
      <c r="H98" s="23">
        <v>424</v>
      </c>
      <c r="I98" s="508">
        <f t="shared" ref="I98:Q98" si="80">I150+I202</f>
        <v>3.1050574583935155</v>
      </c>
      <c r="J98" s="508">
        <f t="shared" si="80"/>
        <v>4.5065263025516726</v>
      </c>
      <c r="K98" s="508">
        <f t="shared" si="80"/>
        <v>5.2404080608132171</v>
      </c>
      <c r="L98" s="508">
        <f t="shared" ref="L98:N98" si="81">L150+L202</f>
        <v>3.1812022552225403</v>
      </c>
      <c r="M98" s="508">
        <f t="shared" si="81"/>
        <v>4.60638912097812</v>
      </c>
      <c r="N98" s="508">
        <f t="shared" si="81"/>
        <v>5.353813786681286</v>
      </c>
      <c r="O98" s="508">
        <f t="shared" si="80"/>
        <v>2.8786966080911558</v>
      </c>
      <c r="P98" s="508">
        <f t="shared" si="80"/>
        <v>3.4313279212129086</v>
      </c>
      <c r="Q98" s="508">
        <f t="shared" si="80"/>
        <v>3.7335722972816021</v>
      </c>
      <c r="T98" s="171"/>
      <c r="U98" s="171"/>
    </row>
    <row r="99" spans="3:21" x14ac:dyDescent="0.15">
      <c r="C99" s="37"/>
      <c r="D99" s="41"/>
      <c r="E99" s="26"/>
      <c r="F99" s="23" t="s">
        <v>291</v>
      </c>
      <c r="H99" s="23">
        <v>425</v>
      </c>
      <c r="I99" s="508">
        <f t="shared" ref="I99:Q99" si="82">I151+I203</f>
        <v>2.304881027767042</v>
      </c>
      <c r="J99" s="508">
        <f t="shared" si="82"/>
        <v>4.5065263025516726</v>
      </c>
      <c r="K99" s="508">
        <f t="shared" si="82"/>
        <v>4.9736845007371304</v>
      </c>
      <c r="L99" s="508">
        <f t="shared" ref="L99:N99" si="83">L151+L203</f>
        <v>2.3641093734704062</v>
      </c>
      <c r="M99" s="508">
        <f t="shared" si="83"/>
        <v>4.60638912097812</v>
      </c>
      <c r="N99" s="508">
        <f t="shared" si="83"/>
        <v>5.0814485343642053</v>
      </c>
      <c r="O99" s="508">
        <f t="shared" si="82"/>
        <v>2.5246005434050436</v>
      </c>
      <c r="P99" s="508">
        <f t="shared" si="82"/>
        <v>3.4313279212129086</v>
      </c>
      <c r="Q99" s="508">
        <f t="shared" si="82"/>
        <v>3.6155421925189701</v>
      </c>
      <c r="T99" s="171"/>
      <c r="U99" s="171"/>
    </row>
    <row r="100" spans="3:21" x14ac:dyDescent="0.15">
      <c r="C100" s="37"/>
      <c r="D100" s="41"/>
      <c r="E100" s="24" t="s">
        <v>289</v>
      </c>
      <c r="F100" s="23" t="s">
        <v>289</v>
      </c>
      <c r="H100" s="23">
        <v>433</v>
      </c>
      <c r="I100" s="508">
        <f t="shared" ref="I100:Q100" si="84">I152+I204</f>
        <v>2.304881027767042</v>
      </c>
      <c r="J100" s="508">
        <f t="shared" si="84"/>
        <v>4.1064395248379908</v>
      </c>
      <c r="K100" s="508">
        <f t="shared" si="84"/>
        <v>5.1180872647477331</v>
      </c>
      <c r="L100" s="508">
        <f t="shared" ref="L100:N100" si="85">L152+L204</f>
        <v>2.3641093734704062</v>
      </c>
      <c r="M100" s="508">
        <f t="shared" si="85"/>
        <v>4.1978441177016066</v>
      </c>
      <c r="N100" s="508">
        <f t="shared" si="85"/>
        <v>5.2288610850426549</v>
      </c>
      <c r="O100" s="508">
        <f t="shared" si="84"/>
        <v>2.5246005434050436</v>
      </c>
      <c r="P100" s="508">
        <f t="shared" si="84"/>
        <v>3.2542813264694068</v>
      </c>
      <c r="Q100" s="508">
        <f t="shared" si="84"/>
        <v>3.6689497832181952</v>
      </c>
      <c r="T100" s="171"/>
      <c r="U100" s="171"/>
    </row>
    <row r="101" spans="3:21" x14ac:dyDescent="0.15">
      <c r="C101" s="37"/>
      <c r="D101" s="41"/>
      <c r="E101" s="25"/>
      <c r="F101" s="23" t="s">
        <v>290</v>
      </c>
      <c r="H101" s="23">
        <v>434</v>
      </c>
      <c r="I101" s="508">
        <f t="shared" ref="I101:Q101" si="86">I153+I205</f>
        <v>2.304881027767042</v>
      </c>
      <c r="J101" s="508">
        <f t="shared" si="86"/>
        <v>4.1064395248379908</v>
      </c>
      <c r="K101" s="508">
        <f t="shared" si="86"/>
        <v>4.4402373805849598</v>
      </c>
      <c r="L101" s="508">
        <f t="shared" ref="L101:N101" si="87">L153+L205</f>
        <v>2.3641093734704062</v>
      </c>
      <c r="M101" s="508">
        <f t="shared" si="87"/>
        <v>4.1978441177016066</v>
      </c>
      <c r="N101" s="508">
        <f t="shared" si="87"/>
        <v>4.5367266553273664</v>
      </c>
      <c r="O101" s="508">
        <f t="shared" si="86"/>
        <v>2.5246005434050436</v>
      </c>
      <c r="P101" s="508">
        <f t="shared" si="86"/>
        <v>3.2542813264694068</v>
      </c>
      <c r="Q101" s="508">
        <f t="shared" si="86"/>
        <v>3.3794762325954908</v>
      </c>
      <c r="T101" s="171"/>
      <c r="U101" s="171"/>
    </row>
    <row r="102" spans="3:21" x14ac:dyDescent="0.15">
      <c r="C102" s="37"/>
      <c r="D102" s="41"/>
      <c r="E102" s="26"/>
      <c r="F102" s="23" t="s">
        <v>291</v>
      </c>
      <c r="H102" s="23">
        <v>435</v>
      </c>
      <c r="I102" s="508">
        <f t="shared" ref="I102:Q102" si="88">I154+I206</f>
        <v>2.304881027767042</v>
      </c>
      <c r="J102" s="508">
        <f t="shared" si="88"/>
        <v>3.7063527471243081</v>
      </c>
      <c r="K102" s="508">
        <f t="shared" si="88"/>
        <v>4.4402373805849598</v>
      </c>
      <c r="L102" s="508">
        <f t="shared" ref="L102:N102" si="89">L154+L206</f>
        <v>2.3641093734704062</v>
      </c>
      <c r="M102" s="508">
        <f t="shared" si="89"/>
        <v>3.7892991144250927</v>
      </c>
      <c r="N102" s="508">
        <f t="shared" si="89"/>
        <v>4.5367266553273664</v>
      </c>
      <c r="O102" s="508">
        <f t="shared" si="88"/>
        <v>2.5246005434050436</v>
      </c>
      <c r="P102" s="508">
        <f t="shared" si="88"/>
        <v>3.0772289813276892</v>
      </c>
      <c r="Q102" s="508">
        <f t="shared" si="88"/>
        <v>3.3794762325954908</v>
      </c>
      <c r="T102" s="171"/>
      <c r="U102" s="171"/>
    </row>
    <row r="103" spans="3:21" x14ac:dyDescent="0.15">
      <c r="C103" s="37"/>
      <c r="D103" s="41"/>
      <c r="E103" s="24" t="s">
        <v>290</v>
      </c>
      <c r="F103" s="23" t="s">
        <v>289</v>
      </c>
      <c r="H103" s="23">
        <v>443</v>
      </c>
      <c r="I103" s="508">
        <f t="shared" ref="I103:Q103" si="90">I155+I207</f>
        <v>2.304881027767042</v>
      </c>
      <c r="J103" s="508">
        <f t="shared" si="90"/>
        <v>3.7063527471243081</v>
      </c>
      <c r="K103" s="508">
        <f t="shared" si="90"/>
        <v>4.5846372693964543</v>
      </c>
      <c r="L103" s="508">
        <f t="shared" ref="L103:N103" si="91">L155+L207</f>
        <v>2.3641093734704062</v>
      </c>
      <c r="M103" s="508">
        <f t="shared" si="91"/>
        <v>3.7892991144250927</v>
      </c>
      <c r="N103" s="508">
        <f t="shared" si="91"/>
        <v>4.6841334556075997</v>
      </c>
      <c r="O103" s="508">
        <f t="shared" si="90"/>
        <v>2.5246005434050436</v>
      </c>
      <c r="P103" s="508">
        <f t="shared" si="90"/>
        <v>3.0772289813276892</v>
      </c>
      <c r="Q103" s="508">
        <f t="shared" si="90"/>
        <v>3.4328838232947159</v>
      </c>
      <c r="T103" s="171"/>
      <c r="U103" s="171"/>
    </row>
    <row r="104" spans="3:21" x14ac:dyDescent="0.15">
      <c r="C104" s="37"/>
      <c r="D104" s="41"/>
      <c r="E104" s="25"/>
      <c r="F104" s="23" t="s">
        <v>290</v>
      </c>
      <c r="H104" s="23">
        <v>444</v>
      </c>
      <c r="I104" s="508">
        <f t="shared" ref="I104:Q104" si="92">I156+I208</f>
        <v>2.304881027767042</v>
      </c>
      <c r="J104" s="508">
        <f t="shared" si="92"/>
        <v>3.7063527471243081</v>
      </c>
      <c r="K104" s="508">
        <f t="shared" si="92"/>
        <v>4.1735109453097659</v>
      </c>
      <c r="L104" s="508">
        <f t="shared" ref="L104:N104" si="93">L156+L208</f>
        <v>2.3641093734704062</v>
      </c>
      <c r="M104" s="508">
        <f t="shared" si="93"/>
        <v>3.7892991144250927</v>
      </c>
      <c r="N104" s="508">
        <f t="shared" si="93"/>
        <v>4.2643614030102857</v>
      </c>
      <c r="O104" s="508">
        <f t="shared" si="92"/>
        <v>2.5246005434050436</v>
      </c>
      <c r="P104" s="508">
        <f t="shared" si="92"/>
        <v>3.0772289813276892</v>
      </c>
      <c r="Q104" s="508">
        <f t="shared" si="92"/>
        <v>3.2614432526337507</v>
      </c>
      <c r="T104" s="171"/>
      <c r="U104" s="171"/>
    </row>
    <row r="105" spans="3:21" ht="15" customHeight="1" x14ac:dyDescent="0.15">
      <c r="C105" s="38"/>
      <c r="D105" s="42"/>
      <c r="E105" s="26"/>
      <c r="F105" s="23" t="s">
        <v>291</v>
      </c>
      <c r="H105" s="23">
        <v>445</v>
      </c>
      <c r="I105" s="508">
        <f t="shared" ref="I105:Q105" si="94">I157+I209</f>
        <v>2.304881027767042</v>
      </c>
      <c r="J105" s="508">
        <f t="shared" si="94"/>
        <v>3.7063527471243081</v>
      </c>
      <c r="K105" s="508">
        <f t="shared" si="94"/>
        <v>4.1735109453097659</v>
      </c>
      <c r="L105" s="508">
        <f t="shared" ref="L105:N105" si="95">L157+L209</f>
        <v>2.3641093734704062</v>
      </c>
      <c r="M105" s="508">
        <f t="shared" si="95"/>
        <v>3.7892991144250927</v>
      </c>
      <c r="N105" s="508">
        <f t="shared" si="95"/>
        <v>4.2643614030102857</v>
      </c>
      <c r="O105" s="508">
        <f t="shared" si="94"/>
        <v>2.5246005434050436</v>
      </c>
      <c r="P105" s="508">
        <f t="shared" si="94"/>
        <v>3.0772289813276892</v>
      </c>
      <c r="Q105" s="508">
        <f t="shared" si="94"/>
        <v>3.2614432526337507</v>
      </c>
      <c r="T105" s="171"/>
      <c r="U105" s="171"/>
    </row>
    <row r="106" spans="3:21" ht="15" customHeight="1" x14ac:dyDescent="0.15">
      <c r="T106" s="171"/>
      <c r="U106" s="171"/>
    </row>
    <row r="107" spans="3:21" ht="15" customHeight="1" x14ac:dyDescent="0.25">
      <c r="C107" s="315" t="s">
        <v>295</v>
      </c>
      <c r="D107" s="29"/>
      <c r="I107" s="301" t="s">
        <v>296</v>
      </c>
      <c r="J107" s="53"/>
      <c r="K107" s="53"/>
      <c r="L107" s="54"/>
      <c r="M107" s="54"/>
      <c r="N107" s="54"/>
      <c r="O107" s="54"/>
      <c r="P107" s="54"/>
      <c r="Q107" s="55"/>
      <c r="T107" s="171"/>
      <c r="U107" s="171"/>
    </row>
    <row r="108" spans="3:21" ht="15" customHeight="1" x14ac:dyDescent="0.15">
      <c r="C108" s="21"/>
      <c r="D108" s="21"/>
      <c r="E108" s="21"/>
      <c r="F108" s="13" t="s">
        <v>285</v>
      </c>
      <c r="I108" s="302" t="s">
        <v>297</v>
      </c>
      <c r="J108" s="303"/>
      <c r="K108" s="304"/>
      <c r="L108" s="302" t="s">
        <v>298</v>
      </c>
      <c r="M108" s="303"/>
      <c r="N108" s="304"/>
      <c r="O108" s="302" t="s">
        <v>299</v>
      </c>
      <c r="P108" s="303"/>
      <c r="Q108" s="57"/>
      <c r="T108" s="171"/>
      <c r="U108" s="171"/>
    </row>
    <row r="109" spans="3:21" ht="15" customHeight="1" x14ac:dyDescent="0.25">
      <c r="C109" s="305" t="s">
        <v>286</v>
      </c>
      <c r="D109" s="306"/>
      <c r="E109" s="307" t="s">
        <v>287</v>
      </c>
      <c r="F109" s="308" t="s">
        <v>288</v>
      </c>
      <c r="I109" s="309" t="s">
        <v>300</v>
      </c>
      <c r="J109" s="309" t="s">
        <v>301</v>
      </c>
      <c r="K109" s="309" t="s">
        <v>302</v>
      </c>
      <c r="L109" s="309" t="s">
        <v>300</v>
      </c>
      <c r="M109" s="309" t="s">
        <v>301</v>
      </c>
      <c r="N109" s="309" t="s">
        <v>302</v>
      </c>
      <c r="O109" s="309" t="s">
        <v>300</v>
      </c>
      <c r="P109" s="309" t="s">
        <v>301</v>
      </c>
      <c r="Q109" s="309" t="s">
        <v>302</v>
      </c>
      <c r="T109" s="171"/>
      <c r="U109" s="171"/>
    </row>
    <row r="110" spans="3:21" ht="15" customHeight="1" x14ac:dyDescent="0.15">
      <c r="C110" s="310" t="s">
        <v>292</v>
      </c>
      <c r="D110" s="311"/>
      <c r="E110" s="312" t="s">
        <v>292</v>
      </c>
      <c r="F110" s="313" t="s">
        <v>289</v>
      </c>
      <c r="I110" s="672">
        <v>4.2888355381493568</v>
      </c>
      <c r="J110" s="672">
        <v>5.8546450128961824</v>
      </c>
      <c r="K110" s="672">
        <v>6.7798182822140616</v>
      </c>
      <c r="L110" s="672">
        <v>4.3802891442155616</v>
      </c>
      <c r="M110" s="672">
        <v>5.9788332649610485</v>
      </c>
      <c r="N110" s="672">
        <v>6.9235638114557752</v>
      </c>
      <c r="O110" s="672">
        <v>2.3299473790820939</v>
      </c>
      <c r="P110" s="672">
        <v>3.447187291349338</v>
      </c>
      <c r="Q110" s="672">
        <v>3.9892096642678823</v>
      </c>
      <c r="T110" s="171"/>
      <c r="U110" s="171"/>
    </row>
    <row r="111" spans="3:21" ht="15" customHeight="1" x14ac:dyDescent="0.15">
      <c r="C111" s="37"/>
      <c r="D111" s="41"/>
      <c r="E111" s="25"/>
      <c r="F111" s="313" t="s">
        <v>290</v>
      </c>
      <c r="I111" s="672">
        <v>4.2888355381493568</v>
      </c>
      <c r="J111" s="672">
        <v>5.8546450128961824</v>
      </c>
      <c r="K111" s="672">
        <v>6.7798182822140616</v>
      </c>
      <c r="L111" s="672">
        <v>4.3802891442155616</v>
      </c>
      <c r="M111" s="672">
        <v>5.9788332649610485</v>
      </c>
      <c r="N111" s="672">
        <v>6.9235638114557752</v>
      </c>
      <c r="O111" s="672">
        <v>2.3299473790820939</v>
      </c>
      <c r="P111" s="672">
        <v>3.447187291349338</v>
      </c>
      <c r="Q111" s="672">
        <v>3.9892096642678823</v>
      </c>
      <c r="T111" s="171"/>
      <c r="U111" s="171"/>
    </row>
    <row r="112" spans="3:21" ht="15" customHeight="1" x14ac:dyDescent="0.15">
      <c r="C112" s="37"/>
      <c r="D112" s="41"/>
      <c r="E112" s="26"/>
      <c r="F112" s="313" t="s">
        <v>291</v>
      </c>
      <c r="I112" s="672">
        <v>4.2888355381493568</v>
      </c>
      <c r="J112" s="672">
        <v>5.8546450128961824</v>
      </c>
      <c r="K112" s="672">
        <v>6.7798182822140616</v>
      </c>
      <c r="L112" s="672">
        <v>4.3802891442155616</v>
      </c>
      <c r="M112" s="672">
        <v>5.9788332649610485</v>
      </c>
      <c r="N112" s="672">
        <v>6.9235638114557752</v>
      </c>
      <c r="O112" s="672">
        <v>2.3299473790820939</v>
      </c>
      <c r="P112" s="672">
        <v>3.447187291349338</v>
      </c>
      <c r="Q112" s="672">
        <v>3.9892096642678823</v>
      </c>
      <c r="T112" s="171"/>
      <c r="U112" s="171"/>
    </row>
    <row r="113" spans="3:21" ht="15" customHeight="1" x14ac:dyDescent="0.15">
      <c r="C113" s="37"/>
      <c r="D113" s="41"/>
      <c r="E113" s="312" t="s">
        <v>293</v>
      </c>
      <c r="F113" s="313" t="s">
        <v>289</v>
      </c>
      <c r="I113" s="672">
        <v>4.2888355381493568</v>
      </c>
      <c r="J113" s="672">
        <v>5.8546450128961824</v>
      </c>
      <c r="K113" s="672">
        <v>6.7798182822140616</v>
      </c>
      <c r="L113" s="672">
        <v>4.3802891442155616</v>
      </c>
      <c r="M113" s="672">
        <v>5.9788332649610485</v>
      </c>
      <c r="N113" s="672">
        <v>6.9235638114557752</v>
      </c>
      <c r="O113" s="672">
        <v>2.3299473790820939</v>
      </c>
      <c r="P113" s="672">
        <v>3.447187291349338</v>
      </c>
      <c r="Q113" s="672">
        <v>3.9892096642678823</v>
      </c>
      <c r="T113" s="171"/>
      <c r="U113" s="171"/>
    </row>
    <row r="114" spans="3:21" ht="15" customHeight="1" x14ac:dyDescent="0.15">
      <c r="C114" s="37"/>
      <c r="D114" s="41"/>
      <c r="E114" s="25"/>
      <c r="F114" s="313" t="s">
        <v>290</v>
      </c>
      <c r="I114" s="672">
        <v>3.4998522576485298</v>
      </c>
      <c r="J114" s="672">
        <v>5.0656617323953554</v>
      </c>
      <c r="K114" s="672">
        <v>5.9908350017132337</v>
      </c>
      <c r="L114" s="672">
        <v>3.5743894125890732</v>
      </c>
      <c r="M114" s="672">
        <v>5.1729335333345601</v>
      </c>
      <c r="N114" s="672">
        <v>6.1176640798292858</v>
      </c>
      <c r="O114" s="672">
        <v>1.9799542235224392</v>
      </c>
      <c r="P114" s="672">
        <v>3.0971941357896831</v>
      </c>
      <c r="Q114" s="672">
        <v>3.6392165087082278</v>
      </c>
      <c r="T114" s="171"/>
      <c r="U114" s="171"/>
    </row>
    <row r="115" spans="3:21" ht="15" customHeight="1" x14ac:dyDescent="0.15">
      <c r="C115" s="37"/>
      <c r="D115" s="41"/>
      <c r="E115" s="26"/>
      <c r="F115" s="313" t="s">
        <v>291</v>
      </c>
      <c r="I115" s="672">
        <v>2.7108689771477024</v>
      </c>
      <c r="J115" s="672">
        <v>5.0656617323953554</v>
      </c>
      <c r="K115" s="672">
        <v>5.7278405748796253</v>
      </c>
      <c r="L115" s="672">
        <v>2.7684896809625847</v>
      </c>
      <c r="M115" s="672">
        <v>5.1729335333345601</v>
      </c>
      <c r="N115" s="672">
        <v>5.8490308359537897</v>
      </c>
      <c r="O115" s="672">
        <v>1.6299610679627845</v>
      </c>
      <c r="P115" s="672">
        <v>3.0971941357896831</v>
      </c>
      <c r="Q115" s="672">
        <v>3.5225521235216761</v>
      </c>
      <c r="T115" s="171"/>
      <c r="U115" s="171"/>
    </row>
    <row r="116" spans="3:21" ht="15" customHeight="1" x14ac:dyDescent="0.15">
      <c r="C116" s="37"/>
      <c r="D116" s="41"/>
      <c r="E116" s="312" t="s">
        <v>289</v>
      </c>
      <c r="F116" s="313" t="s">
        <v>289</v>
      </c>
      <c r="I116" s="672">
        <v>2.7108689771477024</v>
      </c>
      <c r="J116" s="672">
        <v>4.6711700921449415</v>
      </c>
      <c r="K116" s="672">
        <v>5.7278405748796253</v>
      </c>
      <c r="L116" s="672">
        <v>2.7684896809625847</v>
      </c>
      <c r="M116" s="672">
        <v>4.7699836675213163</v>
      </c>
      <c r="N116" s="672">
        <v>5.8490308359537897</v>
      </c>
      <c r="O116" s="672">
        <v>1.6299610679627845</v>
      </c>
      <c r="P116" s="672">
        <v>2.9221975580098558</v>
      </c>
      <c r="Q116" s="672">
        <v>3.5225521235216761</v>
      </c>
      <c r="T116" s="171"/>
      <c r="U116" s="171"/>
    </row>
    <row r="117" spans="3:21" ht="15" customHeight="1" x14ac:dyDescent="0.15">
      <c r="C117" s="37"/>
      <c r="D117" s="41"/>
      <c r="E117" s="25"/>
      <c r="F117" s="313" t="s">
        <v>290</v>
      </c>
      <c r="I117" s="672">
        <v>2.7108689771477024</v>
      </c>
      <c r="J117" s="672">
        <v>4.6711700921449415</v>
      </c>
      <c r="K117" s="672">
        <v>5.2018517212124076</v>
      </c>
      <c r="L117" s="672">
        <v>2.7684896809625847</v>
      </c>
      <c r="M117" s="672">
        <v>4.7699836675213163</v>
      </c>
      <c r="N117" s="672">
        <v>5.3117643482027983</v>
      </c>
      <c r="O117" s="672">
        <v>1.6299610679627845</v>
      </c>
      <c r="P117" s="672">
        <v>2.9221975580098558</v>
      </c>
      <c r="Q117" s="672">
        <v>3.2892233531485733</v>
      </c>
      <c r="T117" s="171"/>
      <c r="U117" s="171"/>
    </row>
    <row r="118" spans="3:21" ht="15" customHeight="1" x14ac:dyDescent="0.15">
      <c r="C118" s="37"/>
      <c r="D118" s="41"/>
      <c r="E118" s="26"/>
      <c r="F118" s="313" t="s">
        <v>291</v>
      </c>
      <c r="I118" s="672">
        <v>2.7108689771477024</v>
      </c>
      <c r="J118" s="672">
        <v>4.2766784518945284</v>
      </c>
      <c r="K118" s="672">
        <v>5.2018517212124076</v>
      </c>
      <c r="L118" s="672">
        <v>2.7684896809625847</v>
      </c>
      <c r="M118" s="672">
        <v>4.3670338017080725</v>
      </c>
      <c r="N118" s="672">
        <v>5.3117643482027983</v>
      </c>
      <c r="O118" s="672">
        <v>1.6299610679627845</v>
      </c>
      <c r="P118" s="672">
        <v>2.747200980230029</v>
      </c>
      <c r="Q118" s="672">
        <v>3.2892233531485733</v>
      </c>
      <c r="T118" s="171"/>
      <c r="U118" s="171"/>
    </row>
    <row r="119" spans="3:21" ht="15" customHeight="1" x14ac:dyDescent="0.15">
      <c r="C119" s="37"/>
      <c r="D119" s="41"/>
      <c r="E119" s="312" t="s">
        <v>290</v>
      </c>
      <c r="F119" s="313" t="s">
        <v>289</v>
      </c>
      <c r="I119" s="672">
        <v>2.7108689771477024</v>
      </c>
      <c r="J119" s="672">
        <v>4.2766784518945284</v>
      </c>
      <c r="K119" s="672">
        <v>5.2018517212124076</v>
      </c>
      <c r="L119" s="672">
        <v>2.7684896809625847</v>
      </c>
      <c r="M119" s="672">
        <v>4.3670338017080725</v>
      </c>
      <c r="N119" s="672">
        <v>5.3117643482027983</v>
      </c>
      <c r="O119" s="672">
        <v>1.6299610679627845</v>
      </c>
      <c r="P119" s="672">
        <v>2.747200980230029</v>
      </c>
      <c r="Q119" s="672">
        <v>3.2892233531485733</v>
      </c>
      <c r="T119" s="171"/>
      <c r="U119" s="171"/>
    </row>
    <row r="120" spans="3:21" ht="15" customHeight="1" x14ac:dyDescent="0.15">
      <c r="C120" s="37"/>
      <c r="D120" s="41"/>
      <c r="E120" s="25"/>
      <c r="F120" s="313" t="s">
        <v>290</v>
      </c>
      <c r="I120" s="672">
        <v>2.7108689771477024</v>
      </c>
      <c r="J120" s="672">
        <v>4.2766784518945284</v>
      </c>
      <c r="K120" s="672">
        <v>4.9388572943787983</v>
      </c>
      <c r="L120" s="672">
        <v>2.7684896809625847</v>
      </c>
      <c r="M120" s="672">
        <v>4.3670338017080725</v>
      </c>
      <c r="N120" s="672">
        <v>5.0431311043273022</v>
      </c>
      <c r="O120" s="672">
        <v>1.6299610679627845</v>
      </c>
      <c r="P120" s="672">
        <v>2.747200980230029</v>
      </c>
      <c r="Q120" s="672">
        <v>3.1725589679620216</v>
      </c>
      <c r="T120" s="171"/>
      <c r="U120" s="171"/>
    </row>
    <row r="121" spans="3:21" ht="15" customHeight="1" x14ac:dyDescent="0.15">
      <c r="C121" s="38"/>
      <c r="D121" s="42"/>
      <c r="E121" s="26"/>
      <c r="F121" s="313" t="s">
        <v>291</v>
      </c>
      <c r="I121" s="672">
        <v>2.7108689771477024</v>
      </c>
      <c r="J121" s="672">
        <v>4.2766784518945284</v>
      </c>
      <c r="K121" s="672">
        <v>4.9388572943787983</v>
      </c>
      <c r="L121" s="672">
        <v>2.7684896809625847</v>
      </c>
      <c r="M121" s="672">
        <v>4.3670338017080725</v>
      </c>
      <c r="N121" s="672">
        <v>5.0431311043273022</v>
      </c>
      <c r="O121" s="672">
        <v>1.6299610679627845</v>
      </c>
      <c r="P121" s="672">
        <v>2.747200980230029</v>
      </c>
      <c r="Q121" s="672">
        <v>3.1725589679620216</v>
      </c>
      <c r="T121" s="171"/>
      <c r="U121" s="171"/>
    </row>
    <row r="122" spans="3:21" ht="15" customHeight="1" x14ac:dyDescent="0.15">
      <c r="C122" s="310" t="s">
        <v>293</v>
      </c>
      <c r="D122" s="311"/>
      <c r="E122" s="312" t="s">
        <v>292</v>
      </c>
      <c r="F122" s="313" t="s">
        <v>289</v>
      </c>
      <c r="I122" s="672">
        <v>4.2888355381493568</v>
      </c>
      <c r="J122" s="672">
        <v>5.8546450128961824</v>
      </c>
      <c r="K122" s="672">
        <v>6.7798182822140616</v>
      </c>
      <c r="L122" s="672">
        <v>4.3802891442155616</v>
      </c>
      <c r="M122" s="672">
        <v>5.9788332649610485</v>
      </c>
      <c r="N122" s="672">
        <v>6.9235638114557752</v>
      </c>
      <c r="O122" s="672">
        <v>2.3299473790820939</v>
      </c>
      <c r="P122" s="672">
        <v>3.447187291349338</v>
      </c>
      <c r="Q122" s="672">
        <v>3.9892096642678823</v>
      </c>
      <c r="T122" s="171"/>
      <c r="U122" s="171"/>
    </row>
    <row r="123" spans="3:21" ht="15" customHeight="1" x14ac:dyDescent="0.15">
      <c r="C123" s="37"/>
      <c r="D123" s="41"/>
      <c r="E123" s="25"/>
      <c r="F123" s="313" t="s">
        <v>290</v>
      </c>
      <c r="I123" s="672">
        <v>3.8681084854433747</v>
      </c>
      <c r="J123" s="672">
        <v>5.4339179601902003</v>
      </c>
      <c r="K123" s="672">
        <v>6.3590912295080795</v>
      </c>
      <c r="L123" s="672">
        <v>3.9505413571033614</v>
      </c>
      <c r="M123" s="672">
        <v>5.5490854778488483</v>
      </c>
      <c r="N123" s="672">
        <v>6.493816024343575</v>
      </c>
      <c r="O123" s="672">
        <v>2.1711133281533597</v>
      </c>
      <c r="P123" s="672">
        <v>3.2883532404206037</v>
      </c>
      <c r="Q123" s="672">
        <v>3.8303756133391489</v>
      </c>
      <c r="T123" s="171"/>
      <c r="U123" s="171"/>
    </row>
    <row r="124" spans="3:21" ht="15" customHeight="1" x14ac:dyDescent="0.15">
      <c r="C124" s="37"/>
      <c r="D124" s="41"/>
      <c r="E124" s="26"/>
      <c r="F124" s="313" t="s">
        <v>291</v>
      </c>
      <c r="I124" s="672">
        <v>3.4473814327373913</v>
      </c>
      <c r="J124" s="672">
        <v>5.4339179601902003</v>
      </c>
      <c r="K124" s="672">
        <v>6.2188488786060843</v>
      </c>
      <c r="L124" s="672">
        <v>3.5207935699911608</v>
      </c>
      <c r="M124" s="672">
        <v>5.5490854778488483</v>
      </c>
      <c r="N124" s="672">
        <v>6.350566761972841</v>
      </c>
      <c r="O124" s="672">
        <v>2.012279277224625</v>
      </c>
      <c r="P124" s="672">
        <v>3.2883532404206037</v>
      </c>
      <c r="Q124" s="672">
        <v>3.7774309296962372</v>
      </c>
      <c r="T124" s="171"/>
      <c r="U124" s="171"/>
    </row>
    <row r="125" spans="3:21" ht="15" customHeight="1" x14ac:dyDescent="0.15">
      <c r="C125" s="37"/>
      <c r="D125" s="41"/>
      <c r="E125" s="312" t="s">
        <v>293</v>
      </c>
      <c r="F125" s="313" t="s">
        <v>289</v>
      </c>
      <c r="I125" s="672">
        <v>4.2888355381493568</v>
      </c>
      <c r="J125" s="672">
        <v>5.8546450128961824</v>
      </c>
      <c r="K125" s="672">
        <v>6.7798182822140616</v>
      </c>
      <c r="L125" s="672">
        <v>4.3802891442155616</v>
      </c>
      <c r="M125" s="672">
        <v>5.9788332649610485</v>
      </c>
      <c r="N125" s="672">
        <v>6.9235638114557752</v>
      </c>
      <c r="O125" s="672">
        <v>2.3299473790820939</v>
      </c>
      <c r="P125" s="672">
        <v>3.447187291349338</v>
      </c>
      <c r="Q125" s="672">
        <v>3.9892096642678823</v>
      </c>
      <c r="T125" s="171"/>
      <c r="U125" s="171"/>
    </row>
    <row r="126" spans="3:21" ht="15" customHeight="1" x14ac:dyDescent="0.15">
      <c r="C126" s="37"/>
      <c r="D126" s="41"/>
      <c r="E126" s="25"/>
      <c r="F126" s="313" t="s">
        <v>290</v>
      </c>
      <c r="I126" s="672">
        <v>3.0791252049425468</v>
      </c>
      <c r="J126" s="672">
        <v>4.6449346796893725</v>
      </c>
      <c r="K126" s="672">
        <v>5.5701079490072507</v>
      </c>
      <c r="L126" s="672">
        <v>3.144641625476873</v>
      </c>
      <c r="M126" s="672">
        <v>4.7431857462223608</v>
      </c>
      <c r="N126" s="672">
        <v>5.6879162927170857</v>
      </c>
      <c r="O126" s="672">
        <v>1.8211201725937047</v>
      </c>
      <c r="P126" s="672">
        <v>2.9383600848609488</v>
      </c>
      <c r="Q126" s="672">
        <v>3.4803824577794935</v>
      </c>
      <c r="T126" s="171"/>
      <c r="U126" s="171"/>
    </row>
    <row r="127" spans="3:21" ht="15" customHeight="1" x14ac:dyDescent="0.15">
      <c r="C127" s="37"/>
      <c r="D127" s="41"/>
      <c r="E127" s="26"/>
      <c r="F127" s="313" t="s">
        <v>291</v>
      </c>
      <c r="I127" s="672">
        <v>1.8694148717357371</v>
      </c>
      <c r="J127" s="672">
        <v>4.6449346796893725</v>
      </c>
      <c r="K127" s="672">
        <v>5.1668711712716489</v>
      </c>
      <c r="L127" s="672">
        <v>1.9089941067381848</v>
      </c>
      <c r="M127" s="672">
        <v>4.7431857462223608</v>
      </c>
      <c r="N127" s="672">
        <v>5.2760337864708564</v>
      </c>
      <c r="O127" s="672">
        <v>1.3122929661053158</v>
      </c>
      <c r="P127" s="672">
        <v>2.9383600848609488</v>
      </c>
      <c r="Q127" s="672">
        <v>3.3107733889500301</v>
      </c>
      <c r="T127" s="171"/>
      <c r="U127" s="171"/>
    </row>
    <row r="128" spans="3:21" ht="15" customHeight="1" x14ac:dyDescent="0.15">
      <c r="C128" s="37"/>
      <c r="D128" s="41"/>
      <c r="E128" s="312" t="s">
        <v>289</v>
      </c>
      <c r="F128" s="313" t="s">
        <v>289</v>
      </c>
      <c r="I128" s="672">
        <v>2.7108689771477024</v>
      </c>
      <c r="J128" s="672">
        <v>4.6711700921449415</v>
      </c>
      <c r="K128" s="672">
        <v>5.7278405748796253</v>
      </c>
      <c r="L128" s="672">
        <v>2.7684896809625847</v>
      </c>
      <c r="M128" s="672">
        <v>4.7699836675213163</v>
      </c>
      <c r="N128" s="672">
        <v>5.8490308359537897</v>
      </c>
      <c r="O128" s="672">
        <v>1.6299610679627845</v>
      </c>
      <c r="P128" s="672">
        <v>2.9221975580098558</v>
      </c>
      <c r="Q128" s="672">
        <v>3.5225521235216761</v>
      </c>
      <c r="T128" s="171"/>
      <c r="U128" s="171"/>
    </row>
    <row r="129" spans="3:21" ht="15" customHeight="1" x14ac:dyDescent="0.15">
      <c r="C129" s="37"/>
      <c r="D129" s="41"/>
      <c r="E129" s="25"/>
      <c r="F129" s="313" t="s">
        <v>290</v>
      </c>
      <c r="I129" s="672">
        <v>2.2901419244417198</v>
      </c>
      <c r="J129" s="672">
        <v>4.2504430394389585</v>
      </c>
      <c r="K129" s="672">
        <v>4.7811246685064237</v>
      </c>
      <c r="L129" s="672">
        <v>2.338741893850385</v>
      </c>
      <c r="M129" s="672">
        <v>4.3402358804091161</v>
      </c>
      <c r="N129" s="672">
        <v>4.8820165610905972</v>
      </c>
      <c r="O129" s="672">
        <v>1.4711270170340502</v>
      </c>
      <c r="P129" s="672">
        <v>2.7633635070811211</v>
      </c>
      <c r="Q129" s="672">
        <v>3.130389302219839</v>
      </c>
      <c r="T129" s="171"/>
      <c r="U129" s="171"/>
    </row>
    <row r="130" spans="3:21" ht="15" customHeight="1" x14ac:dyDescent="0.15">
      <c r="C130" s="37"/>
      <c r="D130" s="41"/>
      <c r="E130" s="26"/>
      <c r="F130" s="313" t="s">
        <v>291</v>
      </c>
      <c r="I130" s="672">
        <v>1.8694148717357371</v>
      </c>
      <c r="J130" s="672">
        <v>3.8559513991885455</v>
      </c>
      <c r="K130" s="672">
        <v>4.6408823176044303</v>
      </c>
      <c r="L130" s="672">
        <v>1.9089941067381848</v>
      </c>
      <c r="M130" s="672">
        <v>3.9372860145958719</v>
      </c>
      <c r="N130" s="672">
        <v>4.7387672987198641</v>
      </c>
      <c r="O130" s="672">
        <v>1.3122929661053158</v>
      </c>
      <c r="P130" s="672">
        <v>2.5883669293012943</v>
      </c>
      <c r="Q130" s="672">
        <v>3.0774446185769273</v>
      </c>
      <c r="T130" s="171"/>
      <c r="U130" s="171"/>
    </row>
    <row r="131" spans="3:21" ht="15" customHeight="1" x14ac:dyDescent="0.15">
      <c r="C131" s="37"/>
      <c r="D131" s="41"/>
      <c r="E131" s="312" t="s">
        <v>290</v>
      </c>
      <c r="F131" s="313" t="s">
        <v>289</v>
      </c>
      <c r="I131" s="672">
        <v>2.7108689771477024</v>
      </c>
      <c r="J131" s="672">
        <v>4.2766784518945284</v>
      </c>
      <c r="K131" s="672">
        <v>5.2018517212124076</v>
      </c>
      <c r="L131" s="672">
        <v>2.7684896809625847</v>
      </c>
      <c r="M131" s="672">
        <v>4.3670338017080725</v>
      </c>
      <c r="N131" s="672">
        <v>5.3117643482027983</v>
      </c>
      <c r="O131" s="672">
        <v>1.6299610679627845</v>
      </c>
      <c r="P131" s="672">
        <v>2.747200980230029</v>
      </c>
      <c r="Q131" s="672">
        <v>3.2892233531485733</v>
      </c>
      <c r="T131" s="171"/>
      <c r="U131" s="171"/>
    </row>
    <row r="132" spans="3:21" ht="15" customHeight="1" x14ac:dyDescent="0.15">
      <c r="C132" s="37"/>
      <c r="D132" s="41"/>
      <c r="E132" s="25"/>
      <c r="F132" s="313" t="s">
        <v>290</v>
      </c>
      <c r="I132" s="672">
        <v>2.2901419244417198</v>
      </c>
      <c r="J132" s="672">
        <v>3.8559513991885455</v>
      </c>
      <c r="K132" s="672">
        <v>4.5181302416728144</v>
      </c>
      <c r="L132" s="672">
        <v>2.338741893850385</v>
      </c>
      <c r="M132" s="672">
        <v>3.9372860145958719</v>
      </c>
      <c r="N132" s="672">
        <v>4.6133833172151011</v>
      </c>
      <c r="O132" s="672">
        <v>1.4711270170340502</v>
      </c>
      <c r="P132" s="672">
        <v>2.5883669293012943</v>
      </c>
      <c r="Q132" s="672">
        <v>3.0137249170332874</v>
      </c>
      <c r="T132" s="171"/>
      <c r="U132" s="171"/>
    </row>
    <row r="133" spans="3:21" ht="15" customHeight="1" x14ac:dyDescent="0.15">
      <c r="C133" s="38"/>
      <c r="D133" s="42"/>
      <c r="E133" s="26"/>
      <c r="F133" s="313" t="s">
        <v>291</v>
      </c>
      <c r="I133" s="672">
        <v>1.8694148717357371</v>
      </c>
      <c r="J133" s="672">
        <v>3.8559513991885455</v>
      </c>
      <c r="K133" s="672">
        <v>4.377887890770821</v>
      </c>
      <c r="L133" s="672">
        <v>1.9089941067381848</v>
      </c>
      <c r="M133" s="672">
        <v>3.9372860145958719</v>
      </c>
      <c r="N133" s="672">
        <v>4.470134054844368</v>
      </c>
      <c r="O133" s="672">
        <v>1.3122929661053158</v>
      </c>
      <c r="P133" s="672">
        <v>2.5883669293012943</v>
      </c>
      <c r="Q133" s="672">
        <v>2.9607802333903761</v>
      </c>
      <c r="T133" s="171"/>
      <c r="U133" s="171"/>
    </row>
    <row r="134" spans="3:21" ht="15" customHeight="1" x14ac:dyDescent="0.15">
      <c r="C134" s="310" t="s">
        <v>289</v>
      </c>
      <c r="D134" s="311"/>
      <c r="E134" s="312" t="s">
        <v>292</v>
      </c>
      <c r="F134" s="313" t="s">
        <v>289</v>
      </c>
      <c r="I134" s="672">
        <v>3.4473814327373913</v>
      </c>
      <c r="J134" s="672">
        <v>5.223554433837208</v>
      </c>
      <c r="K134" s="672">
        <v>6.2188488786060843</v>
      </c>
      <c r="L134" s="672">
        <v>3.5207935699911608</v>
      </c>
      <c r="M134" s="672">
        <v>5.3342115842927482</v>
      </c>
      <c r="N134" s="672">
        <v>6.350566761972841</v>
      </c>
      <c r="O134" s="672">
        <v>2.012279277224625</v>
      </c>
      <c r="P134" s="672">
        <v>3.2089362149562364</v>
      </c>
      <c r="Q134" s="672">
        <v>3.7774309296962372</v>
      </c>
      <c r="T134" s="171"/>
      <c r="U134" s="171"/>
    </row>
    <row r="135" spans="3:21" ht="15" customHeight="1" x14ac:dyDescent="0.15">
      <c r="C135" s="37"/>
      <c r="D135" s="41"/>
      <c r="E135" s="25"/>
      <c r="F135" s="313" t="s">
        <v>290</v>
      </c>
      <c r="I135" s="672">
        <v>3.4473814327373913</v>
      </c>
      <c r="J135" s="672">
        <v>5.223554433837208</v>
      </c>
      <c r="K135" s="672">
        <v>5.9383641768020956</v>
      </c>
      <c r="L135" s="672">
        <v>3.5207935699911608</v>
      </c>
      <c r="M135" s="672">
        <v>5.3342115842927482</v>
      </c>
      <c r="N135" s="672">
        <v>6.0640682372313739</v>
      </c>
      <c r="O135" s="672">
        <v>2.012279277224625</v>
      </c>
      <c r="P135" s="672">
        <v>3.2089362149562364</v>
      </c>
      <c r="Q135" s="672">
        <v>3.6715415624104146</v>
      </c>
      <c r="T135" s="171"/>
      <c r="U135" s="171"/>
    </row>
    <row r="136" spans="3:21" ht="15" customHeight="1" x14ac:dyDescent="0.15">
      <c r="C136" s="37"/>
      <c r="D136" s="41"/>
      <c r="E136" s="26"/>
      <c r="F136" s="313" t="s">
        <v>291</v>
      </c>
      <c r="I136" s="672">
        <v>3.4473814327373913</v>
      </c>
      <c r="J136" s="672">
        <v>5.0131909074842165</v>
      </c>
      <c r="K136" s="672">
        <v>5.9383641768020956</v>
      </c>
      <c r="L136" s="672">
        <v>3.5207935699911608</v>
      </c>
      <c r="M136" s="672">
        <v>5.1193376907366481</v>
      </c>
      <c r="N136" s="672">
        <v>6.0640682372313739</v>
      </c>
      <c r="O136" s="672">
        <v>2.012279277224625</v>
      </c>
      <c r="P136" s="672">
        <v>3.1295191894918695</v>
      </c>
      <c r="Q136" s="672">
        <v>3.6715415624104146</v>
      </c>
      <c r="T136" s="171"/>
      <c r="U136" s="171"/>
    </row>
    <row r="137" spans="3:21" ht="15" customHeight="1" x14ac:dyDescent="0.15">
      <c r="C137" s="37"/>
      <c r="D137" s="41"/>
      <c r="E137" s="312" t="s">
        <v>293</v>
      </c>
      <c r="F137" s="313" t="s">
        <v>289</v>
      </c>
      <c r="I137" s="672">
        <v>3.4473814327373913</v>
      </c>
      <c r="J137" s="672">
        <v>5.223554433837208</v>
      </c>
      <c r="K137" s="672">
        <v>6.2188488786060843</v>
      </c>
      <c r="L137" s="672">
        <v>3.5207935699911608</v>
      </c>
      <c r="M137" s="672">
        <v>5.3342115842927482</v>
      </c>
      <c r="N137" s="672">
        <v>6.350566761972841</v>
      </c>
      <c r="O137" s="672">
        <v>2.012279277224625</v>
      </c>
      <c r="P137" s="672">
        <v>3.2089362149562364</v>
      </c>
      <c r="Q137" s="672">
        <v>3.7774309296962372</v>
      </c>
      <c r="T137" s="171"/>
      <c r="U137" s="171"/>
    </row>
    <row r="138" spans="3:21" ht="15" customHeight="1" x14ac:dyDescent="0.15">
      <c r="C138" s="37"/>
      <c r="D138" s="41"/>
      <c r="E138" s="25"/>
      <c r="F138" s="313" t="s">
        <v>290</v>
      </c>
      <c r="I138" s="672">
        <v>2.6583981522365643</v>
      </c>
      <c r="J138" s="672">
        <v>4.434571153336381</v>
      </c>
      <c r="K138" s="672">
        <v>5.1493808963012686</v>
      </c>
      <c r="L138" s="672">
        <v>2.7148938383646728</v>
      </c>
      <c r="M138" s="672">
        <v>4.5283118526662598</v>
      </c>
      <c r="N138" s="672">
        <v>5.2581685056048855</v>
      </c>
      <c r="O138" s="672">
        <v>1.6622861216649705</v>
      </c>
      <c r="P138" s="672">
        <v>2.8589430593965819</v>
      </c>
      <c r="Q138" s="672">
        <v>3.3215484068507597</v>
      </c>
      <c r="T138" s="171"/>
      <c r="U138" s="171"/>
    </row>
    <row r="139" spans="3:21" ht="15" customHeight="1" x14ac:dyDescent="0.15">
      <c r="C139" s="37"/>
      <c r="D139" s="41"/>
      <c r="E139" s="26"/>
      <c r="F139" s="313" t="s">
        <v>291</v>
      </c>
      <c r="I139" s="672">
        <v>1.8694148717357371</v>
      </c>
      <c r="J139" s="672">
        <v>4.2242076269833895</v>
      </c>
      <c r="K139" s="672">
        <v>4.8863864694676602</v>
      </c>
      <c r="L139" s="672">
        <v>1.9089941067381848</v>
      </c>
      <c r="M139" s="672">
        <v>4.3134379591101606</v>
      </c>
      <c r="N139" s="672">
        <v>4.9895352617293902</v>
      </c>
      <c r="O139" s="672">
        <v>1.3122929661053158</v>
      </c>
      <c r="P139" s="672">
        <v>2.7795260339322145</v>
      </c>
      <c r="Q139" s="672">
        <v>3.2048840216642076</v>
      </c>
      <c r="T139" s="171"/>
      <c r="U139" s="171"/>
    </row>
    <row r="140" spans="3:21" ht="15" customHeight="1" x14ac:dyDescent="0.15">
      <c r="C140" s="37"/>
      <c r="D140" s="41"/>
      <c r="E140" s="312" t="s">
        <v>289</v>
      </c>
      <c r="F140" s="313" t="s">
        <v>289</v>
      </c>
      <c r="I140" s="673">
        <v>1.8694148717357371</v>
      </c>
      <c r="J140" s="672">
        <v>4.0400795130859679</v>
      </c>
      <c r="K140" s="672">
        <v>5.1668711712716489</v>
      </c>
      <c r="L140" s="673">
        <v>1.9089941067381848</v>
      </c>
      <c r="M140" s="672">
        <v>4.125361986853016</v>
      </c>
      <c r="N140" s="672">
        <v>5.2760337864708564</v>
      </c>
      <c r="O140" s="673">
        <v>1.3122929661053158</v>
      </c>
      <c r="P140" s="672">
        <v>2.6839464816167542</v>
      </c>
      <c r="Q140" s="672">
        <v>3.3107733889500301</v>
      </c>
      <c r="T140" s="171"/>
      <c r="U140" s="171"/>
    </row>
    <row r="141" spans="3:21" ht="15" customHeight="1" x14ac:dyDescent="0.15">
      <c r="C141" s="37"/>
      <c r="D141" s="41"/>
      <c r="E141" s="25"/>
      <c r="F141" s="313" t="s">
        <v>290</v>
      </c>
      <c r="I141" s="672">
        <v>1.8694148717357371</v>
      </c>
      <c r="J141" s="672">
        <v>4.0400795130859679</v>
      </c>
      <c r="K141" s="672">
        <v>4.3603976158004425</v>
      </c>
      <c r="L141" s="672">
        <v>1.9089941067381848</v>
      </c>
      <c r="M141" s="672">
        <v>4.125361986853016</v>
      </c>
      <c r="N141" s="672">
        <v>4.452268773978397</v>
      </c>
      <c r="O141" s="672">
        <v>1.3122929661053158</v>
      </c>
      <c r="P141" s="672">
        <v>2.6839464816167542</v>
      </c>
      <c r="Q141" s="672">
        <v>2.9715552512911048</v>
      </c>
      <c r="T141" s="171"/>
      <c r="U141" s="171"/>
    </row>
    <row r="142" spans="3:21" ht="15" customHeight="1" x14ac:dyDescent="0.15">
      <c r="C142" s="37"/>
      <c r="D142" s="41"/>
      <c r="E142" s="26"/>
      <c r="F142" s="313" t="s">
        <v>291</v>
      </c>
      <c r="I142" s="672">
        <v>1.8694148717357371</v>
      </c>
      <c r="J142" s="672">
        <v>3.4352243464825634</v>
      </c>
      <c r="K142" s="672">
        <v>4.3603976158004425</v>
      </c>
      <c r="L142" s="672">
        <v>1.9089941067381848</v>
      </c>
      <c r="M142" s="672">
        <v>3.5075382274836722</v>
      </c>
      <c r="N142" s="672">
        <v>4.452268773978397</v>
      </c>
      <c r="O142" s="672">
        <v>1.3122929661053158</v>
      </c>
      <c r="P142" s="672">
        <v>2.4295328783725596</v>
      </c>
      <c r="Q142" s="672">
        <v>2.9715552512911048</v>
      </c>
      <c r="T142" s="171"/>
      <c r="U142" s="171"/>
    </row>
    <row r="143" spans="3:21" ht="15" customHeight="1" x14ac:dyDescent="0.15">
      <c r="C143" s="37"/>
      <c r="D143" s="41"/>
      <c r="E143" s="312" t="s">
        <v>290</v>
      </c>
      <c r="F143" s="313" t="s">
        <v>289</v>
      </c>
      <c r="I143" s="672">
        <v>1.8694148717357371</v>
      </c>
      <c r="J143" s="672">
        <v>3.6455878728355549</v>
      </c>
      <c r="K143" s="672">
        <v>4.6408823176044303</v>
      </c>
      <c r="L143" s="672">
        <v>1.9089941067381848</v>
      </c>
      <c r="M143" s="672">
        <v>3.7224121210397723</v>
      </c>
      <c r="N143" s="672">
        <v>4.7387672987198641</v>
      </c>
      <c r="O143" s="672">
        <v>1.3122929661053158</v>
      </c>
      <c r="P143" s="672">
        <v>2.5089499038369265</v>
      </c>
      <c r="Q143" s="672">
        <v>3.0774446185769273</v>
      </c>
      <c r="T143" s="171"/>
      <c r="U143" s="171"/>
    </row>
    <row r="144" spans="3:21" ht="15" customHeight="1" x14ac:dyDescent="0.15">
      <c r="C144" s="37"/>
      <c r="D144" s="41"/>
      <c r="E144" s="25"/>
      <c r="F144" s="313" t="s">
        <v>290</v>
      </c>
      <c r="I144" s="672">
        <v>1.8694148717357371</v>
      </c>
      <c r="J144" s="672">
        <v>3.6455878728355549</v>
      </c>
      <c r="K144" s="672">
        <v>4.0974031889668332</v>
      </c>
      <c r="L144" s="672">
        <v>1.9089941067381848</v>
      </c>
      <c r="M144" s="672">
        <v>3.7224121210397723</v>
      </c>
      <c r="N144" s="672">
        <v>4.1836355301029009</v>
      </c>
      <c r="O144" s="672">
        <v>1.3122929661053158</v>
      </c>
      <c r="P144" s="672">
        <v>2.5089499038369265</v>
      </c>
      <c r="Q144" s="672">
        <v>2.8548908661045527</v>
      </c>
      <c r="T144" s="171"/>
      <c r="U144" s="171"/>
    </row>
    <row r="145" spans="3:21" ht="15" customHeight="1" x14ac:dyDescent="0.15">
      <c r="C145" s="38"/>
      <c r="D145" s="42"/>
      <c r="E145" s="26"/>
      <c r="F145" s="313" t="s">
        <v>291</v>
      </c>
      <c r="I145" s="672">
        <v>1.8694148717357371</v>
      </c>
      <c r="J145" s="672">
        <v>3.4352243464825634</v>
      </c>
      <c r="K145" s="672">
        <v>4.0974031889668332</v>
      </c>
      <c r="L145" s="672">
        <v>1.9089941067381848</v>
      </c>
      <c r="M145" s="672">
        <v>3.5075382274836722</v>
      </c>
      <c r="N145" s="672">
        <v>4.1836355301029009</v>
      </c>
      <c r="O145" s="672">
        <v>1.3122929661053158</v>
      </c>
      <c r="P145" s="672">
        <v>2.4295328783725596</v>
      </c>
      <c r="Q145" s="672">
        <v>2.8548908661045527</v>
      </c>
      <c r="T145" s="171"/>
      <c r="U145" s="171"/>
    </row>
    <row r="146" spans="3:21" ht="15" customHeight="1" x14ac:dyDescent="0.15">
      <c r="C146" s="310" t="s">
        <v>290</v>
      </c>
      <c r="D146" s="311"/>
      <c r="E146" s="312" t="s">
        <v>292</v>
      </c>
      <c r="F146" s="313" t="s">
        <v>289</v>
      </c>
      <c r="I146" s="672">
        <v>3.4473814327373913</v>
      </c>
      <c r="J146" s="672">
        <v>5.0131909074842165</v>
      </c>
      <c r="K146" s="672">
        <v>5.9383641768020956</v>
      </c>
      <c r="L146" s="672">
        <v>3.5207935699911608</v>
      </c>
      <c r="M146" s="672">
        <v>5.1193376907366481</v>
      </c>
      <c r="N146" s="672">
        <v>6.0640682372313739</v>
      </c>
      <c r="O146" s="672">
        <v>2.012279277224625</v>
      </c>
      <c r="P146" s="672">
        <v>3.1295191894918695</v>
      </c>
      <c r="Q146" s="672">
        <v>3.6715415624104146</v>
      </c>
      <c r="T146" s="171"/>
      <c r="U146" s="171"/>
    </row>
    <row r="147" spans="3:21" ht="15" customHeight="1" x14ac:dyDescent="0.15">
      <c r="C147" s="37"/>
      <c r="D147" s="41"/>
      <c r="E147" s="25"/>
      <c r="F147" s="313" t="s">
        <v>290</v>
      </c>
      <c r="I147" s="672">
        <v>3.4473814327373913</v>
      </c>
      <c r="J147" s="672">
        <v>5.0131909074842165</v>
      </c>
      <c r="K147" s="672">
        <v>5.7981218259001031</v>
      </c>
      <c r="L147" s="672">
        <v>3.5207935699911608</v>
      </c>
      <c r="M147" s="672">
        <v>5.1193376907366481</v>
      </c>
      <c r="N147" s="672">
        <v>5.9208189748606408</v>
      </c>
      <c r="O147" s="672">
        <v>2.012279277224625</v>
      </c>
      <c r="P147" s="672">
        <v>3.1295191894918695</v>
      </c>
      <c r="Q147" s="672">
        <v>3.6185968787675025</v>
      </c>
      <c r="T147" s="171"/>
      <c r="U147" s="171"/>
    </row>
    <row r="148" spans="3:21" ht="15" customHeight="1" x14ac:dyDescent="0.15">
      <c r="C148" s="37"/>
      <c r="D148" s="41"/>
      <c r="E148" s="26"/>
      <c r="F148" s="313" t="s">
        <v>291</v>
      </c>
      <c r="I148" s="672">
        <v>3.4473814327373913</v>
      </c>
      <c r="J148" s="672">
        <v>5.0131909074842165</v>
      </c>
      <c r="K148" s="672">
        <v>5.7981218259001031</v>
      </c>
      <c r="L148" s="672">
        <v>3.5207935699911608</v>
      </c>
      <c r="M148" s="672">
        <v>5.1193376907366481</v>
      </c>
      <c r="N148" s="672">
        <v>5.9208189748606408</v>
      </c>
      <c r="O148" s="672">
        <v>2.012279277224625</v>
      </c>
      <c r="P148" s="672">
        <v>3.1295191894918695</v>
      </c>
      <c r="Q148" s="672">
        <v>3.6185968787675025</v>
      </c>
      <c r="T148" s="171"/>
      <c r="U148" s="171"/>
    </row>
    <row r="149" spans="3:21" ht="15" customHeight="1" x14ac:dyDescent="0.15">
      <c r="C149" s="37"/>
      <c r="D149" s="41"/>
      <c r="E149" s="312" t="s">
        <v>293</v>
      </c>
      <c r="F149" s="313" t="s">
        <v>289</v>
      </c>
      <c r="I149" s="672">
        <v>3.4473814327373913</v>
      </c>
      <c r="J149" s="672">
        <v>5.0131909074842165</v>
      </c>
      <c r="K149" s="672">
        <v>5.9383641768020956</v>
      </c>
      <c r="L149" s="672">
        <v>3.5207935699911608</v>
      </c>
      <c r="M149" s="672">
        <v>5.1193376907366481</v>
      </c>
      <c r="N149" s="672">
        <v>6.0640682372313739</v>
      </c>
      <c r="O149" s="672">
        <v>2.012279277224625</v>
      </c>
      <c r="P149" s="672">
        <v>3.1295191894918695</v>
      </c>
      <c r="Q149" s="672">
        <v>3.6715415624104146</v>
      </c>
      <c r="T149" s="171"/>
      <c r="U149" s="171"/>
    </row>
    <row r="150" spans="3:21" ht="15" customHeight="1" x14ac:dyDescent="0.15">
      <c r="C150" s="37"/>
      <c r="D150" s="41"/>
      <c r="E150" s="25"/>
      <c r="F150" s="313" t="s">
        <v>290</v>
      </c>
      <c r="I150" s="672">
        <v>2.6583981522365643</v>
      </c>
      <c r="J150" s="672">
        <v>4.2242076269833895</v>
      </c>
      <c r="K150" s="672">
        <v>5.0091385453992743</v>
      </c>
      <c r="L150" s="672">
        <v>2.7148938383646728</v>
      </c>
      <c r="M150" s="672">
        <v>4.3134379591101606</v>
      </c>
      <c r="N150" s="672">
        <v>5.1149192432341524</v>
      </c>
      <c r="O150" s="672">
        <v>1.6622861216649705</v>
      </c>
      <c r="P150" s="672">
        <v>2.7795260339322145</v>
      </c>
      <c r="Q150" s="672">
        <v>3.2686037232078475</v>
      </c>
      <c r="T150" s="171"/>
      <c r="U150" s="171"/>
    </row>
    <row r="151" spans="3:21" ht="15" customHeight="1" x14ac:dyDescent="0.15">
      <c r="C151" s="37"/>
      <c r="D151" s="41"/>
      <c r="E151" s="26"/>
      <c r="F151" s="313" t="s">
        <v>291</v>
      </c>
      <c r="I151" s="672">
        <v>1.8694148717357371</v>
      </c>
      <c r="J151" s="672">
        <v>4.2242076269833895</v>
      </c>
      <c r="K151" s="672">
        <v>4.746144118565665</v>
      </c>
      <c r="L151" s="672">
        <v>1.9089941067381848</v>
      </c>
      <c r="M151" s="672">
        <v>4.3134379591101606</v>
      </c>
      <c r="N151" s="672">
        <v>4.8462859993586562</v>
      </c>
      <c r="O151" s="672">
        <v>1.3122929661053158</v>
      </c>
      <c r="P151" s="672">
        <v>2.7795260339322145</v>
      </c>
      <c r="Q151" s="672">
        <v>3.1519393380212963</v>
      </c>
      <c r="T151" s="171"/>
      <c r="U151" s="171"/>
    </row>
    <row r="152" spans="3:21" ht="15" customHeight="1" x14ac:dyDescent="0.15">
      <c r="C152" s="37"/>
      <c r="D152" s="41"/>
      <c r="E152" s="312" t="s">
        <v>289</v>
      </c>
      <c r="F152" s="313" t="s">
        <v>289</v>
      </c>
      <c r="I152" s="672">
        <v>1.8694148717357371</v>
      </c>
      <c r="J152" s="672">
        <v>3.8297159867329773</v>
      </c>
      <c r="K152" s="672">
        <v>4.8863864694676602</v>
      </c>
      <c r="L152" s="672">
        <v>1.9089941067381848</v>
      </c>
      <c r="M152" s="672">
        <v>3.9104880932969164</v>
      </c>
      <c r="N152" s="672">
        <v>4.9895352617293902</v>
      </c>
      <c r="O152" s="672">
        <v>1.3122929661053158</v>
      </c>
      <c r="P152" s="672">
        <v>2.6045294561523873</v>
      </c>
      <c r="Q152" s="672">
        <v>3.2048840216642076</v>
      </c>
      <c r="T152" s="171"/>
      <c r="U152" s="171"/>
    </row>
    <row r="153" spans="3:21" ht="15" customHeight="1" x14ac:dyDescent="0.15">
      <c r="C153" s="37"/>
      <c r="D153" s="41"/>
      <c r="E153" s="25"/>
      <c r="F153" s="313" t="s">
        <v>290</v>
      </c>
      <c r="I153" s="672">
        <v>1.8694148717357371</v>
      </c>
      <c r="J153" s="672">
        <v>3.8297159867329773</v>
      </c>
      <c r="K153" s="672">
        <v>4.2201552648984482</v>
      </c>
      <c r="L153" s="672">
        <v>1.9089941067381848</v>
      </c>
      <c r="M153" s="672">
        <v>3.9104880932969164</v>
      </c>
      <c r="N153" s="672">
        <v>4.3090195116076639</v>
      </c>
      <c r="O153" s="672">
        <v>1.3122929661053158</v>
      </c>
      <c r="P153" s="672">
        <v>2.6045294561523873</v>
      </c>
      <c r="Q153" s="672">
        <v>2.918610567648193</v>
      </c>
      <c r="T153" s="171"/>
      <c r="U153" s="171"/>
    </row>
    <row r="154" spans="3:21" ht="15" customHeight="1" x14ac:dyDescent="0.15">
      <c r="C154" s="37"/>
      <c r="D154" s="41"/>
      <c r="E154" s="26"/>
      <c r="F154" s="313" t="s">
        <v>291</v>
      </c>
      <c r="I154" s="672">
        <v>1.8694148717357371</v>
      </c>
      <c r="J154" s="672">
        <v>3.4352243464825634</v>
      </c>
      <c r="K154" s="672">
        <v>4.2201552648984482</v>
      </c>
      <c r="L154" s="672">
        <v>1.9089941067381848</v>
      </c>
      <c r="M154" s="672">
        <v>3.5075382274836722</v>
      </c>
      <c r="N154" s="672">
        <v>4.3090195116076639</v>
      </c>
      <c r="O154" s="672">
        <v>1.3122929661053158</v>
      </c>
      <c r="P154" s="672">
        <v>2.4295328783725596</v>
      </c>
      <c r="Q154" s="672">
        <v>2.918610567648193</v>
      </c>
      <c r="T154" s="171"/>
      <c r="U154" s="171"/>
    </row>
    <row r="155" spans="3:21" ht="15" customHeight="1" x14ac:dyDescent="0.15">
      <c r="C155" s="37"/>
      <c r="D155" s="41"/>
      <c r="E155" s="312" t="s">
        <v>290</v>
      </c>
      <c r="F155" s="313" t="s">
        <v>289</v>
      </c>
      <c r="I155" s="672">
        <v>1.8694148717357371</v>
      </c>
      <c r="J155" s="672">
        <v>3.4352243464825634</v>
      </c>
      <c r="K155" s="672">
        <v>4.3603976158004425</v>
      </c>
      <c r="L155" s="672">
        <v>1.9089941067381848</v>
      </c>
      <c r="M155" s="672">
        <v>3.5075382274836722</v>
      </c>
      <c r="N155" s="672">
        <v>4.452268773978397</v>
      </c>
      <c r="O155" s="672">
        <v>1.3122929661053158</v>
      </c>
      <c r="P155" s="672">
        <v>2.4295328783725596</v>
      </c>
      <c r="Q155" s="672">
        <v>2.9715552512911048</v>
      </c>
      <c r="T155" s="171"/>
      <c r="U155" s="171"/>
    </row>
    <row r="156" spans="3:21" ht="15" customHeight="1" x14ac:dyDescent="0.15">
      <c r="C156" s="37"/>
      <c r="D156" s="41"/>
      <c r="E156" s="25"/>
      <c r="F156" s="313" t="s">
        <v>290</v>
      </c>
      <c r="I156" s="672">
        <v>1.8694148717357371</v>
      </c>
      <c r="J156" s="672">
        <v>3.4352243464825634</v>
      </c>
      <c r="K156" s="672">
        <v>3.9571608380648389</v>
      </c>
      <c r="L156" s="672">
        <v>1.9089941067381848</v>
      </c>
      <c r="M156" s="672">
        <v>3.5075382274836722</v>
      </c>
      <c r="N156" s="672">
        <v>4.0403862677321678</v>
      </c>
      <c r="O156" s="672">
        <v>1.3122929661053158</v>
      </c>
      <c r="P156" s="672">
        <v>2.4295328783725596</v>
      </c>
      <c r="Q156" s="672">
        <v>2.8019461824616414</v>
      </c>
      <c r="T156" s="171"/>
      <c r="U156" s="171"/>
    </row>
    <row r="157" spans="3:21" ht="15" customHeight="1" x14ac:dyDescent="0.15">
      <c r="C157" s="38"/>
      <c r="D157" s="42"/>
      <c r="E157" s="26"/>
      <c r="F157" s="313" t="s">
        <v>291</v>
      </c>
      <c r="I157" s="672">
        <v>1.8694148717357371</v>
      </c>
      <c r="J157" s="672">
        <v>3.4352243464825634</v>
      </c>
      <c r="K157" s="672">
        <v>3.9571608380648389</v>
      </c>
      <c r="L157" s="672">
        <v>1.9089941067381848</v>
      </c>
      <c r="M157" s="672">
        <v>3.5075382274836722</v>
      </c>
      <c r="N157" s="672">
        <v>4.0403862677321678</v>
      </c>
      <c r="O157" s="672">
        <v>1.3122929661053158</v>
      </c>
      <c r="P157" s="672">
        <v>2.4295328783725596</v>
      </c>
      <c r="Q157" s="672">
        <v>2.8019461824616414</v>
      </c>
      <c r="T157" s="171"/>
      <c r="U157" s="171"/>
    </row>
    <row r="158" spans="3:21" ht="15" customHeight="1" x14ac:dyDescent="0.15">
      <c r="T158" s="171"/>
      <c r="U158" s="171"/>
    </row>
    <row r="159" spans="3:21" ht="15" customHeight="1" x14ac:dyDescent="0.25">
      <c r="C159" s="315" t="s">
        <v>303</v>
      </c>
      <c r="D159" s="29"/>
      <c r="I159" s="301" t="s">
        <v>296</v>
      </c>
      <c r="J159" s="53"/>
      <c r="K159" s="53"/>
      <c r="L159" s="54"/>
      <c r="M159" s="54"/>
      <c r="N159" s="54"/>
      <c r="O159" s="54"/>
      <c r="P159" s="54"/>
      <c r="Q159" s="55"/>
      <c r="T159" s="171"/>
      <c r="U159" s="171"/>
    </row>
    <row r="160" spans="3:21" ht="15" customHeight="1" x14ac:dyDescent="0.15">
      <c r="C160" s="21"/>
      <c r="D160" s="21"/>
      <c r="E160" s="21"/>
      <c r="F160" s="13" t="s">
        <v>285</v>
      </c>
      <c r="I160" s="302" t="s">
        <v>297</v>
      </c>
      <c r="J160" s="303"/>
      <c r="K160" s="304"/>
      <c r="L160" s="302" t="s">
        <v>298</v>
      </c>
      <c r="M160" s="303"/>
      <c r="N160" s="304"/>
      <c r="O160" s="302" t="s">
        <v>299</v>
      </c>
      <c r="P160" s="303"/>
      <c r="Q160" s="57"/>
      <c r="T160" s="171"/>
      <c r="U160" s="171"/>
    </row>
    <row r="161" spans="3:21" ht="15" customHeight="1" x14ac:dyDescent="0.25">
      <c r="C161" s="305" t="s">
        <v>286</v>
      </c>
      <c r="D161" s="306"/>
      <c r="E161" s="307" t="s">
        <v>287</v>
      </c>
      <c r="F161" s="308" t="s">
        <v>288</v>
      </c>
      <c r="I161" s="309" t="s">
        <v>300</v>
      </c>
      <c r="J161" s="309" t="s">
        <v>301</v>
      </c>
      <c r="K161" s="309" t="s">
        <v>302</v>
      </c>
      <c r="L161" s="309" t="s">
        <v>300</v>
      </c>
      <c r="M161" s="309" t="s">
        <v>301</v>
      </c>
      <c r="N161" s="309" t="s">
        <v>302</v>
      </c>
      <c r="O161" s="309" t="s">
        <v>300</v>
      </c>
      <c r="P161" s="309" t="s">
        <v>301</v>
      </c>
      <c r="Q161" s="309" t="s">
        <v>302</v>
      </c>
      <c r="T161" s="171"/>
      <c r="U161" s="171"/>
    </row>
    <row r="162" spans="3:21" ht="15" customHeight="1" x14ac:dyDescent="0.15">
      <c r="C162" s="310" t="s">
        <v>292</v>
      </c>
      <c r="D162" s="311"/>
      <c r="E162" s="312" t="s">
        <v>292</v>
      </c>
      <c r="F162" s="313" t="s">
        <v>289</v>
      </c>
      <c r="I162" s="668">
        <v>0.48281781013335168</v>
      </c>
      <c r="J162" s="668">
        <v>0.31847717954468341</v>
      </c>
      <c r="K162" s="668">
        <v>0.27159130769805812</v>
      </c>
      <c r="L162" s="669">
        <v>0.50246692083426781</v>
      </c>
      <c r="M162" s="669">
        <v>0.32910966584435974</v>
      </c>
      <c r="N162" s="669">
        <v>0.27921633573124938</v>
      </c>
      <c r="O162" s="669">
        <v>1.2233023386869539</v>
      </c>
      <c r="P162" s="669">
        <v>0.65869661474057084</v>
      </c>
      <c r="Q162" s="669">
        <v>0.47232620858994484</v>
      </c>
      <c r="T162" s="171"/>
      <c r="U162" s="171"/>
    </row>
    <row r="163" spans="3:21" ht="15" customHeight="1" x14ac:dyDescent="0.15">
      <c r="C163" s="37"/>
      <c r="D163" s="41"/>
      <c r="E163" s="25"/>
      <c r="F163" s="313" t="s">
        <v>290</v>
      </c>
      <c r="I163" s="668">
        <v>0.48281781013335168</v>
      </c>
      <c r="J163" s="668">
        <v>0.31847717954468341</v>
      </c>
      <c r="K163" s="668">
        <v>0.27159130769805812</v>
      </c>
      <c r="L163" s="669">
        <v>0.50246692083426781</v>
      </c>
      <c r="M163" s="669">
        <v>0.32910966584435974</v>
      </c>
      <c r="N163" s="669">
        <v>0.27921633573124938</v>
      </c>
      <c r="O163" s="669">
        <v>1.2233023386869539</v>
      </c>
      <c r="P163" s="669">
        <v>0.65869661474057084</v>
      </c>
      <c r="Q163" s="669">
        <v>0.47232620858994484</v>
      </c>
      <c r="T163" s="171"/>
      <c r="U163" s="171"/>
    </row>
    <row r="164" spans="3:21" ht="15" customHeight="1" x14ac:dyDescent="0.15">
      <c r="C164" s="37"/>
      <c r="D164" s="41"/>
      <c r="E164" s="26"/>
      <c r="F164" s="313" t="s">
        <v>291</v>
      </c>
      <c r="I164" s="668">
        <v>0.48281781013335168</v>
      </c>
      <c r="J164" s="668">
        <v>0.31847717954468341</v>
      </c>
      <c r="K164" s="668">
        <v>0.27159130769805812</v>
      </c>
      <c r="L164" s="669">
        <v>0.50246692083426781</v>
      </c>
      <c r="M164" s="669">
        <v>0.32910966584435974</v>
      </c>
      <c r="N164" s="669">
        <v>0.27921633573124938</v>
      </c>
      <c r="O164" s="669">
        <v>1.2233023386869539</v>
      </c>
      <c r="P164" s="669">
        <v>0.65869661474057084</v>
      </c>
      <c r="Q164" s="669">
        <v>0.47232620858994484</v>
      </c>
      <c r="T164" s="171"/>
      <c r="U164" s="171"/>
    </row>
    <row r="165" spans="3:21" ht="15" customHeight="1" x14ac:dyDescent="0.15">
      <c r="C165" s="37"/>
      <c r="D165" s="41"/>
      <c r="E165" s="312" t="s">
        <v>293</v>
      </c>
      <c r="F165" s="313" t="s">
        <v>289</v>
      </c>
      <c r="I165" s="668">
        <v>0.48281781013335168</v>
      </c>
      <c r="J165" s="668">
        <v>0.31847717954468341</v>
      </c>
      <c r="K165" s="668">
        <v>0.27159130769805812</v>
      </c>
      <c r="L165" s="669">
        <v>0.50246692083426781</v>
      </c>
      <c r="M165" s="669">
        <v>0.32910966584435974</v>
      </c>
      <c r="N165" s="669">
        <v>0.27921633573124938</v>
      </c>
      <c r="O165" s="669">
        <v>1.2233023386869539</v>
      </c>
      <c r="P165" s="669">
        <v>0.65869661474057084</v>
      </c>
      <c r="Q165" s="669">
        <v>0.47232620858994484</v>
      </c>
      <c r="T165" s="171"/>
      <c r="U165" s="171"/>
    </row>
    <row r="166" spans="3:21" ht="15" customHeight="1" x14ac:dyDescent="0.15">
      <c r="C166" s="37"/>
      <c r="D166" s="41"/>
      <c r="E166" s="25"/>
      <c r="F166" s="313" t="s">
        <v>290</v>
      </c>
      <c r="I166" s="668">
        <v>0.47162753520681311</v>
      </c>
      <c r="J166" s="668">
        <v>0.30728977981725231</v>
      </c>
      <c r="K166" s="668">
        <v>0.26040103277151944</v>
      </c>
      <c r="L166" s="669">
        <v>0.49127664590772913</v>
      </c>
      <c r="M166" s="669">
        <v>0.31792226611692859</v>
      </c>
      <c r="N166" s="669">
        <v>0.2680260608047107</v>
      </c>
      <c r="O166" s="669">
        <v>1.2192023047596046</v>
      </c>
      <c r="P166" s="669">
        <v>0.65459370561411379</v>
      </c>
      <c r="Q166" s="669">
        <v>0.46822042426438032</v>
      </c>
      <c r="T166" s="171"/>
      <c r="U166" s="171"/>
    </row>
    <row r="167" spans="3:21" ht="15" customHeight="1" x14ac:dyDescent="0.15">
      <c r="C167" s="37"/>
      <c r="D167" s="41"/>
      <c r="E167" s="26"/>
      <c r="F167" s="313" t="s">
        <v>291</v>
      </c>
      <c r="I167" s="668">
        <v>0.4604401354793819</v>
      </c>
      <c r="J167" s="668">
        <v>0.30728977981725231</v>
      </c>
      <c r="K167" s="668">
        <v>0.2566718995290424</v>
      </c>
      <c r="L167" s="669">
        <v>0.48008924618029791</v>
      </c>
      <c r="M167" s="669">
        <v>0.31792226611692859</v>
      </c>
      <c r="N167" s="669">
        <v>0.26429692756223372</v>
      </c>
      <c r="O167" s="669">
        <v>1.21509652043404</v>
      </c>
      <c r="P167" s="669">
        <v>0.65459370561411379</v>
      </c>
      <c r="Q167" s="669">
        <v>0.46685470468829965</v>
      </c>
      <c r="T167" s="171"/>
      <c r="U167" s="171"/>
    </row>
    <row r="168" spans="3:21" ht="15" customHeight="1" x14ac:dyDescent="0.15">
      <c r="C168" s="37"/>
      <c r="D168" s="41"/>
      <c r="E168" s="312" t="s">
        <v>289</v>
      </c>
      <c r="F168" s="313" t="s">
        <v>289</v>
      </c>
      <c r="I168" s="668">
        <v>0.4604401354793819</v>
      </c>
      <c r="J168" s="668">
        <v>0.30169464235398297</v>
      </c>
      <c r="K168" s="668">
        <v>0.2566718995290424</v>
      </c>
      <c r="L168" s="669">
        <v>0.48008924618029791</v>
      </c>
      <c r="M168" s="669">
        <v>0.3123271286536593</v>
      </c>
      <c r="N168" s="669">
        <v>0.26429692756223372</v>
      </c>
      <c r="O168" s="669">
        <v>1.21509652043404</v>
      </c>
      <c r="P168" s="669">
        <v>0.65253793825222373</v>
      </c>
      <c r="Q168" s="669">
        <v>0.46685470468829965</v>
      </c>
      <c r="T168" s="171"/>
      <c r="U168" s="171"/>
    </row>
    <row r="169" spans="3:21" ht="15" customHeight="1" x14ac:dyDescent="0.15">
      <c r="C169" s="37"/>
      <c r="D169" s="41"/>
      <c r="E169" s="25"/>
      <c r="F169" s="313" t="s">
        <v>290</v>
      </c>
      <c r="I169" s="668">
        <v>0.4604401354793819</v>
      </c>
      <c r="J169" s="668">
        <v>0.30169464235398297</v>
      </c>
      <c r="K169" s="668">
        <v>0.24921363304408825</v>
      </c>
      <c r="L169" s="669">
        <v>0.48008924618029791</v>
      </c>
      <c r="M169" s="669">
        <v>0.3123271286536593</v>
      </c>
      <c r="N169" s="669">
        <v>0.2568386610772796</v>
      </c>
      <c r="O169" s="669">
        <v>1.21509652043404</v>
      </c>
      <c r="P169" s="669">
        <v>0.65253793825222373</v>
      </c>
      <c r="Q169" s="669">
        <v>0.46412039033703079</v>
      </c>
      <c r="T169" s="171"/>
      <c r="U169" s="171"/>
    </row>
    <row r="170" spans="3:21" ht="15" customHeight="1" x14ac:dyDescent="0.15">
      <c r="C170" s="37"/>
      <c r="D170" s="41"/>
      <c r="E170" s="26"/>
      <c r="F170" s="313" t="s">
        <v>291</v>
      </c>
      <c r="I170" s="668">
        <v>0.4604401354793819</v>
      </c>
      <c r="J170" s="668">
        <v>0.24921363304408825</v>
      </c>
      <c r="K170" s="668">
        <v>0.24921363304408825</v>
      </c>
      <c r="L170" s="669">
        <v>0.48008924618029791</v>
      </c>
      <c r="M170" s="669">
        <v>0.30673486638949748</v>
      </c>
      <c r="N170" s="669">
        <v>0.2568386610772796</v>
      </c>
      <c r="O170" s="669">
        <v>1.21509652043404</v>
      </c>
      <c r="P170" s="669">
        <v>0.65253793825222373</v>
      </c>
      <c r="Q170" s="669">
        <v>0.46412039033703079</v>
      </c>
      <c r="T170" s="171"/>
      <c r="U170" s="171"/>
    </row>
    <row r="171" spans="3:21" ht="15" customHeight="1" x14ac:dyDescent="0.15">
      <c r="C171" s="37"/>
      <c r="D171" s="41"/>
      <c r="E171" s="312" t="s">
        <v>290</v>
      </c>
      <c r="F171" s="313" t="s">
        <v>289</v>
      </c>
      <c r="I171" s="668">
        <v>0.4604401354793819</v>
      </c>
      <c r="J171" s="668">
        <v>0.24921363304408825</v>
      </c>
      <c r="K171" s="668">
        <v>0.24921363304408825</v>
      </c>
      <c r="L171" s="669">
        <v>0.48008924618029791</v>
      </c>
      <c r="M171" s="669">
        <v>0.30673486638949748</v>
      </c>
      <c r="N171" s="669">
        <v>0.2568386610772796</v>
      </c>
      <c r="O171" s="669">
        <v>1.21509652043404</v>
      </c>
      <c r="P171" s="669">
        <v>0.65253793825222373</v>
      </c>
      <c r="Q171" s="669">
        <v>0.46412039033703079</v>
      </c>
      <c r="T171" s="171"/>
      <c r="U171" s="171"/>
    </row>
    <row r="172" spans="3:21" ht="15" customHeight="1" x14ac:dyDescent="0.15">
      <c r="C172" s="37"/>
      <c r="D172" s="41"/>
      <c r="E172" s="25"/>
      <c r="F172" s="313" t="s">
        <v>290</v>
      </c>
      <c r="I172" s="668">
        <v>0.4604401354793819</v>
      </c>
      <c r="J172" s="668">
        <v>0.24921363304408825</v>
      </c>
      <c r="K172" s="668">
        <v>0.2454816246025037</v>
      </c>
      <c r="L172" s="669">
        <v>0.48008924618029791</v>
      </c>
      <c r="M172" s="669">
        <v>0.30673486638949748</v>
      </c>
      <c r="N172" s="669">
        <v>0.25310665263569498</v>
      </c>
      <c r="O172" s="669">
        <v>1.21509652043404</v>
      </c>
      <c r="P172" s="669">
        <v>0.65048792128854904</v>
      </c>
      <c r="Q172" s="669">
        <v>0.46275179556184259</v>
      </c>
      <c r="T172" s="171"/>
      <c r="U172" s="171"/>
    </row>
    <row r="173" spans="3:21" ht="15" customHeight="1" x14ac:dyDescent="0.15">
      <c r="C173" s="38"/>
      <c r="D173" s="42"/>
      <c r="E173" s="26"/>
      <c r="F173" s="313" t="s">
        <v>291</v>
      </c>
      <c r="I173" s="668">
        <v>0.4604401354793819</v>
      </c>
      <c r="J173" s="668">
        <v>0.24921363304408825</v>
      </c>
      <c r="K173" s="668">
        <v>0.2454816246025037</v>
      </c>
      <c r="L173" s="669">
        <v>0.48008924618029791</v>
      </c>
      <c r="M173" s="669">
        <v>0.30673486638949748</v>
      </c>
      <c r="N173" s="669">
        <v>0.25310665263569498</v>
      </c>
      <c r="O173" s="669">
        <v>1.21509652043404</v>
      </c>
      <c r="P173" s="669">
        <v>0.65048792128854904</v>
      </c>
      <c r="Q173" s="669">
        <v>0.46275179556184259</v>
      </c>
      <c r="T173" s="171"/>
      <c r="U173" s="171"/>
    </row>
    <row r="174" spans="3:21" ht="15" customHeight="1" x14ac:dyDescent="0.15">
      <c r="C174" s="310" t="s">
        <v>293</v>
      </c>
      <c r="D174" s="311"/>
      <c r="E174" s="312" t="s">
        <v>292</v>
      </c>
      <c r="F174" s="313" t="s">
        <v>289</v>
      </c>
      <c r="I174" s="668">
        <v>0.48281781013335168</v>
      </c>
      <c r="J174" s="668">
        <v>0.31847717954468341</v>
      </c>
      <c r="K174" s="668">
        <v>0.27159130769805812</v>
      </c>
      <c r="L174" s="669">
        <v>0.50246692083426781</v>
      </c>
      <c r="M174" s="669">
        <v>0.32910966584435974</v>
      </c>
      <c r="N174" s="669">
        <v>0.25310665263569498</v>
      </c>
      <c r="O174" s="669">
        <v>1.2233023386869539</v>
      </c>
      <c r="P174" s="669">
        <v>0.65869661474057084</v>
      </c>
      <c r="Q174" s="669">
        <v>0.47232620858994484</v>
      </c>
      <c r="T174" s="171"/>
      <c r="U174" s="171"/>
    </row>
    <row r="175" spans="3:21" ht="15" customHeight="1" x14ac:dyDescent="0.15">
      <c r="C175" s="37"/>
      <c r="D175" s="41"/>
      <c r="E175" s="25"/>
      <c r="F175" s="313" t="s">
        <v>290</v>
      </c>
      <c r="I175" s="668">
        <v>0.47033369560842081</v>
      </c>
      <c r="J175" s="668">
        <v>0.30599018982064513</v>
      </c>
      <c r="K175" s="668">
        <v>0.25910431797401967</v>
      </c>
      <c r="L175" s="669">
        <v>0.48997993111022925</v>
      </c>
      <c r="M175" s="669">
        <v>0.31662555131942882</v>
      </c>
      <c r="N175" s="669">
        <v>0.26672934600721099</v>
      </c>
      <c r="O175" s="669">
        <v>1.2219107423189055</v>
      </c>
      <c r="P175" s="669">
        <v>0.65730214317341462</v>
      </c>
      <c r="Q175" s="669">
        <v>0.47093461222189642</v>
      </c>
      <c r="T175" s="171"/>
      <c r="U175" s="171"/>
    </row>
    <row r="176" spans="3:21" ht="15" customHeight="1" x14ac:dyDescent="0.15">
      <c r="C176" s="37"/>
      <c r="D176" s="41"/>
      <c r="E176" s="26"/>
      <c r="F176" s="313" t="s">
        <v>291</v>
      </c>
      <c r="I176" s="668">
        <v>0.45784670588438248</v>
      </c>
      <c r="J176" s="668">
        <v>0.30599018982064513</v>
      </c>
      <c r="K176" s="668">
        <v>0.25494390486541196</v>
      </c>
      <c r="L176" s="669">
        <v>0.47749581658529849</v>
      </c>
      <c r="M176" s="669">
        <v>0.31662555131942882</v>
      </c>
      <c r="N176" s="669">
        <v>0.26256893289860322</v>
      </c>
      <c r="O176" s="669">
        <v>1.2205162707517494</v>
      </c>
      <c r="P176" s="669">
        <v>0.65730214317341462</v>
      </c>
      <c r="Q176" s="669">
        <v>0.47046595476736769</v>
      </c>
      <c r="T176" s="171"/>
      <c r="U176" s="171"/>
    </row>
    <row r="177" spans="3:21" ht="15" customHeight="1" x14ac:dyDescent="0.15">
      <c r="C177" s="37"/>
      <c r="D177" s="41"/>
      <c r="E177" s="312" t="s">
        <v>293</v>
      </c>
      <c r="F177" s="313" t="s">
        <v>289</v>
      </c>
      <c r="I177" s="668">
        <v>0.48281781013335168</v>
      </c>
      <c r="J177" s="668">
        <v>0.31847717954468341</v>
      </c>
      <c r="K177" s="668">
        <v>0.27159130769805812</v>
      </c>
      <c r="L177" s="669">
        <v>0.50246692083426781</v>
      </c>
      <c r="M177" s="669">
        <v>0.32910966584435974</v>
      </c>
      <c r="N177" s="669">
        <v>0.25310665263569498</v>
      </c>
      <c r="O177" s="669">
        <v>1.2233023386869539</v>
      </c>
      <c r="P177" s="669">
        <v>0.65869661474057084</v>
      </c>
      <c r="Q177" s="669">
        <v>0.47232620858994484</v>
      </c>
      <c r="T177" s="171"/>
      <c r="U177" s="171"/>
    </row>
    <row r="178" spans="3:21" ht="15" customHeight="1" x14ac:dyDescent="0.15">
      <c r="C178" s="37"/>
      <c r="D178" s="41"/>
      <c r="E178" s="25"/>
      <c r="F178" s="313" t="s">
        <v>290</v>
      </c>
      <c r="I178" s="668">
        <v>0.45914342068188219</v>
      </c>
      <c r="J178" s="668">
        <v>0.29480279009321392</v>
      </c>
      <c r="K178" s="668">
        <v>0.24791691824658857</v>
      </c>
      <c r="L178" s="669">
        <v>0.47878965618369074</v>
      </c>
      <c r="M178" s="669">
        <v>0.3054352763928902</v>
      </c>
      <c r="N178" s="669">
        <v>0.25554194627977989</v>
      </c>
      <c r="O178" s="669">
        <v>1.217804957993341</v>
      </c>
      <c r="P178" s="669">
        <v>0.65319635884785021</v>
      </c>
      <c r="Q178" s="669">
        <v>0.46682882789633179</v>
      </c>
      <c r="T178" s="171"/>
      <c r="U178" s="171"/>
    </row>
    <row r="179" spans="3:21" ht="15" customHeight="1" x14ac:dyDescent="0.15">
      <c r="C179" s="37"/>
      <c r="D179" s="41"/>
      <c r="E179" s="26"/>
      <c r="F179" s="313" t="s">
        <v>291</v>
      </c>
      <c r="I179" s="668">
        <v>0.43546615603130506</v>
      </c>
      <c r="J179" s="668">
        <v>0.29480279009321392</v>
      </c>
      <c r="K179" s="668">
        <v>0.24002449669639614</v>
      </c>
      <c r="L179" s="669">
        <v>0.45511526673222125</v>
      </c>
      <c r="M179" s="669">
        <v>0.3054352763928902</v>
      </c>
      <c r="N179" s="669">
        <v>0.24764952472958748</v>
      </c>
      <c r="O179" s="669">
        <v>1.2123075772997278</v>
      </c>
      <c r="P179" s="669">
        <v>0.65319635884785021</v>
      </c>
      <c r="Q179" s="669">
        <v>0.46499445086572244</v>
      </c>
      <c r="T179" s="171"/>
      <c r="U179" s="171"/>
    </row>
    <row r="180" spans="3:21" ht="15" customHeight="1" x14ac:dyDescent="0.15">
      <c r="C180" s="37"/>
      <c r="D180" s="41"/>
      <c r="E180" s="312" t="s">
        <v>289</v>
      </c>
      <c r="F180" s="313" t="s">
        <v>289</v>
      </c>
      <c r="I180" s="668">
        <v>0.4604401354793819</v>
      </c>
      <c r="J180" s="668">
        <v>0.30169464235398297</v>
      </c>
      <c r="K180" s="668">
        <v>0.2566718995290424</v>
      </c>
      <c r="L180" s="669">
        <v>0.48008924618029791</v>
      </c>
      <c r="M180" s="669">
        <v>0.3123271286536593</v>
      </c>
      <c r="N180" s="669">
        <v>0.26429692756223372</v>
      </c>
      <c r="O180" s="669">
        <v>1.21509652043404</v>
      </c>
      <c r="P180" s="669">
        <v>0.65253793825222373</v>
      </c>
      <c r="Q180" s="669">
        <v>0.46685470468829965</v>
      </c>
      <c r="T180" s="171"/>
      <c r="U180" s="171"/>
    </row>
    <row r="181" spans="3:21" ht="15" customHeight="1" x14ac:dyDescent="0.15">
      <c r="C181" s="37"/>
      <c r="D181" s="41"/>
      <c r="E181" s="25"/>
      <c r="F181" s="313" t="s">
        <v>290</v>
      </c>
      <c r="I181" s="668">
        <v>0.44795314575534351</v>
      </c>
      <c r="J181" s="668">
        <v>0.28920765262994463</v>
      </c>
      <c r="K181" s="668">
        <v>0.23672664332004992</v>
      </c>
      <c r="L181" s="669">
        <v>0.46760225645625952</v>
      </c>
      <c r="M181" s="669">
        <v>0.29984301412872838</v>
      </c>
      <c r="N181" s="669">
        <v>0.24435167135324123</v>
      </c>
      <c r="O181" s="669">
        <v>1.2137020488668839</v>
      </c>
      <c r="P181" s="669">
        <v>0.65114634188417553</v>
      </c>
      <c r="Q181" s="669">
        <v>0.46272304357076721</v>
      </c>
      <c r="T181" s="171"/>
      <c r="U181" s="171"/>
    </row>
    <row r="182" spans="3:21" ht="15" customHeight="1" x14ac:dyDescent="0.15">
      <c r="C182" s="37"/>
      <c r="D182" s="41"/>
      <c r="E182" s="26"/>
      <c r="F182" s="313" t="s">
        <v>291</v>
      </c>
      <c r="I182" s="668">
        <v>0.43546615603130506</v>
      </c>
      <c r="J182" s="668">
        <v>0.28361539036578287</v>
      </c>
      <c r="K182" s="668">
        <v>0.23256335501233455</v>
      </c>
      <c r="L182" s="669">
        <v>0.45511526673222125</v>
      </c>
      <c r="M182" s="669">
        <v>0.2942478766654591</v>
      </c>
      <c r="N182" s="669">
        <v>0.24018838304552587</v>
      </c>
      <c r="O182" s="669">
        <v>1.2123075772997278</v>
      </c>
      <c r="P182" s="669">
        <v>0.64909344972139327</v>
      </c>
      <c r="Q182" s="669">
        <v>0.462257261315346</v>
      </c>
      <c r="T182" s="171"/>
      <c r="U182" s="171"/>
    </row>
    <row r="183" spans="3:21" ht="15" customHeight="1" x14ac:dyDescent="0.15">
      <c r="C183" s="37"/>
      <c r="D183" s="41"/>
      <c r="E183" s="312" t="s">
        <v>290</v>
      </c>
      <c r="F183" s="313" t="s">
        <v>289</v>
      </c>
      <c r="I183" s="668">
        <v>0.4604401354793819</v>
      </c>
      <c r="J183" s="668">
        <v>0.24921363304408825</v>
      </c>
      <c r="K183" s="668">
        <v>0.24921363304408825</v>
      </c>
      <c r="L183" s="669">
        <v>0.48008924618029791</v>
      </c>
      <c r="M183" s="669">
        <v>0.30673486638949748</v>
      </c>
      <c r="N183" s="669">
        <v>0.2568386610772796</v>
      </c>
      <c r="O183" s="669">
        <v>1.21509652043404</v>
      </c>
      <c r="P183" s="669">
        <v>0.65048792128854904</v>
      </c>
      <c r="Q183" s="669">
        <v>0.46412039033703079</v>
      </c>
      <c r="T183" s="171"/>
      <c r="U183" s="171"/>
    </row>
    <row r="184" spans="3:21" ht="15" customHeight="1" x14ac:dyDescent="0.15">
      <c r="C184" s="37"/>
      <c r="D184" s="41"/>
      <c r="E184" s="25"/>
      <c r="F184" s="313" t="s">
        <v>290</v>
      </c>
      <c r="I184" s="668">
        <v>0.44795314575534351</v>
      </c>
      <c r="J184" s="668">
        <v>0.28361539036578287</v>
      </c>
      <c r="K184" s="668">
        <v>0.23299751007757286</v>
      </c>
      <c r="L184" s="669">
        <v>0.46760225645625952</v>
      </c>
      <c r="M184" s="669">
        <v>0.2942478766654591</v>
      </c>
      <c r="N184" s="669">
        <v>0.24061966291165662</v>
      </c>
      <c r="O184" s="669">
        <v>1.2137020488668839</v>
      </c>
      <c r="P184" s="669">
        <v>0.64909344972139327</v>
      </c>
      <c r="Q184" s="669">
        <v>0.46135444879557913</v>
      </c>
      <c r="T184" s="171"/>
      <c r="U184" s="171"/>
    </row>
    <row r="185" spans="3:21" ht="15" customHeight="1" x14ac:dyDescent="0.15">
      <c r="C185" s="38"/>
      <c r="D185" s="42"/>
      <c r="E185" s="26"/>
      <c r="F185" s="313" t="s">
        <v>291</v>
      </c>
      <c r="I185" s="668">
        <v>0.43546615603130506</v>
      </c>
      <c r="J185" s="668">
        <v>0.28361539036578287</v>
      </c>
      <c r="K185" s="668">
        <v>0.22883709696896509</v>
      </c>
      <c r="L185" s="669">
        <v>0.45511526673222125</v>
      </c>
      <c r="M185" s="669">
        <v>0.2942478766654591</v>
      </c>
      <c r="N185" s="669">
        <v>0.23646212500215633</v>
      </c>
      <c r="O185" s="669">
        <v>1.2123075772997278</v>
      </c>
      <c r="P185" s="669">
        <v>0.64909344972139327</v>
      </c>
      <c r="Q185" s="669">
        <v>0.46088866654015781</v>
      </c>
      <c r="T185" s="171"/>
      <c r="U185" s="171"/>
    </row>
    <row r="186" spans="3:21" ht="15" customHeight="1" x14ac:dyDescent="0.15">
      <c r="C186" s="310" t="s">
        <v>289</v>
      </c>
      <c r="D186" s="311"/>
      <c r="E186" s="312" t="s">
        <v>292</v>
      </c>
      <c r="F186" s="313" t="s">
        <v>289</v>
      </c>
      <c r="I186" s="668">
        <v>0.45784670588438248</v>
      </c>
      <c r="J186" s="668">
        <v>0.29975100775728719</v>
      </c>
      <c r="K186" s="668">
        <v>0.25494390486541196</v>
      </c>
      <c r="L186" s="669">
        <v>0.47749581658529849</v>
      </c>
      <c r="M186" s="669">
        <v>0.31038349405696342</v>
      </c>
      <c r="N186" s="669">
        <v>0.26256893289860322</v>
      </c>
      <c r="O186" s="669">
        <v>1.2205162707517494</v>
      </c>
      <c r="P186" s="669">
        <v>0.65660346979028306</v>
      </c>
      <c r="Q186" s="669">
        <v>0.47046595476736769</v>
      </c>
      <c r="T186" s="171"/>
      <c r="U186" s="171"/>
    </row>
    <row r="187" spans="3:21" ht="15" customHeight="1" x14ac:dyDescent="0.15">
      <c r="C187" s="37"/>
      <c r="D187" s="41"/>
      <c r="E187" s="25"/>
      <c r="F187" s="313" t="s">
        <v>290</v>
      </c>
      <c r="I187" s="668">
        <v>0.45784670588438248</v>
      </c>
      <c r="J187" s="668">
        <v>0.29975100775728719</v>
      </c>
      <c r="K187" s="668">
        <v>0.24662020344908886</v>
      </c>
      <c r="L187" s="669">
        <v>0.47749581658529849</v>
      </c>
      <c r="M187" s="669">
        <v>0.31038349405696342</v>
      </c>
      <c r="N187" s="669">
        <v>0.25424523148228012</v>
      </c>
      <c r="O187" s="669">
        <v>1.2205162707517494</v>
      </c>
      <c r="P187" s="669">
        <v>0.65660346979028306</v>
      </c>
      <c r="Q187" s="669">
        <v>0.46953726545563274</v>
      </c>
      <c r="T187" s="171"/>
      <c r="U187" s="171"/>
    </row>
    <row r="188" spans="3:21" ht="15" customHeight="1" x14ac:dyDescent="0.15">
      <c r="C188" s="37"/>
      <c r="D188" s="41"/>
      <c r="E188" s="26"/>
      <c r="F188" s="313" t="s">
        <v>291</v>
      </c>
      <c r="I188" s="668">
        <v>0.45784670588438248</v>
      </c>
      <c r="J188" s="668">
        <v>0.29350895049482173</v>
      </c>
      <c r="K188" s="668">
        <v>0.24662020344908886</v>
      </c>
      <c r="L188" s="669">
        <v>0.47749581658529849</v>
      </c>
      <c r="M188" s="669">
        <v>0.30414143679449807</v>
      </c>
      <c r="N188" s="669">
        <v>0.25424523148228012</v>
      </c>
      <c r="O188" s="669">
        <v>1.2205162707517494</v>
      </c>
      <c r="P188" s="669">
        <v>0.65590767160625874</v>
      </c>
      <c r="Q188" s="669">
        <v>0.46953726545563274</v>
      </c>
      <c r="T188" s="171"/>
      <c r="U188" s="171"/>
    </row>
    <row r="189" spans="3:21" ht="15" customHeight="1" x14ac:dyDescent="0.15">
      <c r="C189" s="37"/>
      <c r="D189" s="41"/>
      <c r="E189" s="312" t="s">
        <v>293</v>
      </c>
      <c r="F189" s="313" t="s">
        <v>289</v>
      </c>
      <c r="I189" s="668">
        <v>0.45784670588438248</v>
      </c>
      <c r="J189" s="668">
        <v>0.29975100775728719</v>
      </c>
      <c r="K189" s="668">
        <v>0.25494390486541196</v>
      </c>
      <c r="L189" s="669">
        <v>0.47749581658529849</v>
      </c>
      <c r="M189" s="669">
        <v>0.31038349405696342</v>
      </c>
      <c r="N189" s="669">
        <v>0.26256893289860322</v>
      </c>
      <c r="O189" s="669">
        <v>1.2205162707517494</v>
      </c>
      <c r="P189" s="669">
        <v>0.65660346979028306</v>
      </c>
      <c r="Q189" s="669">
        <v>0.47046595476736769</v>
      </c>
      <c r="T189" s="171"/>
      <c r="U189" s="171"/>
    </row>
    <row r="190" spans="3:21" ht="15" customHeight="1" x14ac:dyDescent="0.15">
      <c r="C190" s="37"/>
      <c r="D190" s="41"/>
      <c r="E190" s="25"/>
      <c r="F190" s="313" t="s">
        <v>290</v>
      </c>
      <c r="I190" s="668">
        <v>0.44665930615695126</v>
      </c>
      <c r="J190" s="668">
        <v>0.28856073283074851</v>
      </c>
      <c r="K190" s="668">
        <v>0.23542992852255015</v>
      </c>
      <c r="L190" s="669">
        <v>0.46630841685786734</v>
      </c>
      <c r="M190" s="669">
        <v>0.29919321913042474</v>
      </c>
      <c r="N190" s="669">
        <v>0.24305495655574144</v>
      </c>
      <c r="O190" s="669">
        <v>1.2164104864261851</v>
      </c>
      <c r="P190" s="669">
        <v>0.652500560663826</v>
      </c>
      <c r="Q190" s="669">
        <v>0.46543435632917579</v>
      </c>
      <c r="T190" s="171"/>
      <c r="U190" s="171"/>
    </row>
    <row r="191" spans="3:21" ht="15" customHeight="1" x14ac:dyDescent="0.15">
      <c r="C191" s="37"/>
      <c r="D191" s="41"/>
      <c r="E191" s="26"/>
      <c r="F191" s="313" t="s">
        <v>291</v>
      </c>
      <c r="I191" s="668">
        <v>0.43546615603130506</v>
      </c>
      <c r="J191" s="668">
        <v>0.28231867556828311</v>
      </c>
      <c r="K191" s="668">
        <v>0.23170079528007312</v>
      </c>
      <c r="L191" s="669">
        <v>0.45511526673222125</v>
      </c>
      <c r="M191" s="669">
        <v>0.29295116186795939</v>
      </c>
      <c r="N191" s="669">
        <v>0.23932582331326444</v>
      </c>
      <c r="O191" s="669">
        <v>1.2123075772997278</v>
      </c>
      <c r="P191" s="669">
        <v>0.6518018872806941</v>
      </c>
      <c r="Q191" s="669">
        <v>0.46406576155398754</v>
      </c>
      <c r="T191" s="171"/>
      <c r="U191" s="171"/>
    </row>
    <row r="192" spans="3:21" ht="15" customHeight="1" x14ac:dyDescent="0.15">
      <c r="C192" s="37"/>
      <c r="D192" s="41"/>
      <c r="E192" s="312" t="s">
        <v>289</v>
      </c>
      <c r="F192" s="313" t="s">
        <v>289</v>
      </c>
      <c r="I192" s="670">
        <v>0.43546615603130506</v>
      </c>
      <c r="J192" s="668">
        <v>0.28296559536747923</v>
      </c>
      <c r="K192" s="668">
        <v>0.24002449669639614</v>
      </c>
      <c r="L192" s="671">
        <v>0.45511526673222125</v>
      </c>
      <c r="M192" s="669">
        <v>0.29360095686626297</v>
      </c>
      <c r="N192" s="669">
        <v>0.24764952472958748</v>
      </c>
      <c r="O192" s="671">
        <v>1.2123075772997278</v>
      </c>
      <c r="P192" s="669">
        <v>0.65044766850104363</v>
      </c>
      <c r="Q192" s="669">
        <v>0.46499445086572244</v>
      </c>
      <c r="T192" s="171"/>
      <c r="U192" s="171"/>
    </row>
    <row r="193" spans="3:21" ht="15" customHeight="1" x14ac:dyDescent="0.15">
      <c r="C193" s="37"/>
      <c r="D193" s="41"/>
      <c r="E193" s="25"/>
      <c r="F193" s="313" t="s">
        <v>290</v>
      </c>
      <c r="I193" s="668">
        <v>0.43546615603130506</v>
      </c>
      <c r="J193" s="668">
        <v>0.28296559536747923</v>
      </c>
      <c r="K193" s="668">
        <v>0.22423965359601153</v>
      </c>
      <c r="L193" s="669">
        <v>0.45511526673222125</v>
      </c>
      <c r="M193" s="669">
        <v>0.29360095686626297</v>
      </c>
      <c r="N193" s="669">
        <v>0.23186468162920279</v>
      </c>
      <c r="O193" s="669">
        <v>1.2123075772997278</v>
      </c>
      <c r="P193" s="669">
        <v>0.65044766850104363</v>
      </c>
      <c r="Q193" s="669">
        <v>0.46132857200361127</v>
      </c>
      <c r="T193" s="171"/>
      <c r="U193" s="171"/>
    </row>
    <row r="194" spans="3:21" ht="15" customHeight="1" x14ac:dyDescent="0.15">
      <c r="C194" s="37"/>
      <c r="D194" s="41"/>
      <c r="E194" s="26"/>
      <c r="F194" s="313" t="s">
        <v>291</v>
      </c>
      <c r="I194" s="668">
        <v>0.43546615603130506</v>
      </c>
      <c r="J194" s="668">
        <v>0.27112840064174448</v>
      </c>
      <c r="K194" s="668">
        <v>0.22423965359601153</v>
      </c>
      <c r="L194" s="669">
        <v>0.45511526673222125</v>
      </c>
      <c r="M194" s="669">
        <v>0.28176088694142065</v>
      </c>
      <c r="N194" s="669">
        <v>0.23186468162920279</v>
      </c>
      <c r="O194" s="669">
        <v>1.2123075772997278</v>
      </c>
      <c r="P194" s="669">
        <v>0.64769610295512969</v>
      </c>
      <c r="Q194" s="669">
        <v>0.46132857200361127</v>
      </c>
      <c r="T194" s="171"/>
      <c r="U194" s="171"/>
    </row>
    <row r="195" spans="3:21" ht="15" customHeight="1" x14ac:dyDescent="0.15">
      <c r="C195" s="37"/>
      <c r="D195" s="41"/>
      <c r="E195" s="312" t="s">
        <v>290</v>
      </c>
      <c r="F195" s="313" t="s">
        <v>289</v>
      </c>
      <c r="I195" s="668">
        <v>0.43546615603130506</v>
      </c>
      <c r="J195" s="668">
        <v>0.27737333310331741</v>
      </c>
      <c r="K195" s="668">
        <v>0.23256335501233455</v>
      </c>
      <c r="L195" s="669">
        <v>0.45511526673222125</v>
      </c>
      <c r="M195" s="669">
        <v>0.28800581940299369</v>
      </c>
      <c r="N195" s="669">
        <v>0.24018838304552587</v>
      </c>
      <c r="O195" s="669">
        <v>1.2123075772997278</v>
      </c>
      <c r="P195" s="669">
        <v>0.64839477633826137</v>
      </c>
      <c r="Q195" s="669">
        <v>0.462257261315346</v>
      </c>
      <c r="T195" s="171"/>
      <c r="U195" s="171"/>
    </row>
    <row r="196" spans="3:21" ht="15" customHeight="1" x14ac:dyDescent="0.15">
      <c r="C196" s="37"/>
      <c r="D196" s="41"/>
      <c r="E196" s="25"/>
      <c r="F196" s="313" t="s">
        <v>290</v>
      </c>
      <c r="I196" s="668">
        <v>0.43546615603130506</v>
      </c>
      <c r="J196" s="668">
        <v>0.27737333310331741</v>
      </c>
      <c r="K196" s="668">
        <v>0.22051339555264199</v>
      </c>
      <c r="L196" s="669">
        <v>0.45511526673222125</v>
      </c>
      <c r="M196" s="669">
        <v>0.28800581940299369</v>
      </c>
      <c r="N196" s="669">
        <v>0.22813842358583331</v>
      </c>
      <c r="O196" s="669">
        <v>1.2123075772997278</v>
      </c>
      <c r="P196" s="669">
        <v>0.64839477633826137</v>
      </c>
      <c r="Q196" s="669">
        <v>0.45995997722842302</v>
      </c>
      <c r="T196" s="171"/>
      <c r="U196" s="171"/>
    </row>
    <row r="197" spans="3:21" ht="15" customHeight="1" x14ac:dyDescent="0.15">
      <c r="C197" s="38"/>
      <c r="D197" s="42"/>
      <c r="E197" s="26"/>
      <c r="F197" s="313" t="s">
        <v>291</v>
      </c>
      <c r="I197" s="668">
        <v>0.43546615603130506</v>
      </c>
      <c r="J197" s="668">
        <v>0.27112840064174448</v>
      </c>
      <c r="K197" s="668">
        <v>0.22051339555264199</v>
      </c>
      <c r="L197" s="669">
        <v>0.45511526673222125</v>
      </c>
      <c r="M197" s="669">
        <v>0.28176088694142065</v>
      </c>
      <c r="N197" s="669">
        <v>0.22813842358583331</v>
      </c>
      <c r="O197" s="669">
        <v>1.2123075772997278</v>
      </c>
      <c r="P197" s="669">
        <v>0.64769610295512969</v>
      </c>
      <c r="Q197" s="669">
        <v>0.45995997722842302</v>
      </c>
      <c r="T197" s="171"/>
      <c r="U197" s="171"/>
    </row>
    <row r="198" spans="3:21" ht="15" customHeight="1" x14ac:dyDescent="0.15">
      <c r="C198" s="310" t="s">
        <v>290</v>
      </c>
      <c r="D198" s="311"/>
      <c r="E198" s="312" t="s">
        <v>292</v>
      </c>
      <c r="F198" s="313" t="s">
        <v>289</v>
      </c>
      <c r="I198" s="668">
        <v>0.45784670588438248</v>
      </c>
      <c r="J198" s="668">
        <v>0.29350895049482173</v>
      </c>
      <c r="K198" s="668">
        <v>0.24662020344908886</v>
      </c>
      <c r="L198" s="669">
        <v>0.47749581658529849</v>
      </c>
      <c r="M198" s="669">
        <v>0.30414143679449807</v>
      </c>
      <c r="N198" s="669">
        <v>0.25424523148228012</v>
      </c>
      <c r="O198" s="669">
        <v>1.2205162707517494</v>
      </c>
      <c r="P198" s="669">
        <v>0.65590767160625874</v>
      </c>
      <c r="Q198" s="669">
        <v>0.46953726545563274</v>
      </c>
      <c r="T198" s="171"/>
      <c r="U198" s="171"/>
    </row>
    <row r="199" spans="3:21" ht="15" customHeight="1" x14ac:dyDescent="0.15">
      <c r="C199" s="37"/>
      <c r="D199" s="41"/>
      <c r="E199" s="25"/>
      <c r="F199" s="313" t="s">
        <v>290</v>
      </c>
      <c r="I199" s="668">
        <v>0.45784670588438248</v>
      </c>
      <c r="J199" s="668">
        <v>0.29350895049482173</v>
      </c>
      <c r="K199" s="668">
        <v>0.24245691514137352</v>
      </c>
      <c r="L199" s="669">
        <v>0.47749581658529849</v>
      </c>
      <c r="M199" s="669">
        <v>0.30414143679449807</v>
      </c>
      <c r="N199" s="669">
        <v>0.25008194317456484</v>
      </c>
      <c r="O199" s="669">
        <v>1.2205162707517494</v>
      </c>
      <c r="P199" s="669">
        <v>0.65590767160625874</v>
      </c>
      <c r="Q199" s="669">
        <v>0.46907148320021164</v>
      </c>
      <c r="T199" s="171"/>
      <c r="U199" s="171"/>
    </row>
    <row r="200" spans="3:21" ht="15" customHeight="1" x14ac:dyDescent="0.15">
      <c r="C200" s="37"/>
      <c r="D200" s="41"/>
      <c r="E200" s="26"/>
      <c r="F200" s="313" t="s">
        <v>291</v>
      </c>
      <c r="I200" s="668">
        <v>0.45784670588438248</v>
      </c>
      <c r="J200" s="668">
        <v>0.29350895049482173</v>
      </c>
      <c r="K200" s="668">
        <v>0.24245691514137352</v>
      </c>
      <c r="L200" s="669">
        <v>0.47749581658529849</v>
      </c>
      <c r="M200" s="669">
        <v>0.30414143679449807</v>
      </c>
      <c r="N200" s="669">
        <v>0.25008194317456484</v>
      </c>
      <c r="O200" s="669">
        <v>1.2205162707517494</v>
      </c>
      <c r="P200" s="669">
        <v>0.65590767160625874</v>
      </c>
      <c r="Q200" s="669">
        <v>0.46907148320021164</v>
      </c>
      <c r="T200" s="171"/>
      <c r="U200" s="171"/>
    </row>
    <row r="201" spans="3:21" ht="15" customHeight="1" x14ac:dyDescent="0.15">
      <c r="C201" s="37"/>
      <c r="D201" s="41"/>
      <c r="E201" s="312" t="s">
        <v>293</v>
      </c>
      <c r="F201" s="313" t="s">
        <v>289</v>
      </c>
      <c r="I201" s="668">
        <v>0.45784670588438248</v>
      </c>
      <c r="J201" s="668">
        <v>0.29350895049482173</v>
      </c>
      <c r="K201" s="668">
        <v>0.24662020344908886</v>
      </c>
      <c r="L201" s="669">
        <v>0.47749581658529849</v>
      </c>
      <c r="M201" s="669">
        <v>0.30414143679449807</v>
      </c>
      <c r="N201" s="669">
        <v>0.25424523148228012</v>
      </c>
      <c r="O201" s="669">
        <v>1.2205162707517494</v>
      </c>
      <c r="P201" s="669">
        <v>0.65590767160625874</v>
      </c>
      <c r="Q201" s="669">
        <v>0.46953726545563274</v>
      </c>
      <c r="T201" s="171"/>
      <c r="U201" s="171"/>
    </row>
    <row r="202" spans="3:21" ht="15" customHeight="1" x14ac:dyDescent="0.15">
      <c r="C202" s="37"/>
      <c r="D202" s="41"/>
      <c r="E202" s="25"/>
      <c r="F202" s="313" t="s">
        <v>290</v>
      </c>
      <c r="I202" s="668">
        <v>0.44665930615695126</v>
      </c>
      <c r="J202" s="668">
        <v>0.28231867556828311</v>
      </c>
      <c r="K202" s="668">
        <v>0.23126951541394242</v>
      </c>
      <c r="L202" s="669">
        <v>0.46630841685786734</v>
      </c>
      <c r="M202" s="669">
        <v>0.29295116186795939</v>
      </c>
      <c r="N202" s="669">
        <v>0.23889454344713368</v>
      </c>
      <c r="O202" s="669">
        <v>1.2164104864261851</v>
      </c>
      <c r="P202" s="669">
        <v>0.6518018872806941</v>
      </c>
      <c r="Q202" s="669">
        <v>0.46496857407375453</v>
      </c>
      <c r="T202" s="171"/>
      <c r="U202" s="171"/>
    </row>
    <row r="203" spans="3:21" ht="15" customHeight="1" x14ac:dyDescent="0.15">
      <c r="C203" s="37"/>
      <c r="D203" s="41"/>
      <c r="E203" s="26"/>
      <c r="F203" s="313" t="s">
        <v>291</v>
      </c>
      <c r="I203" s="668">
        <v>0.43546615603130506</v>
      </c>
      <c r="J203" s="668">
        <v>0.28231867556828311</v>
      </c>
      <c r="K203" s="668">
        <v>0.22754038217146538</v>
      </c>
      <c r="L203" s="669">
        <v>0.45511526673222125</v>
      </c>
      <c r="M203" s="669">
        <v>0.29295116186795939</v>
      </c>
      <c r="N203" s="669">
        <v>0.23516253500554912</v>
      </c>
      <c r="O203" s="669">
        <v>1.2123075772997278</v>
      </c>
      <c r="P203" s="669">
        <v>0.6518018872806941</v>
      </c>
      <c r="Q203" s="669">
        <v>0.46360285449767397</v>
      </c>
      <c r="T203" s="171"/>
      <c r="U203" s="171"/>
    </row>
    <row r="204" spans="3:21" ht="15" customHeight="1" x14ac:dyDescent="0.15">
      <c r="C204" s="37"/>
      <c r="D204" s="41"/>
      <c r="E204" s="312" t="s">
        <v>289</v>
      </c>
      <c r="F204" s="313" t="s">
        <v>289</v>
      </c>
      <c r="I204" s="668">
        <v>0.43546615603130506</v>
      </c>
      <c r="J204" s="668">
        <v>0.27672353810501377</v>
      </c>
      <c r="K204" s="668">
        <v>0.23170079528007312</v>
      </c>
      <c r="L204" s="669">
        <v>0.45511526673222125</v>
      </c>
      <c r="M204" s="669">
        <v>0.28735602440468999</v>
      </c>
      <c r="N204" s="669">
        <v>0.23932582331326444</v>
      </c>
      <c r="O204" s="669">
        <v>1.2123075772997278</v>
      </c>
      <c r="P204" s="669">
        <v>0.64975187031701931</v>
      </c>
      <c r="Q204" s="669">
        <v>0.46406576155398754</v>
      </c>
      <c r="T204" s="171"/>
      <c r="U204" s="171"/>
    </row>
    <row r="205" spans="3:21" ht="15" customHeight="1" x14ac:dyDescent="0.15">
      <c r="C205" s="37"/>
      <c r="D205" s="41"/>
      <c r="E205" s="25"/>
      <c r="F205" s="313" t="s">
        <v>290</v>
      </c>
      <c r="I205" s="668">
        <v>0.43546615603130506</v>
      </c>
      <c r="J205" s="668">
        <v>0.27672353810501377</v>
      </c>
      <c r="K205" s="668">
        <v>0.22008211568651129</v>
      </c>
      <c r="L205" s="669">
        <v>0.45511526673222125</v>
      </c>
      <c r="M205" s="669">
        <v>0.28735602440468999</v>
      </c>
      <c r="N205" s="669">
        <v>0.2277071437197026</v>
      </c>
      <c r="O205" s="669">
        <v>1.2123075772997278</v>
      </c>
      <c r="P205" s="669">
        <v>0.64975187031701931</v>
      </c>
      <c r="Q205" s="669">
        <v>0.46086566494729753</v>
      </c>
      <c r="T205" s="171"/>
      <c r="U205" s="171"/>
    </row>
    <row r="206" spans="3:21" ht="15" customHeight="1" x14ac:dyDescent="0.15">
      <c r="C206" s="37"/>
      <c r="D206" s="41"/>
      <c r="E206" s="26"/>
      <c r="F206" s="313" t="s">
        <v>291</v>
      </c>
      <c r="I206" s="668">
        <v>0.43546615603130506</v>
      </c>
      <c r="J206" s="668">
        <v>0.27112840064174448</v>
      </c>
      <c r="K206" s="668">
        <v>0.22008211568651129</v>
      </c>
      <c r="L206" s="669">
        <v>0.45511526673222125</v>
      </c>
      <c r="M206" s="669">
        <v>0.28176088694142065</v>
      </c>
      <c r="N206" s="669">
        <v>0.2277071437197026</v>
      </c>
      <c r="O206" s="669">
        <v>1.2123075772997278</v>
      </c>
      <c r="P206" s="669">
        <v>0.64769610295512969</v>
      </c>
      <c r="Q206" s="669">
        <v>0.46086566494729753</v>
      </c>
      <c r="T206" s="171"/>
      <c r="U206" s="171"/>
    </row>
    <row r="207" spans="3:21" ht="15" customHeight="1" x14ac:dyDescent="0.15">
      <c r="C207" s="37"/>
      <c r="D207" s="41"/>
      <c r="E207" s="312" t="s">
        <v>290</v>
      </c>
      <c r="F207" s="313" t="s">
        <v>289</v>
      </c>
      <c r="I207" s="668">
        <v>0.43546615603130506</v>
      </c>
      <c r="J207" s="668">
        <v>0.27112840064174448</v>
      </c>
      <c r="K207" s="668">
        <v>0.22423965359601153</v>
      </c>
      <c r="L207" s="669">
        <v>0.45511526673222125</v>
      </c>
      <c r="M207" s="669">
        <v>0.28176088694142065</v>
      </c>
      <c r="N207" s="669">
        <v>0.23186468162920279</v>
      </c>
      <c r="O207" s="669">
        <v>1.2123075772997278</v>
      </c>
      <c r="P207" s="669">
        <v>0.64769610295512969</v>
      </c>
      <c r="Q207" s="669">
        <v>0.46132857200361127</v>
      </c>
      <c r="T207" s="171"/>
      <c r="U207" s="171"/>
    </row>
    <row r="208" spans="3:21" ht="15" customHeight="1" x14ac:dyDescent="0.15">
      <c r="C208" s="37"/>
      <c r="D208" s="41"/>
      <c r="E208" s="25"/>
      <c r="F208" s="313" t="s">
        <v>290</v>
      </c>
      <c r="I208" s="668">
        <v>0.43546615603130506</v>
      </c>
      <c r="J208" s="668">
        <v>0.27112840064174448</v>
      </c>
      <c r="K208" s="668">
        <v>0.21635010724492668</v>
      </c>
      <c r="L208" s="669">
        <v>0.45511526673222125</v>
      </c>
      <c r="M208" s="669">
        <v>0.28176088694142065</v>
      </c>
      <c r="N208" s="669">
        <v>0.22397513527811802</v>
      </c>
      <c r="O208" s="669">
        <v>1.2123075772997278</v>
      </c>
      <c r="P208" s="669">
        <v>0.64769610295512969</v>
      </c>
      <c r="Q208" s="669">
        <v>0.45949707017210939</v>
      </c>
      <c r="T208" s="171"/>
      <c r="U208" s="171"/>
    </row>
    <row r="209" spans="1:21" ht="15" customHeight="1" x14ac:dyDescent="0.15">
      <c r="C209" s="38"/>
      <c r="D209" s="42"/>
      <c r="E209" s="26"/>
      <c r="F209" s="313" t="s">
        <v>291</v>
      </c>
      <c r="I209" s="668">
        <v>0.43546615603130506</v>
      </c>
      <c r="J209" s="668">
        <v>0.27112840064174448</v>
      </c>
      <c r="K209" s="668">
        <v>0.21635010724492668</v>
      </c>
      <c r="L209" s="669">
        <v>0.45511526673222125</v>
      </c>
      <c r="M209" s="669">
        <v>0.28176088694142065</v>
      </c>
      <c r="N209" s="669">
        <v>0.22397513527811802</v>
      </c>
      <c r="O209" s="669">
        <v>1.2123075772997278</v>
      </c>
      <c r="P209" s="669">
        <v>0.64769610295512969</v>
      </c>
      <c r="Q209" s="669">
        <v>0.45949707017210939</v>
      </c>
      <c r="T209" s="171"/>
      <c r="U209" s="171"/>
    </row>
    <row r="210" spans="1:21" ht="15" customHeight="1" x14ac:dyDescent="0.15">
      <c r="T210" s="171"/>
      <c r="U210" s="171"/>
    </row>
    <row r="211" spans="1:21" ht="15" hidden="1" customHeight="1" x14ac:dyDescent="0.15">
      <c r="C211" s="316" t="s">
        <v>304</v>
      </c>
      <c r="E211" s="240"/>
      <c r="F211" s="240"/>
      <c r="H211" s="240"/>
      <c r="I211" s="240"/>
      <c r="T211" s="171"/>
      <c r="U211" s="171"/>
    </row>
    <row r="212" spans="1:21" ht="15" hidden="1" customHeight="1" x14ac:dyDescent="0.15">
      <c r="C212" s="240"/>
      <c r="D212" s="241" t="s">
        <v>33</v>
      </c>
      <c r="E212" s="242"/>
      <c r="F212" s="243">
        <v>10.99</v>
      </c>
      <c r="H212" s="243" t="s">
        <v>305</v>
      </c>
      <c r="I212" s="243" t="s">
        <v>305</v>
      </c>
      <c r="K212" s="173" t="s">
        <v>306</v>
      </c>
      <c r="L212" s="34">
        <v>20</v>
      </c>
      <c r="M212" s="173" t="s">
        <v>43</v>
      </c>
      <c r="T212" s="171"/>
      <c r="U212" s="171"/>
    </row>
    <row r="213" spans="1:21" ht="15" hidden="1" customHeight="1" x14ac:dyDescent="0.15">
      <c r="C213" s="240"/>
      <c r="D213" s="241" t="s">
        <v>34</v>
      </c>
      <c r="E213" s="242"/>
      <c r="F213" s="243">
        <v>5.09</v>
      </c>
      <c r="H213" s="243" t="s">
        <v>305</v>
      </c>
      <c r="I213" s="243" t="s">
        <v>305</v>
      </c>
      <c r="T213" s="171"/>
      <c r="U213" s="171"/>
    </row>
    <row r="214" spans="1:21" ht="15" hidden="1" customHeight="1" x14ac:dyDescent="0.15">
      <c r="C214" s="240"/>
      <c r="D214" s="241" t="s">
        <v>35</v>
      </c>
      <c r="E214" s="242"/>
      <c r="F214" s="243">
        <v>5.09</v>
      </c>
      <c r="H214" s="243" t="s">
        <v>305</v>
      </c>
      <c r="I214" s="243" t="s">
        <v>305</v>
      </c>
      <c r="T214" s="171"/>
      <c r="U214" s="171"/>
    </row>
    <row r="215" spans="1:21" ht="12.95" hidden="1" customHeight="1" x14ac:dyDescent="0.15">
      <c r="C215" s="240"/>
      <c r="D215" s="241" t="s">
        <v>307</v>
      </c>
      <c r="E215" s="242"/>
      <c r="F215" s="243">
        <v>5.09</v>
      </c>
      <c r="H215" s="243" t="s">
        <v>305</v>
      </c>
      <c r="I215" s="243" t="s">
        <v>305</v>
      </c>
      <c r="T215" s="171"/>
      <c r="U215" s="171"/>
    </row>
    <row r="216" spans="1:21" ht="15" hidden="1" customHeight="1" x14ac:dyDescent="0.15">
      <c r="T216" s="171"/>
      <c r="U216" s="171"/>
    </row>
    <row r="217" spans="1:21" s="514" customFormat="1" ht="15" hidden="1" customHeight="1" x14ac:dyDescent="0.25">
      <c r="A217" s="513"/>
      <c r="C217" s="515" t="s">
        <v>308</v>
      </c>
      <c r="T217" s="516"/>
    </row>
    <row r="218" spans="1:21" s="364" customFormat="1" ht="15" hidden="1" customHeight="1" x14ac:dyDescent="0.2">
      <c r="A218" s="517"/>
      <c r="C218" s="518" t="s">
        <v>80</v>
      </c>
      <c r="D218" s="519"/>
      <c r="E218" s="519" t="s">
        <v>309</v>
      </c>
      <c r="F218" s="520" t="s">
        <v>310</v>
      </c>
      <c r="G218" s="521"/>
      <c r="H218" s="519"/>
      <c r="I218" s="519"/>
      <c r="J218" s="522">
        <f>電気排出係数!D5*1000</f>
        <v>0.51200000000000001</v>
      </c>
      <c r="K218" s="523" t="str">
        <f>電気排出係数!B5</f>
        <v>その他</v>
      </c>
      <c r="L218" s="524"/>
      <c r="M218" s="524"/>
      <c r="N218" s="525" t="s">
        <v>311</v>
      </c>
      <c r="O218" s="524">
        <f>電気排出係数!E5*1000</f>
        <v>0</v>
      </c>
      <c r="P218" s="526" t="s">
        <v>312</v>
      </c>
      <c r="Q218" s="527"/>
      <c r="R218" s="521"/>
    </row>
    <row r="219" spans="1:21" s="364" customFormat="1" ht="15" hidden="1" customHeight="1" x14ac:dyDescent="0.2">
      <c r="A219" s="517"/>
      <c r="C219" s="528"/>
      <c r="D219" s="529"/>
      <c r="E219" s="519"/>
      <c r="F219" s="520" t="s">
        <v>58</v>
      </c>
      <c r="G219" s="521"/>
      <c r="H219" s="519"/>
      <c r="I219" s="519"/>
      <c r="J219" s="522">
        <f>J218/K219</f>
        <v>5.2459016393442623E-2</v>
      </c>
      <c r="K219" s="530">
        <v>9.76</v>
      </c>
      <c r="L219" s="531" t="s">
        <v>313</v>
      </c>
      <c r="M219" s="519"/>
      <c r="N219" s="519"/>
      <c r="O219" s="519"/>
      <c r="P219" s="519"/>
      <c r="Q219" s="532"/>
      <c r="R219" s="521"/>
    </row>
    <row r="220" spans="1:21" s="364" customFormat="1" ht="14.25" hidden="1" x14ac:dyDescent="0.2">
      <c r="A220" s="517"/>
      <c r="C220" s="528"/>
      <c r="D220" s="529"/>
      <c r="E220" s="519" t="s">
        <v>314</v>
      </c>
      <c r="F220" s="520" t="s">
        <v>58</v>
      </c>
      <c r="G220" s="521"/>
      <c r="H220" s="519"/>
      <c r="I220" s="519"/>
      <c r="J220" s="522">
        <v>4.9799999999999997E-2</v>
      </c>
      <c r="K220" s="530"/>
      <c r="L220" s="519"/>
      <c r="M220" s="519"/>
      <c r="N220" s="519"/>
      <c r="O220" s="519"/>
      <c r="P220" s="519"/>
      <c r="Q220" s="532"/>
      <c r="R220" s="521"/>
    </row>
    <row r="221" spans="1:21" s="364" customFormat="1" ht="14.25" hidden="1" x14ac:dyDescent="0.2">
      <c r="A221" s="517"/>
      <c r="C221" s="528"/>
      <c r="D221" s="529"/>
      <c r="E221" s="519" t="s">
        <v>315</v>
      </c>
      <c r="F221" s="520" t="s">
        <v>58</v>
      </c>
      <c r="G221" s="521"/>
      <c r="H221" s="519"/>
      <c r="I221" s="519"/>
      <c r="J221" s="522">
        <v>5.7000000000000002E-2</v>
      </c>
      <c r="K221" s="530"/>
      <c r="L221" s="519"/>
      <c r="M221" s="519"/>
      <c r="N221" s="519"/>
      <c r="O221" s="519"/>
      <c r="P221" s="519"/>
      <c r="Q221" s="532"/>
      <c r="R221" s="521"/>
    </row>
    <row r="222" spans="1:21" s="364" customFormat="1" ht="14.25" hidden="1" x14ac:dyDescent="0.2">
      <c r="A222" s="517"/>
      <c r="C222" s="528"/>
      <c r="D222" s="529"/>
      <c r="E222" s="519" t="s">
        <v>316</v>
      </c>
      <c r="F222" s="520" t="s">
        <v>58</v>
      </c>
      <c r="G222" s="521"/>
      <c r="H222" s="519"/>
      <c r="I222" s="519"/>
      <c r="J222" s="522">
        <v>6.7799999999999999E-2</v>
      </c>
      <c r="K222" s="530"/>
      <c r="L222" s="519"/>
      <c r="M222" s="519"/>
      <c r="N222" s="519"/>
      <c r="O222" s="519"/>
      <c r="P222" s="519"/>
      <c r="Q222" s="532"/>
      <c r="R222" s="521"/>
    </row>
    <row r="223" spans="1:21" s="364" customFormat="1" ht="14.25" hidden="1" x14ac:dyDescent="0.2">
      <c r="A223" s="517"/>
      <c r="C223" s="528"/>
      <c r="D223" s="529"/>
      <c r="E223" s="519" t="s">
        <v>317</v>
      </c>
      <c r="F223" s="520" t="s">
        <v>58</v>
      </c>
      <c r="G223" s="521"/>
      <c r="H223" s="519"/>
      <c r="I223" s="519"/>
      <c r="J223" s="522">
        <v>6.93E-2</v>
      </c>
      <c r="K223" s="530"/>
      <c r="L223" s="519"/>
      <c r="M223" s="519"/>
      <c r="N223" s="519"/>
      <c r="O223" s="519"/>
      <c r="P223" s="519"/>
      <c r="Q223" s="532"/>
      <c r="R223" s="521"/>
    </row>
    <row r="224" spans="1:21" s="364" customFormat="1" ht="14.25" hidden="1" x14ac:dyDescent="0.2">
      <c r="A224" s="517"/>
      <c r="C224" s="528"/>
      <c r="D224" s="529"/>
      <c r="E224" s="519" t="s">
        <v>318</v>
      </c>
      <c r="F224" s="520" t="s">
        <v>58</v>
      </c>
      <c r="G224" s="521"/>
      <c r="H224" s="519"/>
      <c r="I224" s="519"/>
      <c r="J224" s="522">
        <v>6.855E-2</v>
      </c>
      <c r="K224" s="533" t="s">
        <v>319</v>
      </c>
      <c r="L224" s="519"/>
      <c r="M224" s="519"/>
      <c r="N224" s="519"/>
      <c r="O224" s="519"/>
      <c r="P224" s="519"/>
      <c r="Q224" s="532"/>
      <c r="R224" s="521"/>
    </row>
    <row r="225" spans="1:27" s="364" customFormat="1" ht="14.25" hidden="1" x14ac:dyDescent="0.2">
      <c r="A225" s="517"/>
      <c r="C225" s="528"/>
      <c r="D225" s="529"/>
      <c r="E225" s="519" t="s">
        <v>320</v>
      </c>
      <c r="F225" s="520" t="s">
        <v>58</v>
      </c>
      <c r="G225" s="521"/>
      <c r="H225" s="519"/>
      <c r="I225" s="519"/>
      <c r="J225" s="522">
        <v>5.8999999999999997E-2</v>
      </c>
      <c r="K225" s="534"/>
      <c r="L225" s="535"/>
      <c r="M225" s="535"/>
      <c r="N225" s="535"/>
      <c r="O225" s="535"/>
      <c r="P225" s="535"/>
      <c r="Q225" s="536"/>
      <c r="R225" s="521"/>
    </row>
    <row r="226" spans="1:27" s="364" customFormat="1" hidden="1" x14ac:dyDescent="0.15">
      <c r="A226" s="517"/>
      <c r="C226" s="528"/>
      <c r="D226" s="529"/>
      <c r="E226" s="519"/>
      <c r="F226" s="519"/>
      <c r="G226" s="521"/>
      <c r="H226" s="519"/>
      <c r="I226" s="519"/>
      <c r="J226" s="537"/>
      <c r="K226" s="531"/>
      <c r="L226" s="519"/>
      <c r="M226" s="519"/>
      <c r="N226" s="519"/>
      <c r="O226" s="519"/>
      <c r="P226" s="519"/>
      <c r="Q226" s="519"/>
      <c r="R226" s="521"/>
    </row>
    <row r="227" spans="1:27" s="364" customFormat="1" ht="14.25" hidden="1" x14ac:dyDescent="0.2">
      <c r="A227" s="517"/>
      <c r="C227" s="528"/>
      <c r="D227" s="528" t="s">
        <v>321</v>
      </c>
      <c r="E227" s="519"/>
      <c r="F227" s="519"/>
      <c r="G227" s="521"/>
      <c r="H227" s="519"/>
      <c r="I227" s="519"/>
      <c r="J227" s="538" t="s">
        <v>322</v>
      </c>
      <c r="K227" s="539" t="s">
        <v>323</v>
      </c>
      <c r="L227" s="519"/>
      <c r="M227" s="519"/>
      <c r="N227" s="519"/>
      <c r="O227" s="519"/>
      <c r="P227" s="519"/>
      <c r="Q227" s="519"/>
      <c r="R227" s="521"/>
    </row>
    <row r="228" spans="1:27" s="364" customFormat="1" hidden="1" x14ac:dyDescent="0.15">
      <c r="A228" s="517"/>
      <c r="C228" s="528"/>
      <c r="D228" s="529"/>
      <c r="E228" s="519" t="s">
        <v>324</v>
      </c>
      <c r="F228" s="519"/>
      <c r="G228" s="521"/>
      <c r="H228" s="519"/>
      <c r="I228" s="519"/>
      <c r="J228" s="540">
        <v>0.51400000000000001</v>
      </c>
      <c r="K228" s="541">
        <f>J219*J228</f>
        <v>2.6963934426229508E-2</v>
      </c>
      <c r="L228" s="519"/>
      <c r="M228" s="519"/>
      <c r="N228" s="519"/>
      <c r="O228" s="519"/>
      <c r="P228" s="519"/>
      <c r="Q228" s="519"/>
      <c r="R228" s="521"/>
    </row>
    <row r="229" spans="1:27" s="364" customFormat="1" ht="13.5" hidden="1" customHeight="1" x14ac:dyDescent="0.15">
      <c r="A229" s="517"/>
      <c r="C229" s="528"/>
      <c r="D229" s="529"/>
      <c r="E229" s="519" t="s">
        <v>325</v>
      </c>
      <c r="F229" s="519"/>
      <c r="G229" s="521"/>
      <c r="H229" s="519"/>
      <c r="I229" s="519"/>
      <c r="J229" s="540">
        <v>0.215</v>
      </c>
      <c r="K229" s="541">
        <f t="shared" ref="K229:K233" si="96">J220*J229</f>
        <v>1.0707E-2</v>
      </c>
      <c r="L229" s="519"/>
      <c r="M229" s="519"/>
      <c r="N229" s="519"/>
      <c r="O229" s="519"/>
      <c r="P229" s="519"/>
      <c r="Q229" s="519"/>
      <c r="R229" s="521"/>
    </row>
    <row r="230" spans="1:27" s="364" customFormat="1" hidden="1" x14ac:dyDescent="0.15">
      <c r="A230" s="517"/>
      <c r="C230" s="528"/>
      <c r="D230" s="529"/>
      <c r="E230" s="519" t="s">
        <v>326</v>
      </c>
      <c r="F230" s="519"/>
      <c r="G230" s="521"/>
      <c r="H230" s="519"/>
      <c r="I230" s="519"/>
      <c r="J230" s="540">
        <v>0</v>
      </c>
      <c r="K230" s="541">
        <f t="shared" si="96"/>
        <v>0</v>
      </c>
      <c r="L230" s="519"/>
      <c r="M230" s="519"/>
      <c r="N230" s="519"/>
      <c r="O230" s="519"/>
      <c r="P230" s="519"/>
      <c r="Q230" s="519"/>
      <c r="R230" s="519"/>
    </row>
    <row r="231" spans="1:27" s="364" customFormat="1" hidden="1" x14ac:dyDescent="0.15">
      <c r="A231" s="517"/>
      <c r="C231" s="528"/>
      <c r="D231" s="529"/>
      <c r="E231" s="519" t="s">
        <v>327</v>
      </c>
      <c r="F231" s="519"/>
      <c r="G231" s="521"/>
      <c r="H231" s="519"/>
      <c r="I231" s="519"/>
      <c r="J231" s="540">
        <v>0.156</v>
      </c>
      <c r="K231" s="541">
        <f t="shared" si="96"/>
        <v>1.0576799999999999E-2</v>
      </c>
      <c r="L231" s="519"/>
      <c r="M231" s="519"/>
      <c r="N231" s="519"/>
      <c r="O231" s="519"/>
      <c r="P231" s="519"/>
      <c r="Q231" s="519"/>
      <c r="R231" s="519"/>
    </row>
    <row r="232" spans="1:27" s="364" customFormat="1" hidden="1" x14ac:dyDescent="0.15">
      <c r="A232" s="517"/>
      <c r="C232" s="528"/>
      <c r="D232" s="529"/>
      <c r="E232" s="519" t="s">
        <v>328</v>
      </c>
      <c r="F232" s="519"/>
      <c r="G232" s="521"/>
      <c r="H232" s="519"/>
      <c r="I232" s="519"/>
      <c r="J232" s="540">
        <v>0</v>
      </c>
      <c r="K232" s="541">
        <f t="shared" si="96"/>
        <v>0</v>
      </c>
      <c r="L232" s="519"/>
      <c r="M232" s="519"/>
      <c r="N232" s="519"/>
      <c r="O232" s="519"/>
      <c r="P232" s="519"/>
      <c r="Q232" s="519"/>
      <c r="R232" s="519"/>
    </row>
    <row r="233" spans="1:27" s="364" customFormat="1" hidden="1" x14ac:dyDescent="0.15">
      <c r="A233" s="517"/>
      <c r="C233" s="528"/>
      <c r="D233" s="529"/>
      <c r="E233" s="519" t="s">
        <v>123</v>
      </c>
      <c r="G233" s="521"/>
      <c r="J233" s="540">
        <v>0</v>
      </c>
      <c r="K233" s="541">
        <f t="shared" si="96"/>
        <v>0</v>
      </c>
      <c r="L233" s="519"/>
      <c r="M233" s="519"/>
      <c r="N233" s="519"/>
      <c r="O233" s="519"/>
      <c r="P233" s="519"/>
      <c r="Q233" s="519"/>
      <c r="R233" s="519"/>
    </row>
    <row r="234" spans="1:27" s="364" customFormat="1" hidden="1" x14ac:dyDescent="0.15">
      <c r="A234" s="517"/>
      <c r="C234" s="528"/>
      <c r="D234" s="529"/>
      <c r="E234" s="519" t="s">
        <v>320</v>
      </c>
      <c r="F234" s="519"/>
      <c r="G234" s="521"/>
      <c r="H234" s="519"/>
      <c r="I234" s="519"/>
      <c r="J234" s="540">
        <v>0.107</v>
      </c>
      <c r="K234" s="541">
        <f>J225*J234</f>
        <v>6.3129999999999992E-3</v>
      </c>
      <c r="L234" s="519"/>
      <c r="M234" s="519"/>
      <c r="N234" s="519"/>
      <c r="O234" s="519"/>
      <c r="P234" s="519"/>
      <c r="Q234" s="519"/>
      <c r="R234" s="519"/>
    </row>
    <row r="235" spans="1:27" s="364" customFormat="1" hidden="1" x14ac:dyDescent="0.15">
      <c r="A235" s="517"/>
      <c r="C235" s="528"/>
      <c r="D235" s="529"/>
      <c r="E235" s="519" t="s">
        <v>329</v>
      </c>
      <c r="F235" s="542"/>
      <c r="G235" s="543"/>
      <c r="H235" s="542"/>
      <c r="I235" s="542"/>
      <c r="J235" s="540">
        <v>7.0000000000000001E-3</v>
      </c>
      <c r="K235" s="541">
        <v>0</v>
      </c>
      <c r="L235" s="519"/>
      <c r="M235" s="519"/>
      <c r="N235" s="519"/>
      <c r="O235" s="519"/>
      <c r="P235" s="519"/>
      <c r="Q235" s="519"/>
      <c r="R235" s="519"/>
    </row>
    <row r="236" spans="1:27" s="364" customFormat="1" ht="14.25" hidden="1" x14ac:dyDescent="0.2">
      <c r="A236" s="517"/>
      <c r="C236" s="528"/>
      <c r="D236" s="529"/>
      <c r="E236" s="519"/>
      <c r="F236" s="519"/>
      <c r="G236" s="521"/>
      <c r="H236" s="519"/>
      <c r="I236" s="519"/>
      <c r="J236" s="520" t="s">
        <v>86</v>
      </c>
      <c r="K236" s="599">
        <f>SUM(K228:K235)</f>
        <v>5.4560734426229503E-2</v>
      </c>
      <c r="L236" s="519" t="s">
        <v>58</v>
      </c>
      <c r="M236" s="519"/>
      <c r="N236" s="519"/>
      <c r="O236" s="519"/>
      <c r="P236" s="519"/>
      <c r="Q236" s="519"/>
      <c r="R236" s="519"/>
    </row>
    <row r="237" spans="1:27" s="545" customFormat="1" ht="18" hidden="1" customHeight="1" thickBot="1" x14ac:dyDescent="0.2">
      <c r="A237" s="544"/>
      <c r="C237" s="480"/>
      <c r="D237" s="480"/>
      <c r="E237" s="480"/>
      <c r="F237" s="480"/>
      <c r="G237" s="600"/>
      <c r="H237" s="480"/>
      <c r="I237" s="480"/>
      <c r="J237" s="480"/>
      <c r="K237" s="480"/>
      <c r="L237" s="480"/>
      <c r="M237" s="480"/>
      <c r="N237" s="480"/>
      <c r="O237" s="480"/>
      <c r="P237" s="480"/>
      <c r="Q237" s="480"/>
      <c r="R237" s="480"/>
    </row>
    <row r="238" spans="1:27" customFormat="1" ht="18" hidden="1" customHeight="1" x14ac:dyDescent="0.15">
      <c r="C238" s="172"/>
      <c r="D238" s="272" t="s">
        <v>330</v>
      </c>
      <c r="E238" s="172"/>
      <c r="F238" s="172"/>
      <c r="H238" s="172"/>
      <c r="I238" s="172"/>
      <c r="J238" s="172"/>
      <c r="K238" s="172"/>
      <c r="L238" s="172"/>
      <c r="M238" s="172"/>
      <c r="N238" s="172"/>
      <c r="P238" s="172"/>
      <c r="Q238" s="244" t="s">
        <v>331</v>
      </c>
    </row>
    <row r="239" spans="1:27" customFormat="1" ht="18" hidden="1" customHeight="1" x14ac:dyDescent="0.15">
      <c r="C239" s="172"/>
      <c r="D239" s="245" t="s">
        <v>332</v>
      </c>
      <c r="E239" s="246"/>
      <c r="F239" s="247" t="s">
        <v>333</v>
      </c>
      <c r="G239" s="172"/>
      <c r="H239" s="247"/>
      <c r="I239" s="248" t="s">
        <v>334</v>
      </c>
      <c r="J239" s="245" t="s">
        <v>335</v>
      </c>
      <c r="K239" s="246"/>
      <c r="L239" s="246"/>
      <c r="M239" s="246"/>
      <c r="N239" s="246"/>
      <c r="O239" s="246"/>
      <c r="P239" s="249" t="s">
        <v>60</v>
      </c>
      <c r="Q239" s="250"/>
      <c r="T239" s="279" t="s">
        <v>336</v>
      </c>
      <c r="U239" s="276"/>
      <c r="V239" s="276"/>
      <c r="W239" s="276"/>
      <c r="X239" s="276"/>
      <c r="Y239" s="276"/>
      <c r="Z239" s="276"/>
      <c r="AA239" s="276"/>
    </row>
    <row r="240" spans="1:27" customFormat="1" ht="18" hidden="1" customHeight="1" x14ac:dyDescent="0.15">
      <c r="C240" s="172"/>
      <c r="D240" s="248" t="s">
        <v>337</v>
      </c>
      <c r="E240" s="248" t="s">
        <v>338</v>
      </c>
      <c r="F240" s="251" t="s">
        <v>339</v>
      </c>
      <c r="G240" s="172"/>
      <c r="H240" s="256">
        <v>1</v>
      </c>
      <c r="I240" s="247" t="e">
        <f>#REF!</f>
        <v>#REF!</v>
      </c>
      <c r="J240" s="248">
        <v>1</v>
      </c>
      <c r="K240" s="248">
        <v>2</v>
      </c>
      <c r="L240" s="248">
        <v>3</v>
      </c>
      <c r="M240" s="248">
        <v>4</v>
      </c>
      <c r="N240" s="248">
        <v>5</v>
      </c>
      <c r="O240" s="248">
        <v>6</v>
      </c>
      <c r="P240" s="248">
        <v>7</v>
      </c>
      <c r="Q240" s="248">
        <v>8</v>
      </c>
      <c r="T240" s="277">
        <v>1</v>
      </c>
      <c r="U240" s="277">
        <v>2</v>
      </c>
      <c r="V240" s="277">
        <v>3</v>
      </c>
      <c r="W240" s="277">
        <v>4</v>
      </c>
      <c r="X240" s="277">
        <v>5</v>
      </c>
      <c r="Y240" s="277">
        <v>6</v>
      </c>
      <c r="Z240" s="277">
        <v>7</v>
      </c>
      <c r="AA240" s="277">
        <v>8</v>
      </c>
    </row>
    <row r="241" spans="3:27" customFormat="1" ht="18" hidden="1" customHeight="1" x14ac:dyDescent="0.15">
      <c r="C241" s="172"/>
      <c r="D241" s="251"/>
      <c r="E241" s="172"/>
      <c r="F241" s="248" t="s">
        <v>9</v>
      </c>
      <c r="G241" s="248" t="s">
        <v>340</v>
      </c>
      <c r="H241" s="248">
        <v>2</v>
      </c>
      <c r="I241" s="252" t="e">
        <f t="shared" ref="I241:I258" si="97">HLOOKUP($I$240,$J$240:$Q$258,H241)</f>
        <v>#REF!</v>
      </c>
      <c r="J241" s="252">
        <v>1510</v>
      </c>
      <c r="K241" s="252">
        <v>1315</v>
      </c>
      <c r="L241" s="252">
        <v>1134</v>
      </c>
      <c r="M241" s="252">
        <v>1316</v>
      </c>
      <c r="N241" s="252">
        <v>1190</v>
      </c>
      <c r="O241" s="252">
        <v>1119</v>
      </c>
      <c r="P241" s="252">
        <v>985</v>
      </c>
      <c r="Q241" s="252">
        <v>937</v>
      </c>
      <c r="T241" s="278">
        <f t="shared" ref="T241:AA241" si="98">MAX(J241:J258)</f>
        <v>1777</v>
      </c>
      <c r="U241" s="278">
        <f t="shared" si="98"/>
        <v>1542</v>
      </c>
      <c r="V241" s="278">
        <f t="shared" si="98"/>
        <v>1325</v>
      </c>
      <c r="W241" s="278">
        <f t="shared" si="98"/>
        <v>1543</v>
      </c>
      <c r="X241" s="278">
        <f t="shared" si="98"/>
        <v>1393</v>
      </c>
      <c r="Y241" s="278">
        <f t="shared" si="98"/>
        <v>1308</v>
      </c>
      <c r="Z241" s="278">
        <f t="shared" si="98"/>
        <v>1147</v>
      </c>
      <c r="AA241" s="278">
        <f t="shared" si="98"/>
        <v>1089</v>
      </c>
    </row>
    <row r="242" spans="3:27" customFormat="1" ht="18" hidden="1" customHeight="1" x14ac:dyDescent="0.15">
      <c r="C242" s="172"/>
      <c r="D242" s="251" t="s">
        <v>341</v>
      </c>
      <c r="E242" s="172" t="s">
        <v>342</v>
      </c>
      <c r="F242" s="248" t="s">
        <v>343</v>
      </c>
      <c r="G242" s="248" t="s">
        <v>344</v>
      </c>
      <c r="H242" s="248">
        <v>3</v>
      </c>
      <c r="I242" s="252" t="e">
        <f t="shared" si="97"/>
        <v>#REF!</v>
      </c>
      <c r="J242" s="252">
        <v>1777</v>
      </c>
      <c r="K242" s="252">
        <v>1542</v>
      </c>
      <c r="L242" s="252">
        <v>1325</v>
      </c>
      <c r="M242" s="252">
        <v>1543</v>
      </c>
      <c r="N242" s="252">
        <v>1393</v>
      </c>
      <c r="O242" s="252">
        <v>1308</v>
      </c>
      <c r="P242" s="252">
        <v>1147</v>
      </c>
      <c r="Q242" s="252">
        <v>1089</v>
      </c>
      <c r="T242" s="274">
        <f>J241</f>
        <v>1510</v>
      </c>
      <c r="U242" s="274">
        <f>K241</f>
        <v>1315</v>
      </c>
      <c r="V242" s="274">
        <f>L247</f>
        <v>1069</v>
      </c>
      <c r="W242" s="274">
        <f>M247</f>
        <v>1218</v>
      </c>
      <c r="X242" s="274">
        <f>N247</f>
        <v>1080</v>
      </c>
      <c r="Y242" s="274">
        <f>O247</f>
        <v>1081</v>
      </c>
      <c r="Z242" s="274">
        <f>P247</f>
        <v>965</v>
      </c>
      <c r="AA242" s="274">
        <f>Q241</f>
        <v>937</v>
      </c>
    </row>
    <row r="243" spans="3:27" customFormat="1" ht="18" hidden="1" customHeight="1" x14ac:dyDescent="0.15">
      <c r="C243" s="172"/>
      <c r="D243" s="251"/>
      <c r="E243" s="172"/>
      <c r="F243" s="248" t="s">
        <v>137</v>
      </c>
      <c r="G243" s="248" t="s">
        <v>345</v>
      </c>
      <c r="H243" s="172">
        <v>4</v>
      </c>
      <c r="I243" s="252" t="e">
        <f t="shared" si="97"/>
        <v>#REF!</v>
      </c>
      <c r="J243" s="252">
        <v>1510</v>
      </c>
      <c r="K243" s="252">
        <v>1315</v>
      </c>
      <c r="L243" s="252">
        <v>1134</v>
      </c>
      <c r="M243" s="252">
        <v>1316</v>
      </c>
      <c r="N243" s="252">
        <v>1190</v>
      </c>
      <c r="O243" s="252">
        <v>1119</v>
      </c>
      <c r="P243" s="252">
        <v>985</v>
      </c>
      <c r="Q243" s="252">
        <v>937</v>
      </c>
    </row>
    <row r="244" spans="3:27" customFormat="1" ht="18" hidden="1" customHeight="1" x14ac:dyDescent="0.15">
      <c r="C244" s="172"/>
      <c r="D244" s="253"/>
      <c r="E244" s="247"/>
      <c r="F244" s="250" t="s">
        <v>9</v>
      </c>
      <c r="G244" s="248" t="s">
        <v>346</v>
      </c>
      <c r="H244" s="248">
        <v>5</v>
      </c>
      <c r="I244" s="252" t="e">
        <f t="shared" si="97"/>
        <v>#REF!</v>
      </c>
      <c r="J244" s="252">
        <v>1492</v>
      </c>
      <c r="K244" s="252">
        <v>1299</v>
      </c>
      <c r="L244" s="252">
        <v>1096</v>
      </c>
      <c r="M244" s="252">
        <v>1242</v>
      </c>
      <c r="N244" s="252">
        <v>1109</v>
      </c>
      <c r="O244" s="252">
        <v>926</v>
      </c>
      <c r="P244" s="252">
        <v>740</v>
      </c>
      <c r="Q244" s="252">
        <v>525</v>
      </c>
    </row>
    <row r="245" spans="3:27" customFormat="1" ht="18" hidden="1" customHeight="1" x14ac:dyDescent="0.15">
      <c r="C245" s="172"/>
      <c r="D245" s="254" t="s">
        <v>341</v>
      </c>
      <c r="E245" s="251" t="s">
        <v>347</v>
      </c>
      <c r="F245" s="250" t="s">
        <v>343</v>
      </c>
      <c r="G245" s="248" t="s">
        <v>348</v>
      </c>
      <c r="H245" s="248">
        <v>6</v>
      </c>
      <c r="I245" s="252" t="e">
        <f t="shared" si="97"/>
        <v>#REF!</v>
      </c>
      <c r="J245" s="252">
        <v>1755</v>
      </c>
      <c r="K245" s="252">
        <v>1523</v>
      </c>
      <c r="L245" s="252">
        <v>1279</v>
      </c>
      <c r="M245" s="252">
        <v>1455</v>
      </c>
      <c r="N245" s="252">
        <v>1295</v>
      </c>
      <c r="O245" s="252">
        <v>1076</v>
      </c>
      <c r="P245" s="252">
        <v>852</v>
      </c>
      <c r="Q245" s="252">
        <v>595</v>
      </c>
    </row>
    <row r="246" spans="3:27" customFormat="1" ht="18" hidden="1" customHeight="1" x14ac:dyDescent="0.15">
      <c r="C246" s="172"/>
      <c r="D246" s="255"/>
      <c r="E246" s="256"/>
      <c r="F246" s="248" t="s">
        <v>137</v>
      </c>
      <c r="G246" s="248" t="s">
        <v>349</v>
      </c>
      <c r="H246" s="172">
        <v>7</v>
      </c>
      <c r="I246" s="252" t="e">
        <f t="shared" si="97"/>
        <v>#REF!</v>
      </c>
      <c r="J246" s="252">
        <v>1492</v>
      </c>
      <c r="K246" s="252">
        <v>1299</v>
      </c>
      <c r="L246" s="252">
        <v>1096</v>
      </c>
      <c r="M246" s="252">
        <v>1242</v>
      </c>
      <c r="N246" s="252">
        <v>1109</v>
      </c>
      <c r="O246" s="252">
        <v>926</v>
      </c>
      <c r="P246" s="252">
        <v>740</v>
      </c>
      <c r="Q246" s="252">
        <v>525</v>
      </c>
    </row>
    <row r="247" spans="3:27" customFormat="1" ht="18" hidden="1" customHeight="1" x14ac:dyDescent="0.15">
      <c r="C247" s="172"/>
      <c r="D247" s="247"/>
      <c r="E247" s="247"/>
      <c r="F247" s="248" t="s">
        <v>9</v>
      </c>
      <c r="G247" s="248" t="s">
        <v>350</v>
      </c>
      <c r="H247" s="248">
        <v>8</v>
      </c>
      <c r="I247" s="252" t="e">
        <f t="shared" si="97"/>
        <v>#REF!</v>
      </c>
      <c r="J247" s="252">
        <v>1252</v>
      </c>
      <c r="K247" s="252">
        <v>1176</v>
      </c>
      <c r="L247" s="252">
        <v>1069</v>
      </c>
      <c r="M247" s="252">
        <v>1218</v>
      </c>
      <c r="N247" s="252">
        <v>1080</v>
      </c>
      <c r="O247" s="252">
        <v>1081</v>
      </c>
      <c r="P247" s="252">
        <v>965</v>
      </c>
      <c r="Q247" s="252">
        <v>937</v>
      </c>
    </row>
    <row r="248" spans="3:27" customFormat="1" ht="18" hidden="1" customHeight="1" x14ac:dyDescent="0.15">
      <c r="C248" s="172"/>
      <c r="D248" s="251" t="s">
        <v>351</v>
      </c>
      <c r="E248" s="251" t="s">
        <v>342</v>
      </c>
      <c r="F248" s="248" t="s">
        <v>343</v>
      </c>
      <c r="G248" s="248" t="s">
        <v>352</v>
      </c>
      <c r="H248" s="248">
        <v>9</v>
      </c>
      <c r="I248" s="252" t="e">
        <f t="shared" si="97"/>
        <v>#REF!</v>
      </c>
      <c r="J248" s="252">
        <v>1467</v>
      </c>
      <c r="K248" s="252">
        <v>1376</v>
      </c>
      <c r="L248" s="252">
        <v>1248</v>
      </c>
      <c r="M248" s="252">
        <v>1426</v>
      </c>
      <c r="N248" s="252">
        <v>1260</v>
      </c>
      <c r="O248" s="252">
        <v>1261</v>
      </c>
      <c r="P248" s="252">
        <v>1122</v>
      </c>
      <c r="Q248" s="252">
        <v>1089</v>
      </c>
    </row>
    <row r="249" spans="3:27" customFormat="1" ht="18" hidden="1" customHeight="1" x14ac:dyDescent="0.15">
      <c r="C249" s="172"/>
      <c r="D249" s="251"/>
      <c r="E249" s="251"/>
      <c r="F249" s="248" t="s">
        <v>137</v>
      </c>
      <c r="G249" s="248" t="s">
        <v>353</v>
      </c>
      <c r="H249" s="172">
        <v>10</v>
      </c>
      <c r="I249" s="252" t="e">
        <f t="shared" si="97"/>
        <v>#REF!</v>
      </c>
      <c r="J249" s="252">
        <v>1252</v>
      </c>
      <c r="K249" s="252">
        <v>1176</v>
      </c>
      <c r="L249" s="252">
        <v>1069</v>
      </c>
      <c r="M249" s="252">
        <v>1218</v>
      </c>
      <c r="N249" s="252">
        <v>1080</v>
      </c>
      <c r="O249" s="252">
        <v>1081</v>
      </c>
      <c r="P249" s="252">
        <v>965</v>
      </c>
      <c r="Q249" s="252">
        <v>937</v>
      </c>
    </row>
    <row r="250" spans="3:27" customFormat="1" ht="18" hidden="1" customHeight="1" x14ac:dyDescent="0.15">
      <c r="C250" s="172"/>
      <c r="D250" s="253"/>
      <c r="E250" s="247"/>
      <c r="F250" s="250" t="s">
        <v>9</v>
      </c>
      <c r="G250" s="248" t="s">
        <v>354</v>
      </c>
      <c r="H250" s="248">
        <v>11</v>
      </c>
      <c r="I250" s="252" t="e">
        <f t="shared" si="97"/>
        <v>#REF!</v>
      </c>
      <c r="J250" s="252">
        <v>1233</v>
      </c>
      <c r="K250" s="252">
        <v>1160</v>
      </c>
      <c r="L250" s="252">
        <v>1031</v>
      </c>
      <c r="M250" s="252">
        <v>1144</v>
      </c>
      <c r="N250" s="252">
        <v>998</v>
      </c>
      <c r="O250" s="252">
        <v>887</v>
      </c>
      <c r="P250" s="252">
        <v>720</v>
      </c>
      <c r="Q250" s="252">
        <v>525</v>
      </c>
    </row>
    <row r="251" spans="3:27" customFormat="1" ht="18" hidden="1" customHeight="1" x14ac:dyDescent="0.15">
      <c r="C251" s="172"/>
      <c r="D251" s="254" t="s">
        <v>351</v>
      </c>
      <c r="E251" s="251" t="s">
        <v>347</v>
      </c>
      <c r="F251" s="250" t="s">
        <v>343</v>
      </c>
      <c r="G251" s="248" t="s">
        <v>355</v>
      </c>
      <c r="H251" s="248">
        <v>12</v>
      </c>
      <c r="I251" s="252" t="e">
        <f t="shared" si="97"/>
        <v>#REF!</v>
      </c>
      <c r="J251" s="252">
        <v>1444</v>
      </c>
      <c r="K251" s="252">
        <v>1357</v>
      </c>
      <c r="L251" s="252">
        <v>1202</v>
      </c>
      <c r="M251" s="252">
        <v>1338</v>
      </c>
      <c r="N251" s="252">
        <v>1163</v>
      </c>
      <c r="O251" s="252">
        <v>1029</v>
      </c>
      <c r="P251" s="252">
        <v>828</v>
      </c>
      <c r="Q251" s="252">
        <v>595</v>
      </c>
    </row>
    <row r="252" spans="3:27" customFormat="1" ht="18" hidden="1" customHeight="1" x14ac:dyDescent="0.15">
      <c r="C252" s="172"/>
      <c r="D252" s="255"/>
      <c r="E252" s="256"/>
      <c r="F252" s="248" t="s">
        <v>137</v>
      </c>
      <c r="G252" s="248" t="s">
        <v>356</v>
      </c>
      <c r="H252" s="172">
        <v>13</v>
      </c>
      <c r="I252" s="252" t="e">
        <f t="shared" si="97"/>
        <v>#REF!</v>
      </c>
      <c r="J252" s="252">
        <v>1233</v>
      </c>
      <c r="K252" s="252">
        <v>1160</v>
      </c>
      <c r="L252" s="252">
        <v>1031</v>
      </c>
      <c r="M252" s="252">
        <v>1144</v>
      </c>
      <c r="N252" s="252">
        <v>998</v>
      </c>
      <c r="O252" s="252">
        <v>887</v>
      </c>
      <c r="P252" s="252">
        <v>720</v>
      </c>
      <c r="Q252" s="252">
        <v>525</v>
      </c>
    </row>
    <row r="253" spans="3:27" customFormat="1" ht="18" hidden="1" customHeight="1" x14ac:dyDescent="0.15">
      <c r="C253" s="172"/>
      <c r="D253" s="247"/>
      <c r="E253" s="257"/>
      <c r="F253" s="248" t="s">
        <v>9</v>
      </c>
      <c r="G253" s="248" t="s">
        <v>357</v>
      </c>
      <c r="H253" s="248">
        <v>14</v>
      </c>
      <c r="I253" s="252" t="e">
        <f t="shared" si="97"/>
        <v>#REF!</v>
      </c>
      <c r="J253" s="252">
        <v>957</v>
      </c>
      <c r="K253" s="252">
        <v>905</v>
      </c>
      <c r="L253" s="252">
        <v>839</v>
      </c>
      <c r="M253" s="252">
        <v>924</v>
      </c>
      <c r="N253" s="252">
        <v>813</v>
      </c>
      <c r="O253" s="252">
        <v>870</v>
      </c>
      <c r="P253" s="252">
        <v>848</v>
      </c>
      <c r="Q253" s="252">
        <v>937</v>
      </c>
    </row>
    <row r="254" spans="3:27" customFormat="1" ht="18" hidden="1" customHeight="1" x14ac:dyDescent="0.15">
      <c r="C254" s="172"/>
      <c r="D254" s="251" t="s">
        <v>358</v>
      </c>
      <c r="E254" s="258" t="s">
        <v>342</v>
      </c>
      <c r="F254" s="248" t="s">
        <v>343</v>
      </c>
      <c r="G254" s="248" t="s">
        <v>359</v>
      </c>
      <c r="H254" s="248">
        <v>15</v>
      </c>
      <c r="I254" s="252" t="e">
        <f t="shared" si="97"/>
        <v>#REF!</v>
      </c>
      <c r="J254" s="252">
        <v>1113</v>
      </c>
      <c r="K254" s="252">
        <v>1051</v>
      </c>
      <c r="L254" s="252">
        <v>972</v>
      </c>
      <c r="M254" s="252">
        <v>1073</v>
      </c>
      <c r="N254" s="252">
        <v>940</v>
      </c>
      <c r="O254" s="252">
        <v>1009</v>
      </c>
      <c r="P254" s="252">
        <v>983</v>
      </c>
      <c r="Q254" s="252">
        <v>1089</v>
      </c>
    </row>
    <row r="255" spans="3:27" customFormat="1" ht="18" hidden="1" customHeight="1" x14ac:dyDescent="0.15">
      <c r="C255" s="172"/>
      <c r="D255" s="251"/>
      <c r="E255" s="258"/>
      <c r="F255" s="248" t="s">
        <v>137</v>
      </c>
      <c r="G255" s="248" t="s">
        <v>360</v>
      </c>
      <c r="H255" s="172">
        <v>16</v>
      </c>
      <c r="I255" s="252" t="e">
        <f t="shared" si="97"/>
        <v>#REF!</v>
      </c>
      <c r="J255" s="252">
        <v>957</v>
      </c>
      <c r="K255" s="252">
        <v>905</v>
      </c>
      <c r="L255" s="252">
        <v>839</v>
      </c>
      <c r="M255" s="252">
        <v>924</v>
      </c>
      <c r="N255" s="252">
        <v>813</v>
      </c>
      <c r="O255" s="252">
        <v>870</v>
      </c>
      <c r="P255" s="252">
        <v>848</v>
      </c>
      <c r="Q255" s="252">
        <v>937</v>
      </c>
    </row>
    <row r="256" spans="3:27" customFormat="1" ht="18" hidden="1" customHeight="1" x14ac:dyDescent="0.15">
      <c r="C256" s="172"/>
      <c r="D256" s="253"/>
      <c r="E256" s="247"/>
      <c r="F256" s="250" t="s">
        <v>9</v>
      </c>
      <c r="G256" s="248" t="s">
        <v>361</v>
      </c>
      <c r="H256" s="248">
        <v>17</v>
      </c>
      <c r="I256" s="252" t="e">
        <f t="shared" si="97"/>
        <v>#REF!</v>
      </c>
      <c r="J256" s="252">
        <v>939</v>
      </c>
      <c r="K256" s="252">
        <v>889</v>
      </c>
      <c r="L256" s="252">
        <v>801</v>
      </c>
      <c r="M256" s="252">
        <v>850</v>
      </c>
      <c r="N256" s="252">
        <v>732</v>
      </c>
      <c r="O256" s="252">
        <v>677</v>
      </c>
      <c r="P256" s="252">
        <v>603</v>
      </c>
      <c r="Q256" s="252">
        <v>525</v>
      </c>
    </row>
    <row r="257" spans="3:18" customFormat="1" ht="18" hidden="1" customHeight="1" x14ac:dyDescent="0.15">
      <c r="C257" s="172"/>
      <c r="D257" s="254" t="s">
        <v>358</v>
      </c>
      <c r="E257" s="251" t="s">
        <v>347</v>
      </c>
      <c r="F257" s="250" t="s">
        <v>343</v>
      </c>
      <c r="G257" s="248" t="s">
        <v>362</v>
      </c>
      <c r="H257" s="248">
        <v>18</v>
      </c>
      <c r="I257" s="252" t="e">
        <f t="shared" si="97"/>
        <v>#REF!</v>
      </c>
      <c r="J257" s="252">
        <v>1091</v>
      </c>
      <c r="K257" s="252">
        <v>1031</v>
      </c>
      <c r="L257" s="252">
        <v>926</v>
      </c>
      <c r="M257" s="252">
        <v>985</v>
      </c>
      <c r="N257" s="252">
        <v>843</v>
      </c>
      <c r="O257" s="252">
        <v>777</v>
      </c>
      <c r="P257" s="252">
        <v>689</v>
      </c>
      <c r="Q257" s="252">
        <v>595</v>
      </c>
    </row>
    <row r="258" spans="3:18" customFormat="1" ht="18" hidden="1" customHeight="1" x14ac:dyDescent="0.15">
      <c r="C258" s="172"/>
      <c r="D258" s="255"/>
      <c r="E258" s="256"/>
      <c r="F258" s="248" t="s">
        <v>137</v>
      </c>
      <c r="G258" s="248" t="s">
        <v>363</v>
      </c>
      <c r="H258" s="248">
        <v>19</v>
      </c>
      <c r="I258" s="252" t="e">
        <f t="shared" si="97"/>
        <v>#REF!</v>
      </c>
      <c r="J258" s="252">
        <v>939</v>
      </c>
      <c r="K258" s="252">
        <v>889</v>
      </c>
      <c r="L258" s="252">
        <v>801</v>
      </c>
      <c r="M258" s="252">
        <v>850</v>
      </c>
      <c r="N258" s="252">
        <v>732</v>
      </c>
      <c r="O258" s="252">
        <v>677</v>
      </c>
      <c r="P258" s="252">
        <v>603</v>
      </c>
      <c r="Q258" s="252">
        <v>525</v>
      </c>
    </row>
    <row r="259" spans="3:18" customFormat="1" ht="18" hidden="1" customHeight="1" x14ac:dyDescent="0.15">
      <c r="C259" s="172"/>
      <c r="D259" s="259" t="e">
        <f>#REF!</f>
        <v>#REF!</v>
      </c>
      <c r="E259" s="259" t="e">
        <f>#REF!</f>
        <v>#REF!</v>
      </c>
      <c r="F259" s="280" t="e">
        <f>#REF!</f>
        <v>#REF!</v>
      </c>
      <c r="G259" s="275" t="str">
        <f>IFERROR(D259&amp;E259&amp;#REF!,"-")</f>
        <v>-</v>
      </c>
      <c r="H259" s="275" t="str">
        <f>IFERROR(VLOOKUP(G259,G241:H258,2,0),"-")</f>
        <v>-</v>
      </c>
      <c r="I259" s="274" t="e">
        <f>IF(H259="-",HLOOKUP($I$240,$T$240:$AA$242,2,FALSE),VLOOKUP(H259,$H$241:$I$258,2))</f>
        <v>#REF!</v>
      </c>
      <c r="J259" s="172"/>
      <c r="K259" s="172"/>
      <c r="L259" s="172"/>
      <c r="M259" s="172"/>
      <c r="N259" s="172"/>
      <c r="O259" s="172"/>
      <c r="P259" s="172"/>
      <c r="Q259" s="172"/>
    </row>
    <row r="260" spans="3:18" customFormat="1" ht="18" hidden="1" customHeight="1" x14ac:dyDescent="0.15">
      <c r="C260" s="172"/>
      <c r="D260" s="172"/>
      <c r="E260" s="172"/>
      <c r="F260" s="172"/>
      <c r="G260" s="172" t="e">
        <f>D259&amp;E259&amp;0</f>
        <v>#REF!</v>
      </c>
      <c r="H260" s="275" t="str">
        <f>IFERROR(VLOOKUP(G260,G241:H258,2,0),"-")</f>
        <v>-</v>
      </c>
      <c r="I260" s="274" t="e">
        <f>IF(H260="-",HLOOKUP($I$240,$T$240:$AA$242,3,FALSE),VLOOKUP(H260,$H$241:$I$258,2))</f>
        <v>#REF!</v>
      </c>
      <c r="J260" s="166"/>
      <c r="K260" s="166"/>
      <c r="L260" s="166"/>
      <c r="M260" s="166"/>
      <c r="N260" s="166"/>
      <c r="O260" s="166"/>
      <c r="P260" s="166"/>
      <c r="Q260" s="172"/>
    </row>
    <row r="261" spans="3:18" customFormat="1" ht="18" hidden="1" customHeight="1" x14ac:dyDescent="0.15">
      <c r="C261" s="29"/>
      <c r="D261" s="167"/>
      <c r="E261" s="35"/>
      <c r="F261" s="35"/>
      <c r="H261" s="35"/>
      <c r="I261" s="35"/>
      <c r="J261" s="239"/>
      <c r="K261" s="166"/>
      <c r="L261" s="35"/>
      <c r="M261" s="35"/>
      <c r="N261" s="35"/>
      <c r="O261" s="35"/>
      <c r="P261" s="35"/>
      <c r="Q261" s="35"/>
      <c r="R261" s="35"/>
    </row>
    <row r="262" spans="3:18" ht="18" customHeight="1" x14ac:dyDescent="0.25">
      <c r="C262" s="28" t="s">
        <v>364</v>
      </c>
    </row>
    <row r="263" spans="3:18" ht="4.9000000000000004" customHeight="1" x14ac:dyDescent="0.15">
      <c r="C263" s="18"/>
      <c r="F263" s="35"/>
    </row>
    <row r="264" spans="3:18" ht="15.6" customHeight="1" x14ac:dyDescent="0.15">
      <c r="C264" s="18"/>
    </row>
    <row r="265" spans="3:18" ht="15.6" customHeight="1" x14ac:dyDescent="0.15">
      <c r="I265" s="50" t="s">
        <v>18</v>
      </c>
      <c r="J265" s="48"/>
      <c r="K265" s="51"/>
      <c r="L265" s="50" t="s">
        <v>19</v>
      </c>
      <c r="M265" s="48"/>
      <c r="N265" s="51"/>
      <c r="O265" s="50" t="s">
        <v>20</v>
      </c>
      <c r="P265" s="48"/>
      <c r="Q265" s="51"/>
    </row>
    <row r="266" spans="3:18" ht="15.6" customHeight="1" x14ac:dyDescent="0.25">
      <c r="F266" s="46" t="s">
        <v>28</v>
      </c>
      <c r="H266" s="59"/>
      <c r="I266" s="52" t="s">
        <v>289</v>
      </c>
      <c r="J266" s="52" t="s">
        <v>290</v>
      </c>
      <c r="K266" s="52" t="s">
        <v>291</v>
      </c>
      <c r="L266" s="52" t="s">
        <v>289</v>
      </c>
      <c r="M266" s="52" t="s">
        <v>290</v>
      </c>
      <c r="N266" s="52" t="s">
        <v>291</v>
      </c>
      <c r="O266" s="52" t="s">
        <v>289</v>
      </c>
      <c r="P266" s="52" t="s">
        <v>290</v>
      </c>
      <c r="Q266" s="52" t="s">
        <v>291</v>
      </c>
    </row>
    <row r="267" spans="3:18" ht="15.6" customHeight="1" x14ac:dyDescent="0.15">
      <c r="C267" s="32" t="s">
        <v>27</v>
      </c>
      <c r="D267" s="32"/>
      <c r="F267" s="34"/>
      <c r="H267" s="17"/>
      <c r="I267" s="660">
        <v>30</v>
      </c>
      <c r="J267" s="660">
        <v>60</v>
      </c>
      <c r="K267" s="660">
        <v>90</v>
      </c>
      <c r="L267" s="660">
        <v>30</v>
      </c>
      <c r="M267" s="660">
        <v>60</v>
      </c>
      <c r="N267" s="660">
        <v>90</v>
      </c>
      <c r="O267" s="660">
        <v>30</v>
      </c>
      <c r="P267" s="660">
        <v>60</v>
      </c>
      <c r="Q267" s="660">
        <v>90</v>
      </c>
    </row>
    <row r="268" spans="3:18" ht="9" customHeight="1" x14ac:dyDescent="0.15">
      <c r="C268" s="33"/>
      <c r="D268" s="33"/>
      <c r="F268" s="21"/>
      <c r="H268" s="17"/>
      <c r="I268" s="661"/>
      <c r="J268" s="661"/>
      <c r="K268" s="661"/>
      <c r="L268" s="661"/>
      <c r="M268" s="661"/>
      <c r="N268" s="661"/>
      <c r="O268" s="661"/>
      <c r="P268" s="661"/>
      <c r="Q268" s="661"/>
    </row>
    <row r="269" spans="3:18" ht="16.5" x14ac:dyDescent="0.25">
      <c r="D269" s="32"/>
      <c r="H269" s="17"/>
      <c r="I269" s="162" t="s">
        <v>288</v>
      </c>
      <c r="J269" s="662"/>
      <c r="K269" s="662"/>
      <c r="L269" s="662"/>
      <c r="M269" s="662"/>
      <c r="N269" s="662"/>
      <c r="O269" s="662"/>
      <c r="P269" s="662"/>
      <c r="Q269" s="663"/>
    </row>
    <row r="270" spans="3:18" ht="35.25" customHeight="1" x14ac:dyDescent="0.25">
      <c r="C270" s="61" t="s">
        <v>365</v>
      </c>
      <c r="D270" s="32"/>
      <c r="F270" s="60" t="s">
        <v>366</v>
      </c>
      <c r="I270" s="62" t="s">
        <v>289</v>
      </c>
      <c r="J270" s="62" t="s">
        <v>290</v>
      </c>
      <c r="K270" s="62" t="s">
        <v>291</v>
      </c>
      <c r="L270" s="62" t="s">
        <v>289</v>
      </c>
      <c r="M270" s="62" t="s">
        <v>290</v>
      </c>
      <c r="N270" s="62" t="s">
        <v>291</v>
      </c>
      <c r="O270" s="62" t="s">
        <v>289</v>
      </c>
      <c r="P270" s="62" t="s">
        <v>290</v>
      </c>
      <c r="Q270" s="62" t="s">
        <v>291</v>
      </c>
    </row>
    <row r="271" spans="3:18" x14ac:dyDescent="0.15">
      <c r="F271" s="63">
        <v>1</v>
      </c>
      <c r="H271" s="17"/>
      <c r="I271" s="664">
        <v>11</v>
      </c>
      <c r="J271" s="664">
        <v>11</v>
      </c>
      <c r="K271" s="664">
        <v>11</v>
      </c>
      <c r="L271" s="664">
        <v>11</v>
      </c>
      <c r="M271" s="664">
        <v>11</v>
      </c>
      <c r="N271" s="664">
        <v>11</v>
      </c>
      <c r="O271" s="664">
        <v>11</v>
      </c>
      <c r="P271" s="664">
        <v>11</v>
      </c>
      <c r="Q271" s="664">
        <v>11</v>
      </c>
    </row>
    <row r="272" spans="3:18" x14ac:dyDescent="0.15">
      <c r="D272" s="32"/>
      <c r="F272" s="63">
        <v>2</v>
      </c>
      <c r="H272" s="17"/>
      <c r="I272" s="664">
        <v>12</v>
      </c>
      <c r="J272" s="664">
        <v>18</v>
      </c>
      <c r="K272" s="664">
        <v>24</v>
      </c>
      <c r="L272" s="664">
        <v>12</v>
      </c>
      <c r="M272" s="664">
        <v>18</v>
      </c>
      <c r="N272" s="664">
        <v>24</v>
      </c>
      <c r="O272" s="664">
        <v>12</v>
      </c>
      <c r="P272" s="664">
        <v>18</v>
      </c>
      <c r="Q272" s="664">
        <v>24</v>
      </c>
    </row>
    <row r="273" spans="4:17" x14ac:dyDescent="0.15">
      <c r="D273" s="32"/>
      <c r="F273" s="63">
        <v>3</v>
      </c>
      <c r="H273" s="17"/>
      <c r="I273" s="664">
        <v>25</v>
      </c>
      <c r="J273" s="664">
        <v>37</v>
      </c>
      <c r="K273" s="664">
        <v>49</v>
      </c>
      <c r="L273" s="664">
        <v>25</v>
      </c>
      <c r="M273" s="664">
        <v>37</v>
      </c>
      <c r="N273" s="664">
        <v>49</v>
      </c>
      <c r="O273" s="664">
        <v>25</v>
      </c>
      <c r="P273" s="664">
        <v>37</v>
      </c>
      <c r="Q273" s="664">
        <v>49</v>
      </c>
    </row>
    <row r="274" spans="4:17" x14ac:dyDescent="0.15">
      <c r="D274" s="32"/>
      <c r="F274" s="63">
        <v>4</v>
      </c>
      <c r="H274" s="17"/>
      <c r="I274" s="664">
        <v>50</v>
      </c>
      <c r="J274" s="664">
        <v>75</v>
      </c>
      <c r="K274" s="664">
        <v>100</v>
      </c>
      <c r="L274" s="664">
        <v>50</v>
      </c>
      <c r="M274" s="664">
        <v>75</v>
      </c>
      <c r="N274" s="664">
        <v>100</v>
      </c>
      <c r="O274" s="664">
        <v>50</v>
      </c>
      <c r="P274" s="664">
        <v>75</v>
      </c>
      <c r="Q274" s="664">
        <v>100</v>
      </c>
    </row>
    <row r="275" spans="4:17" x14ac:dyDescent="0.15">
      <c r="D275" s="32"/>
      <c r="F275" s="63">
        <v>5</v>
      </c>
      <c r="H275" s="17"/>
      <c r="I275" s="664">
        <v>50</v>
      </c>
      <c r="J275" s="664">
        <v>75</v>
      </c>
      <c r="K275" s="664">
        <v>100</v>
      </c>
      <c r="L275" s="664">
        <v>50</v>
      </c>
      <c r="M275" s="664">
        <v>75</v>
      </c>
      <c r="N275" s="664">
        <v>100</v>
      </c>
      <c r="O275" s="664">
        <v>50</v>
      </c>
      <c r="P275" s="664">
        <v>75</v>
      </c>
      <c r="Q275" s="664">
        <v>100</v>
      </c>
    </row>
    <row r="276" spans="4:17" ht="4.9000000000000004" customHeight="1" x14ac:dyDescent="0.15">
      <c r="D276" s="32"/>
      <c r="E276" s="32"/>
      <c r="F276" s="32"/>
      <c r="G276" s="32"/>
      <c r="H276" s="32"/>
      <c r="I276" s="32"/>
      <c r="J276" s="32"/>
      <c r="K276" s="32"/>
      <c r="L276" s="32"/>
      <c r="M276" s="32"/>
      <c r="N276" s="32"/>
      <c r="O276" s="32"/>
      <c r="P276" s="32"/>
      <c r="Q276" s="32"/>
    </row>
    <row r="277" spans="4:17" ht="9" hidden="1" customHeight="1" x14ac:dyDescent="0.15"/>
    <row r="278" spans="4:17" hidden="1" x14ac:dyDescent="0.15"/>
    <row r="279" spans="4:17" hidden="1" x14ac:dyDescent="0.15"/>
    <row r="280" spans="4:17" hidden="1" x14ac:dyDescent="0.15"/>
    <row r="281" spans="4:17" hidden="1" x14ac:dyDescent="0.15"/>
    <row r="282" spans="4:17" hidden="1" x14ac:dyDescent="0.15"/>
    <row r="283" spans="4:17" hidden="1" x14ac:dyDescent="0.15"/>
    <row r="284" spans="4:17" hidden="1" x14ac:dyDescent="0.15"/>
    <row r="285" spans="4:17" hidden="1" x14ac:dyDescent="0.15"/>
    <row r="286" spans="4:17" hidden="1" x14ac:dyDescent="0.15"/>
    <row r="287" spans="4:17" hidden="1" x14ac:dyDescent="0.15"/>
    <row r="288" spans="4:17"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sheetData>
  <sheetProtection algorithmName="SHA-512" hashValue="BOp9QPjGo4u/iLjvRPty5xEvTNXYert3+1Oz0rS0UhKk1UEeRD8nHMDfcWn9oMaQcyRvgg1sIvgMb07sN9r8Ww==" saltValue="mLPECuQSLUDhVYEB63D/mA==" spinCount="100000" sheet="1" objects="1" scenarios="1"/>
  <phoneticPr fontId="4"/>
  <conditionalFormatting sqref="F4 F56">
    <cfRule type="cellIs" dxfId="17" priority="7" stopIfTrue="1" operator="equal">
      <formula>5</formula>
    </cfRule>
    <cfRule type="cellIs" dxfId="16" priority="8" stopIfTrue="1" operator="equal">
      <formula>4</formula>
    </cfRule>
    <cfRule type="cellIs" dxfId="15" priority="9" stopIfTrue="1" operator="equal">
      <formula>2</formula>
    </cfRule>
  </conditionalFormatting>
  <conditionalFormatting sqref="F108">
    <cfRule type="cellIs" dxfId="14" priority="4" stopIfTrue="1" operator="equal">
      <formula>5</formula>
    </cfRule>
    <cfRule type="cellIs" dxfId="13" priority="5" stopIfTrue="1" operator="equal">
      <formula>4</formula>
    </cfRule>
    <cfRule type="cellIs" dxfId="12" priority="6" stopIfTrue="1" operator="equal">
      <formula>2</formula>
    </cfRule>
  </conditionalFormatting>
  <conditionalFormatting sqref="F160">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78740157480314965" top="0.78740157480314965" bottom="0.78740157480314965" header="0.51181102362204722" footer="0.51181102362204722"/>
  <pageSetup paperSize="9" scale="69" fitToHeight="0" orientation="portrait" horizontalDpi="300" verticalDpi="300" r:id="rId1"/>
  <headerFooter alignWithMargins="0">
    <oddHeader>&amp;L&amp;F&amp;R&amp;A</oddHeader>
    <oddFooter>&amp;C&amp;P/&amp;N</oddFooter>
  </headerFooter>
  <rowBreaks count="4" manualBreakCount="4">
    <brk id="54" max="17" man="1"/>
    <brk id="106" max="17" man="1"/>
    <brk id="158" max="17" man="1"/>
    <brk id="210" max="17" man="1"/>
  </rowBreaks>
  <ignoredErrors>
    <ignoredError sqref="T241:AA24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W341"/>
  <sheetViews>
    <sheetView showGridLines="0" view="pageBreakPreview" zoomScale="90" zoomScaleNormal="100" zoomScaleSheetLayoutView="90" workbookViewId="0">
      <selection activeCell="K1" sqref="K1"/>
    </sheetView>
  </sheetViews>
  <sheetFormatPr defaultColWidth="0" defaultRowHeight="13.5" customHeight="1" zeroHeight="1" x14ac:dyDescent="0.15"/>
  <cols>
    <col min="1" max="2" width="1.5" style="20" customWidth="1"/>
    <col min="3" max="3" width="2.75" style="20" customWidth="1"/>
    <col min="4" max="4" width="8.5" style="20" customWidth="1"/>
    <col min="5" max="5" width="13.75" style="20" customWidth="1"/>
    <col min="6" max="6" width="14.25" style="20" customWidth="1"/>
    <col min="7" max="7" width="4.625" style="20" hidden="1" customWidth="1"/>
    <col min="8" max="8" width="9.375" style="20" hidden="1" customWidth="1"/>
    <col min="9" max="17" width="9.25" style="20" customWidth="1"/>
    <col min="18" max="18" width="2.625" style="20" customWidth="1"/>
    <col min="19" max="19" width="9.625" style="20" hidden="1" customWidth="1"/>
    <col min="20" max="20" width="11.125" style="20" hidden="1" customWidth="1"/>
    <col min="21" max="27" width="5.875" style="20" hidden="1" customWidth="1"/>
    <col min="28" max="249" width="8.875" style="20" hidden="1" customWidth="1"/>
    <col min="250" max="16377" width="9" style="20" hidden="1" customWidth="1"/>
    <col min="16378" max="16384" width="0" style="20" hidden="1" customWidth="1"/>
  </cols>
  <sheetData>
    <row r="1" spans="2:17" ht="23.25" x14ac:dyDescent="0.35">
      <c r="B1" s="45" t="s">
        <v>283</v>
      </c>
    </row>
    <row r="2" spans="2:17" ht="18" customHeight="1" x14ac:dyDescent="0.15">
      <c r="B2" s="28"/>
    </row>
    <row r="3" spans="2:17" ht="16.5" x14ac:dyDescent="0.25">
      <c r="C3" s="29" t="s">
        <v>284</v>
      </c>
      <c r="D3" s="29"/>
      <c r="I3" s="46" t="s">
        <v>28</v>
      </c>
      <c r="J3" s="47"/>
      <c r="K3" s="47"/>
      <c r="L3" s="48"/>
      <c r="M3" s="48"/>
      <c r="N3" s="48"/>
      <c r="O3" s="48"/>
      <c r="P3" s="48"/>
      <c r="Q3" s="49"/>
    </row>
    <row r="4" spans="2:17" x14ac:dyDescent="0.15">
      <c r="C4" s="21"/>
      <c r="D4" s="21"/>
      <c r="E4" s="21"/>
      <c r="F4" s="13" t="s">
        <v>367</v>
      </c>
      <c r="H4" s="21"/>
      <c r="I4" s="50" t="s">
        <v>18</v>
      </c>
      <c r="J4" s="48"/>
      <c r="K4" s="51"/>
      <c r="L4" s="50" t="s">
        <v>19</v>
      </c>
      <c r="M4" s="48"/>
      <c r="N4" s="51"/>
      <c r="O4" s="50" t="s">
        <v>20</v>
      </c>
      <c r="P4" s="48"/>
      <c r="Q4" s="51"/>
    </row>
    <row r="5" spans="2:17" ht="16.5" x14ac:dyDescent="0.25">
      <c r="C5" s="36" t="s">
        <v>286</v>
      </c>
      <c r="D5" s="39"/>
      <c r="E5" s="27" t="s">
        <v>287</v>
      </c>
      <c r="F5" s="22" t="s">
        <v>288</v>
      </c>
      <c r="H5" s="23"/>
      <c r="I5" s="52" t="s">
        <v>289</v>
      </c>
      <c r="J5" s="52" t="s">
        <v>290</v>
      </c>
      <c r="K5" s="52" t="s">
        <v>291</v>
      </c>
      <c r="L5" s="52" t="s">
        <v>289</v>
      </c>
      <c r="M5" s="52" t="s">
        <v>290</v>
      </c>
      <c r="N5" s="52" t="s">
        <v>291</v>
      </c>
      <c r="O5" s="52" t="s">
        <v>289</v>
      </c>
      <c r="P5" s="52" t="s">
        <v>290</v>
      </c>
      <c r="Q5" s="52" t="s">
        <v>291</v>
      </c>
    </row>
    <row r="6" spans="2:17" x14ac:dyDescent="0.15">
      <c r="C6" s="43" t="s">
        <v>292</v>
      </c>
      <c r="D6" s="40"/>
      <c r="E6" s="24" t="s">
        <v>292</v>
      </c>
      <c r="F6" s="23" t="s">
        <v>289</v>
      </c>
      <c r="H6" s="23">
        <v>113</v>
      </c>
      <c r="I6" s="674">
        <v>190.17069034496882</v>
      </c>
      <c r="J6" s="674">
        <v>95.085345172484409</v>
      </c>
      <c r="K6" s="674">
        <v>63.390230114989592</v>
      </c>
      <c r="L6" s="674">
        <v>194.248106518746</v>
      </c>
      <c r="M6" s="674">
        <v>97.124053259372999</v>
      </c>
      <c r="N6" s="674">
        <v>64.749368839582004</v>
      </c>
      <c r="O6" s="674">
        <v>192.12785010838186</v>
      </c>
      <c r="P6" s="674">
        <v>96.063925054190932</v>
      </c>
      <c r="Q6" s="674">
        <v>64.042616702793964</v>
      </c>
    </row>
    <row r="7" spans="2:17" x14ac:dyDescent="0.15">
      <c r="C7" s="37"/>
      <c r="D7" s="41"/>
      <c r="E7" s="25"/>
      <c r="F7" s="23" t="s">
        <v>290</v>
      </c>
      <c r="H7" s="23">
        <v>114</v>
      </c>
      <c r="I7" s="674">
        <v>190.17069034496882</v>
      </c>
      <c r="J7" s="674">
        <v>95.085345172484409</v>
      </c>
      <c r="K7" s="674">
        <v>63.390230114989592</v>
      </c>
      <c r="L7" s="674">
        <v>194.248106518746</v>
      </c>
      <c r="M7" s="674">
        <v>97.124053259372999</v>
      </c>
      <c r="N7" s="674">
        <v>64.749368839582004</v>
      </c>
      <c r="O7" s="674">
        <v>192.12785010838186</v>
      </c>
      <c r="P7" s="674">
        <v>96.063925054190932</v>
      </c>
      <c r="Q7" s="674">
        <v>64.042616702793964</v>
      </c>
    </row>
    <row r="8" spans="2:17" x14ac:dyDescent="0.15">
      <c r="C8" s="37"/>
      <c r="D8" s="41"/>
      <c r="E8" s="26"/>
      <c r="F8" s="23" t="s">
        <v>291</v>
      </c>
      <c r="H8" s="23">
        <v>115</v>
      </c>
      <c r="I8" s="674">
        <v>190.17069034496882</v>
      </c>
      <c r="J8" s="674">
        <v>95.085345172484409</v>
      </c>
      <c r="K8" s="674">
        <v>63.390230114989592</v>
      </c>
      <c r="L8" s="674">
        <v>194.248106518746</v>
      </c>
      <c r="M8" s="674">
        <v>97.124053259372999</v>
      </c>
      <c r="N8" s="674">
        <v>64.749368839582004</v>
      </c>
      <c r="O8" s="674">
        <v>192.12785010838186</v>
      </c>
      <c r="P8" s="674">
        <v>96.063925054190932</v>
      </c>
      <c r="Q8" s="674">
        <v>64.042616702793964</v>
      </c>
    </row>
    <row r="9" spans="2:17" x14ac:dyDescent="0.15">
      <c r="C9" s="37"/>
      <c r="D9" s="41"/>
      <c r="E9" s="24" t="s">
        <v>293</v>
      </c>
      <c r="F9" s="23" t="s">
        <v>289</v>
      </c>
      <c r="H9" s="23">
        <v>123</v>
      </c>
      <c r="I9" s="674">
        <v>190.17069034496882</v>
      </c>
      <c r="J9" s="674">
        <v>95.085345172484409</v>
      </c>
      <c r="K9" s="674">
        <v>63.390230114989592</v>
      </c>
      <c r="L9" s="674">
        <v>194.248106518746</v>
      </c>
      <c r="M9" s="674">
        <v>97.124053259372999</v>
      </c>
      <c r="N9" s="674">
        <v>64.749368839582004</v>
      </c>
      <c r="O9" s="674">
        <v>192.12785010838186</v>
      </c>
      <c r="P9" s="674">
        <v>96.063925054190932</v>
      </c>
      <c r="Q9" s="674">
        <v>64.042616702793964</v>
      </c>
    </row>
    <row r="10" spans="2:17" x14ac:dyDescent="0.15">
      <c r="C10" s="37"/>
      <c r="D10" s="41"/>
      <c r="E10" s="25"/>
      <c r="F10" s="23" t="s">
        <v>290</v>
      </c>
      <c r="H10" s="23">
        <v>124</v>
      </c>
      <c r="I10" s="674">
        <v>190.17069034496882</v>
      </c>
      <c r="J10" s="674">
        <v>95.085345172484409</v>
      </c>
      <c r="K10" s="674">
        <v>63.390230114989592</v>
      </c>
      <c r="L10" s="674">
        <v>194.248106518746</v>
      </c>
      <c r="M10" s="674">
        <v>97.124053259372999</v>
      </c>
      <c r="N10" s="674">
        <v>64.749368839582004</v>
      </c>
      <c r="O10" s="674">
        <v>192.12785010838186</v>
      </c>
      <c r="P10" s="674">
        <v>96.063925054190932</v>
      </c>
      <c r="Q10" s="674">
        <v>64.042616702793964</v>
      </c>
    </row>
    <row r="11" spans="2:17" x14ac:dyDescent="0.15">
      <c r="C11" s="37"/>
      <c r="D11" s="41"/>
      <c r="E11" s="26"/>
      <c r="F11" s="23" t="s">
        <v>291</v>
      </c>
      <c r="H11" s="23">
        <v>125</v>
      </c>
      <c r="I11" s="674">
        <v>190.17069034496882</v>
      </c>
      <c r="J11" s="674">
        <v>95.085345172484409</v>
      </c>
      <c r="K11" s="674">
        <v>63.390230114989592</v>
      </c>
      <c r="L11" s="674">
        <v>194.248106518746</v>
      </c>
      <c r="M11" s="674">
        <v>97.124053259372999</v>
      </c>
      <c r="N11" s="674">
        <v>64.749368839582004</v>
      </c>
      <c r="O11" s="674">
        <v>192.12785010838186</v>
      </c>
      <c r="P11" s="674">
        <v>96.063925054190932</v>
      </c>
      <c r="Q11" s="674">
        <v>64.042616702793964</v>
      </c>
    </row>
    <row r="12" spans="2:17" x14ac:dyDescent="0.15">
      <c r="C12" s="37"/>
      <c r="D12" s="41"/>
      <c r="E12" s="24" t="s">
        <v>289</v>
      </c>
      <c r="F12" s="23" t="s">
        <v>289</v>
      </c>
      <c r="H12" s="23">
        <v>133</v>
      </c>
      <c r="I12" s="674">
        <v>190.17069034496882</v>
      </c>
      <c r="J12" s="674">
        <v>95.085345172484409</v>
      </c>
      <c r="K12" s="674">
        <v>63.390230114989592</v>
      </c>
      <c r="L12" s="674">
        <v>194.248106518746</v>
      </c>
      <c r="M12" s="674">
        <v>97.124053259372999</v>
      </c>
      <c r="N12" s="674">
        <v>64.749368839582004</v>
      </c>
      <c r="O12" s="674">
        <v>192.12785010838186</v>
      </c>
      <c r="P12" s="674">
        <v>96.063925054190932</v>
      </c>
      <c r="Q12" s="674">
        <v>64.042616702793964</v>
      </c>
    </row>
    <row r="13" spans="2:17" x14ac:dyDescent="0.15">
      <c r="C13" s="37"/>
      <c r="D13" s="41"/>
      <c r="E13" s="25"/>
      <c r="F13" s="23" t="s">
        <v>290</v>
      </c>
      <c r="H13" s="23">
        <v>134</v>
      </c>
      <c r="I13" s="674">
        <v>190.17069034496882</v>
      </c>
      <c r="J13" s="674">
        <v>95.085345172484409</v>
      </c>
      <c r="K13" s="674">
        <v>63.390230114989592</v>
      </c>
      <c r="L13" s="674">
        <v>194.248106518746</v>
      </c>
      <c r="M13" s="674">
        <v>97.124053259372999</v>
      </c>
      <c r="N13" s="674">
        <v>64.749368839582004</v>
      </c>
      <c r="O13" s="674">
        <v>192.12785010838186</v>
      </c>
      <c r="P13" s="674">
        <v>96.063925054190932</v>
      </c>
      <c r="Q13" s="674">
        <v>64.042616702793964</v>
      </c>
    </row>
    <row r="14" spans="2:17" x14ac:dyDescent="0.15">
      <c r="C14" s="37"/>
      <c r="D14" s="41"/>
      <c r="E14" s="26"/>
      <c r="F14" s="23" t="s">
        <v>291</v>
      </c>
      <c r="H14" s="23">
        <v>135</v>
      </c>
      <c r="I14" s="674">
        <v>190.17069034496882</v>
      </c>
      <c r="J14" s="674">
        <v>95.085345172484409</v>
      </c>
      <c r="K14" s="674">
        <v>63.390230114989592</v>
      </c>
      <c r="L14" s="674">
        <v>194.248106518746</v>
      </c>
      <c r="M14" s="674">
        <v>97.124053259372999</v>
      </c>
      <c r="N14" s="674">
        <v>64.749368839582004</v>
      </c>
      <c r="O14" s="674">
        <v>192.12785010838186</v>
      </c>
      <c r="P14" s="674">
        <v>96.063925054190932</v>
      </c>
      <c r="Q14" s="674">
        <v>64.042616702793964</v>
      </c>
    </row>
    <row r="15" spans="2:17" x14ac:dyDescent="0.15">
      <c r="C15" s="37"/>
      <c r="D15" s="41"/>
      <c r="E15" s="24" t="s">
        <v>290</v>
      </c>
      <c r="F15" s="23" t="s">
        <v>289</v>
      </c>
      <c r="H15" s="23">
        <v>143</v>
      </c>
      <c r="I15" s="674">
        <v>190.17069034496882</v>
      </c>
      <c r="J15" s="674">
        <v>95.085345172484409</v>
      </c>
      <c r="K15" s="674">
        <v>63.390230114989592</v>
      </c>
      <c r="L15" s="674">
        <v>194.248106518746</v>
      </c>
      <c r="M15" s="674">
        <v>97.124053259372999</v>
      </c>
      <c r="N15" s="674">
        <v>64.749368839582004</v>
      </c>
      <c r="O15" s="674">
        <v>192.12785010838186</v>
      </c>
      <c r="P15" s="674">
        <v>96.063925054190932</v>
      </c>
      <c r="Q15" s="674">
        <v>64.042616702793964</v>
      </c>
    </row>
    <row r="16" spans="2:17" x14ac:dyDescent="0.15">
      <c r="C16" s="37"/>
      <c r="D16" s="41"/>
      <c r="E16" s="25"/>
      <c r="F16" s="23" t="s">
        <v>290</v>
      </c>
      <c r="H16" s="23">
        <v>144</v>
      </c>
      <c r="I16" s="674">
        <v>190.17069034496882</v>
      </c>
      <c r="J16" s="674">
        <v>95.085345172484409</v>
      </c>
      <c r="K16" s="674">
        <v>63.390230114989592</v>
      </c>
      <c r="L16" s="674">
        <v>194.248106518746</v>
      </c>
      <c r="M16" s="674">
        <v>97.124053259372999</v>
      </c>
      <c r="N16" s="674">
        <v>64.749368839582004</v>
      </c>
      <c r="O16" s="674">
        <v>192.12785010838186</v>
      </c>
      <c r="P16" s="674">
        <v>96.063925054190932</v>
      </c>
      <c r="Q16" s="674">
        <v>64.042616702793964</v>
      </c>
    </row>
    <row r="17" spans="3:17" x14ac:dyDescent="0.15">
      <c r="C17" s="38"/>
      <c r="D17" s="42"/>
      <c r="E17" s="26"/>
      <c r="F17" s="23" t="s">
        <v>291</v>
      </c>
      <c r="H17" s="23">
        <v>145</v>
      </c>
      <c r="I17" s="674">
        <v>190.17069034496882</v>
      </c>
      <c r="J17" s="674">
        <v>95.085345172484409</v>
      </c>
      <c r="K17" s="674">
        <v>63.390230114989592</v>
      </c>
      <c r="L17" s="674">
        <v>194.248106518746</v>
      </c>
      <c r="M17" s="674">
        <v>97.124053259372999</v>
      </c>
      <c r="N17" s="674">
        <v>64.749368839582004</v>
      </c>
      <c r="O17" s="674">
        <v>192.12785010838186</v>
      </c>
      <c r="P17" s="674">
        <v>96.063925054190932</v>
      </c>
      <c r="Q17" s="674">
        <v>64.042616702793964</v>
      </c>
    </row>
    <row r="18" spans="3:17" x14ac:dyDescent="0.15">
      <c r="C18" s="43" t="s">
        <v>293</v>
      </c>
      <c r="D18" s="40"/>
      <c r="E18" s="24" t="s">
        <v>292</v>
      </c>
      <c r="F18" s="23" t="s">
        <v>289</v>
      </c>
      <c r="H18" s="23">
        <v>213</v>
      </c>
      <c r="I18" s="674">
        <v>190.17069034496882</v>
      </c>
      <c r="J18" s="674">
        <v>95.085345172484409</v>
      </c>
      <c r="K18" s="674">
        <v>63.390230114989592</v>
      </c>
      <c r="L18" s="674">
        <v>194.248106518746</v>
      </c>
      <c r="M18" s="674">
        <v>97.124053259372999</v>
      </c>
      <c r="N18" s="674">
        <v>64.749368839582004</v>
      </c>
      <c r="O18" s="674">
        <v>192.12785010838186</v>
      </c>
      <c r="P18" s="674">
        <v>96.063925054190932</v>
      </c>
      <c r="Q18" s="674">
        <v>64.042616702793964</v>
      </c>
    </row>
    <row r="19" spans="3:17" x14ac:dyDescent="0.15">
      <c r="C19" s="37"/>
      <c r="D19" s="41"/>
      <c r="E19" s="25"/>
      <c r="F19" s="23" t="s">
        <v>290</v>
      </c>
      <c r="H19" s="23">
        <v>214</v>
      </c>
      <c r="I19" s="674">
        <v>190.17069034496882</v>
      </c>
      <c r="J19" s="674">
        <v>95.085345172484409</v>
      </c>
      <c r="K19" s="674">
        <v>63.390230114989592</v>
      </c>
      <c r="L19" s="674">
        <v>194.248106518746</v>
      </c>
      <c r="M19" s="674">
        <v>97.124053259372999</v>
      </c>
      <c r="N19" s="674">
        <v>64.749368839582004</v>
      </c>
      <c r="O19" s="674">
        <v>192.12785010838186</v>
      </c>
      <c r="P19" s="674">
        <v>96.063925054190932</v>
      </c>
      <c r="Q19" s="674">
        <v>64.042616702793964</v>
      </c>
    </row>
    <row r="20" spans="3:17" x14ac:dyDescent="0.15">
      <c r="C20" s="37"/>
      <c r="D20" s="41"/>
      <c r="E20" s="26"/>
      <c r="F20" s="23" t="s">
        <v>291</v>
      </c>
      <c r="H20" s="23">
        <v>215</v>
      </c>
      <c r="I20" s="674">
        <v>190.17069034496882</v>
      </c>
      <c r="J20" s="674">
        <v>95.085345172484409</v>
      </c>
      <c r="K20" s="674">
        <v>63.390230114989592</v>
      </c>
      <c r="L20" s="674">
        <v>194.248106518746</v>
      </c>
      <c r="M20" s="674">
        <v>97.124053259372999</v>
      </c>
      <c r="N20" s="674">
        <v>64.749368839582004</v>
      </c>
      <c r="O20" s="674">
        <v>192.12785010838186</v>
      </c>
      <c r="P20" s="674">
        <v>96.063925054190932</v>
      </c>
      <c r="Q20" s="674">
        <v>64.042616702793964</v>
      </c>
    </row>
    <row r="21" spans="3:17" x14ac:dyDescent="0.15">
      <c r="C21" s="37"/>
      <c r="D21" s="41"/>
      <c r="E21" s="24" t="s">
        <v>293</v>
      </c>
      <c r="F21" s="23" t="s">
        <v>289</v>
      </c>
      <c r="H21" s="23">
        <v>223</v>
      </c>
      <c r="I21" s="674">
        <v>190.17069034496882</v>
      </c>
      <c r="J21" s="674">
        <v>95.085345172484409</v>
      </c>
      <c r="K21" s="674">
        <v>63.390230114989592</v>
      </c>
      <c r="L21" s="674">
        <v>194.248106518746</v>
      </c>
      <c r="M21" s="674">
        <v>97.124053259372999</v>
      </c>
      <c r="N21" s="674">
        <v>64.749368839582004</v>
      </c>
      <c r="O21" s="674">
        <v>192.12785010838186</v>
      </c>
      <c r="P21" s="674">
        <v>96.063925054190932</v>
      </c>
      <c r="Q21" s="674">
        <v>64.042616702793964</v>
      </c>
    </row>
    <row r="22" spans="3:17" x14ac:dyDescent="0.15">
      <c r="C22" s="37"/>
      <c r="D22" s="41"/>
      <c r="E22" s="25"/>
      <c r="F22" s="23" t="s">
        <v>290</v>
      </c>
      <c r="H22" s="23">
        <v>224</v>
      </c>
      <c r="I22" s="674">
        <v>190.17069034496882</v>
      </c>
      <c r="J22" s="674">
        <v>95.085345172484409</v>
      </c>
      <c r="K22" s="674">
        <v>63.390230114989592</v>
      </c>
      <c r="L22" s="674">
        <v>194.248106518746</v>
      </c>
      <c r="M22" s="674">
        <v>97.124053259372999</v>
      </c>
      <c r="N22" s="674">
        <v>64.749368839582004</v>
      </c>
      <c r="O22" s="674">
        <v>192.12785010838186</v>
      </c>
      <c r="P22" s="674">
        <v>96.063925054190932</v>
      </c>
      <c r="Q22" s="674">
        <v>64.042616702793964</v>
      </c>
    </row>
    <row r="23" spans="3:17" x14ac:dyDescent="0.15">
      <c r="C23" s="37"/>
      <c r="D23" s="41"/>
      <c r="E23" s="26"/>
      <c r="F23" s="23" t="s">
        <v>291</v>
      </c>
      <c r="H23" s="23">
        <v>225</v>
      </c>
      <c r="I23" s="674">
        <v>190.17069034496882</v>
      </c>
      <c r="J23" s="674">
        <v>95.085345172484409</v>
      </c>
      <c r="K23" s="674">
        <v>63.390230114989592</v>
      </c>
      <c r="L23" s="674">
        <v>194.248106518746</v>
      </c>
      <c r="M23" s="674">
        <v>97.124053259372999</v>
      </c>
      <c r="N23" s="674">
        <v>64.749368839582004</v>
      </c>
      <c r="O23" s="674">
        <v>192.12785010838186</v>
      </c>
      <c r="P23" s="674">
        <v>96.063925054190932</v>
      </c>
      <c r="Q23" s="674">
        <v>64.042616702793964</v>
      </c>
    </row>
    <row r="24" spans="3:17" x14ac:dyDescent="0.15">
      <c r="C24" s="37"/>
      <c r="D24" s="41"/>
      <c r="E24" s="24" t="s">
        <v>289</v>
      </c>
      <c r="F24" s="23" t="s">
        <v>289</v>
      </c>
      <c r="H24" s="23">
        <v>233</v>
      </c>
      <c r="I24" s="674">
        <v>190.17069034496882</v>
      </c>
      <c r="J24" s="674">
        <v>95.085345172484409</v>
      </c>
      <c r="K24" s="674">
        <v>63.390230114989592</v>
      </c>
      <c r="L24" s="674">
        <v>194.248106518746</v>
      </c>
      <c r="M24" s="674">
        <v>97.124053259372999</v>
      </c>
      <c r="N24" s="674">
        <v>64.749368839582004</v>
      </c>
      <c r="O24" s="674">
        <v>192.12785010838186</v>
      </c>
      <c r="P24" s="674">
        <v>96.063925054190932</v>
      </c>
      <c r="Q24" s="674">
        <v>64.042616702793964</v>
      </c>
    </row>
    <row r="25" spans="3:17" x14ac:dyDescent="0.15">
      <c r="C25" s="37"/>
      <c r="D25" s="41"/>
      <c r="E25" s="25"/>
      <c r="F25" s="23" t="s">
        <v>290</v>
      </c>
      <c r="H25" s="23">
        <v>234</v>
      </c>
      <c r="I25" s="674">
        <v>190.17069034496882</v>
      </c>
      <c r="J25" s="674">
        <v>95.085345172484409</v>
      </c>
      <c r="K25" s="674">
        <v>63.390230114989592</v>
      </c>
      <c r="L25" s="674">
        <v>194.248106518746</v>
      </c>
      <c r="M25" s="674">
        <v>97.124053259372999</v>
      </c>
      <c r="N25" s="674">
        <v>64.749368839582004</v>
      </c>
      <c r="O25" s="674">
        <v>192.12785010838186</v>
      </c>
      <c r="P25" s="674">
        <v>96.063925054190932</v>
      </c>
      <c r="Q25" s="674">
        <v>64.042616702793964</v>
      </c>
    </row>
    <row r="26" spans="3:17" x14ac:dyDescent="0.15">
      <c r="C26" s="37"/>
      <c r="D26" s="41"/>
      <c r="E26" s="26"/>
      <c r="F26" s="23" t="s">
        <v>291</v>
      </c>
      <c r="H26" s="23">
        <v>235</v>
      </c>
      <c r="I26" s="674">
        <v>190.17069034496882</v>
      </c>
      <c r="J26" s="674">
        <v>95.085345172484409</v>
      </c>
      <c r="K26" s="674">
        <v>63.390230114989592</v>
      </c>
      <c r="L26" s="674">
        <v>194.248106518746</v>
      </c>
      <c r="M26" s="674">
        <v>97.124053259372999</v>
      </c>
      <c r="N26" s="674">
        <v>64.749368839582004</v>
      </c>
      <c r="O26" s="674">
        <v>192.12785010838186</v>
      </c>
      <c r="P26" s="674">
        <v>96.063925054190932</v>
      </c>
      <c r="Q26" s="674">
        <v>64.042616702793964</v>
      </c>
    </row>
    <row r="27" spans="3:17" x14ac:dyDescent="0.15">
      <c r="C27" s="37"/>
      <c r="D27" s="41"/>
      <c r="E27" s="24" t="s">
        <v>290</v>
      </c>
      <c r="F27" s="23" t="s">
        <v>289</v>
      </c>
      <c r="H27" s="23">
        <v>243</v>
      </c>
      <c r="I27" s="674">
        <v>190.17069034496882</v>
      </c>
      <c r="J27" s="674">
        <v>95.085345172484409</v>
      </c>
      <c r="K27" s="674">
        <v>63.390230114989592</v>
      </c>
      <c r="L27" s="674">
        <v>194.248106518746</v>
      </c>
      <c r="M27" s="674">
        <v>97.124053259372999</v>
      </c>
      <c r="N27" s="674">
        <v>64.749368839582004</v>
      </c>
      <c r="O27" s="674">
        <v>192.12785010838186</v>
      </c>
      <c r="P27" s="674">
        <v>96.063925054190932</v>
      </c>
      <c r="Q27" s="674">
        <v>64.042616702793964</v>
      </c>
    </row>
    <row r="28" spans="3:17" x14ac:dyDescent="0.15">
      <c r="C28" s="37"/>
      <c r="D28" s="41"/>
      <c r="E28" s="25"/>
      <c r="F28" s="23" t="s">
        <v>290</v>
      </c>
      <c r="H28" s="23">
        <v>244</v>
      </c>
      <c r="I28" s="674">
        <v>190.17069034496882</v>
      </c>
      <c r="J28" s="674">
        <v>95.085345172484409</v>
      </c>
      <c r="K28" s="674">
        <v>63.390230114989592</v>
      </c>
      <c r="L28" s="674">
        <v>194.248106518746</v>
      </c>
      <c r="M28" s="674">
        <v>97.124053259372999</v>
      </c>
      <c r="N28" s="674">
        <v>64.749368839582004</v>
      </c>
      <c r="O28" s="674">
        <v>192.12785010838186</v>
      </c>
      <c r="P28" s="674">
        <v>96.063925054190932</v>
      </c>
      <c r="Q28" s="674">
        <v>64.042616702793964</v>
      </c>
    </row>
    <row r="29" spans="3:17" x14ac:dyDescent="0.15">
      <c r="C29" s="38"/>
      <c r="D29" s="42"/>
      <c r="E29" s="26"/>
      <c r="F29" s="23" t="s">
        <v>291</v>
      </c>
      <c r="H29" s="23">
        <v>245</v>
      </c>
      <c r="I29" s="674">
        <v>190.17069034496882</v>
      </c>
      <c r="J29" s="674">
        <v>95.085345172484409</v>
      </c>
      <c r="K29" s="674">
        <v>63.390230114989592</v>
      </c>
      <c r="L29" s="674">
        <v>194.248106518746</v>
      </c>
      <c r="M29" s="674">
        <v>97.124053259372999</v>
      </c>
      <c r="N29" s="674">
        <v>64.749368839582004</v>
      </c>
      <c r="O29" s="674">
        <v>192.12785010838186</v>
      </c>
      <c r="P29" s="674">
        <v>96.063925054190932</v>
      </c>
      <c r="Q29" s="674">
        <v>64.042616702793964</v>
      </c>
    </row>
    <row r="30" spans="3:17" x14ac:dyDescent="0.15">
      <c r="C30" s="43" t="s">
        <v>289</v>
      </c>
      <c r="D30" s="40"/>
      <c r="E30" s="24" t="s">
        <v>292</v>
      </c>
      <c r="F30" s="23" t="s">
        <v>289</v>
      </c>
      <c r="H30" s="23">
        <v>313</v>
      </c>
      <c r="I30" s="674">
        <v>190.17069034496882</v>
      </c>
      <c r="J30" s="674">
        <v>95.085345172484409</v>
      </c>
      <c r="K30" s="674">
        <v>63.390230114989592</v>
      </c>
      <c r="L30" s="674">
        <v>194.248106518746</v>
      </c>
      <c r="M30" s="674">
        <v>97.124053259372999</v>
      </c>
      <c r="N30" s="674">
        <v>64.749368839582004</v>
      </c>
      <c r="O30" s="674">
        <v>192.12785010838186</v>
      </c>
      <c r="P30" s="674">
        <v>96.063925054190932</v>
      </c>
      <c r="Q30" s="674">
        <v>64.042616702793964</v>
      </c>
    </row>
    <row r="31" spans="3:17" x14ac:dyDescent="0.15">
      <c r="C31" s="37"/>
      <c r="D31" s="41"/>
      <c r="E31" s="25"/>
      <c r="F31" s="23" t="s">
        <v>290</v>
      </c>
      <c r="H31" s="23">
        <v>314</v>
      </c>
      <c r="I31" s="674">
        <v>190.17069034496882</v>
      </c>
      <c r="J31" s="674">
        <v>95.085345172484409</v>
      </c>
      <c r="K31" s="674">
        <v>63.390230114989592</v>
      </c>
      <c r="L31" s="674">
        <v>194.248106518746</v>
      </c>
      <c r="M31" s="674">
        <v>97.124053259372999</v>
      </c>
      <c r="N31" s="674">
        <v>64.749368839582004</v>
      </c>
      <c r="O31" s="674">
        <v>192.12785010838186</v>
      </c>
      <c r="P31" s="674">
        <v>96.063925054190932</v>
      </c>
      <c r="Q31" s="674">
        <v>64.042616702793964</v>
      </c>
    </row>
    <row r="32" spans="3:17" x14ac:dyDescent="0.15">
      <c r="C32" s="37"/>
      <c r="D32" s="41"/>
      <c r="E32" s="26"/>
      <c r="F32" s="23" t="s">
        <v>291</v>
      </c>
      <c r="H32" s="23">
        <v>315</v>
      </c>
      <c r="I32" s="674">
        <v>190.17069034496882</v>
      </c>
      <c r="J32" s="674">
        <v>95.085345172484409</v>
      </c>
      <c r="K32" s="674">
        <v>63.390230114989592</v>
      </c>
      <c r="L32" s="674">
        <v>194.248106518746</v>
      </c>
      <c r="M32" s="674">
        <v>97.124053259372999</v>
      </c>
      <c r="N32" s="674">
        <v>64.749368839582004</v>
      </c>
      <c r="O32" s="674">
        <v>192.12785010838186</v>
      </c>
      <c r="P32" s="674">
        <v>96.063925054190932</v>
      </c>
      <c r="Q32" s="674">
        <v>64.042616702793964</v>
      </c>
    </row>
    <row r="33" spans="3:17" x14ac:dyDescent="0.15">
      <c r="C33" s="37"/>
      <c r="D33" s="41"/>
      <c r="E33" s="24" t="s">
        <v>293</v>
      </c>
      <c r="F33" s="23" t="s">
        <v>289</v>
      </c>
      <c r="H33" s="23">
        <v>323</v>
      </c>
      <c r="I33" s="674">
        <v>190.17069034496882</v>
      </c>
      <c r="J33" s="674">
        <v>95.085345172484409</v>
      </c>
      <c r="K33" s="674">
        <v>63.390230114989592</v>
      </c>
      <c r="L33" s="674">
        <v>194.248106518746</v>
      </c>
      <c r="M33" s="674">
        <v>97.124053259372999</v>
      </c>
      <c r="N33" s="674">
        <v>64.749368839582004</v>
      </c>
      <c r="O33" s="674">
        <v>192.12785010838186</v>
      </c>
      <c r="P33" s="674">
        <v>96.063925054190932</v>
      </c>
      <c r="Q33" s="674">
        <v>64.042616702793964</v>
      </c>
    </row>
    <row r="34" spans="3:17" x14ac:dyDescent="0.15">
      <c r="C34" s="37"/>
      <c r="D34" s="41"/>
      <c r="E34" s="25"/>
      <c r="F34" s="23" t="s">
        <v>290</v>
      </c>
      <c r="H34" s="23">
        <v>324</v>
      </c>
      <c r="I34" s="674">
        <v>190.17069034496882</v>
      </c>
      <c r="J34" s="674">
        <v>95.085345172484409</v>
      </c>
      <c r="K34" s="674">
        <v>63.390230114989592</v>
      </c>
      <c r="L34" s="674">
        <v>194.248106518746</v>
      </c>
      <c r="M34" s="674">
        <v>97.124053259372999</v>
      </c>
      <c r="N34" s="674">
        <v>64.749368839582004</v>
      </c>
      <c r="O34" s="674">
        <v>192.12785010838186</v>
      </c>
      <c r="P34" s="674">
        <v>96.063925054190932</v>
      </c>
      <c r="Q34" s="674">
        <v>64.042616702793964</v>
      </c>
    </row>
    <row r="35" spans="3:17" x14ac:dyDescent="0.15">
      <c r="C35" s="37"/>
      <c r="D35" s="41"/>
      <c r="E35" s="26"/>
      <c r="F35" s="23" t="s">
        <v>291</v>
      </c>
      <c r="H35" s="23">
        <v>325</v>
      </c>
      <c r="I35" s="674">
        <v>190.17069034496882</v>
      </c>
      <c r="J35" s="674">
        <v>95.085345172484409</v>
      </c>
      <c r="K35" s="674">
        <v>63.390230114989592</v>
      </c>
      <c r="L35" s="674">
        <v>194.248106518746</v>
      </c>
      <c r="M35" s="674">
        <v>97.124053259372999</v>
      </c>
      <c r="N35" s="674">
        <v>64.749368839582004</v>
      </c>
      <c r="O35" s="674">
        <v>192.12785010838186</v>
      </c>
      <c r="P35" s="674">
        <v>96.063925054190932</v>
      </c>
      <c r="Q35" s="674">
        <v>64.042616702793964</v>
      </c>
    </row>
    <row r="36" spans="3:17" x14ac:dyDescent="0.15">
      <c r="C36" s="37"/>
      <c r="D36" s="41"/>
      <c r="E36" s="24" t="s">
        <v>289</v>
      </c>
      <c r="F36" s="23" t="s">
        <v>289</v>
      </c>
      <c r="H36" s="23">
        <v>333</v>
      </c>
      <c r="I36" s="673">
        <v>190.17069034496882</v>
      </c>
      <c r="J36" s="674">
        <v>95.085345172484409</v>
      </c>
      <c r="K36" s="674">
        <v>63.390230114989592</v>
      </c>
      <c r="L36" s="673">
        <v>194.248106518746</v>
      </c>
      <c r="M36" s="674">
        <v>97.124053259372999</v>
      </c>
      <c r="N36" s="674">
        <v>64.749368839582004</v>
      </c>
      <c r="O36" s="673">
        <v>192.12785010838186</v>
      </c>
      <c r="P36" s="674">
        <v>96.063925054190932</v>
      </c>
      <c r="Q36" s="674">
        <v>64.042616702793964</v>
      </c>
    </row>
    <row r="37" spans="3:17" x14ac:dyDescent="0.15">
      <c r="C37" s="37"/>
      <c r="D37" s="41"/>
      <c r="E37" s="25"/>
      <c r="F37" s="23" t="s">
        <v>290</v>
      </c>
      <c r="H37" s="23">
        <v>334</v>
      </c>
      <c r="I37" s="674">
        <v>190.17069034496882</v>
      </c>
      <c r="J37" s="674">
        <v>95.085345172484409</v>
      </c>
      <c r="K37" s="674">
        <v>63.390230114989592</v>
      </c>
      <c r="L37" s="674">
        <v>194.248106518746</v>
      </c>
      <c r="M37" s="674">
        <v>97.124053259372999</v>
      </c>
      <c r="N37" s="674">
        <v>64.749368839582004</v>
      </c>
      <c r="O37" s="674">
        <v>192.12785010838186</v>
      </c>
      <c r="P37" s="674">
        <v>96.063925054190932</v>
      </c>
      <c r="Q37" s="674">
        <v>64.042616702793964</v>
      </c>
    </row>
    <row r="38" spans="3:17" x14ac:dyDescent="0.15">
      <c r="C38" s="37"/>
      <c r="D38" s="41"/>
      <c r="E38" s="26"/>
      <c r="F38" s="23" t="s">
        <v>291</v>
      </c>
      <c r="H38" s="23">
        <v>335</v>
      </c>
      <c r="I38" s="674">
        <v>190.17069034496882</v>
      </c>
      <c r="J38" s="674">
        <v>95.085345172484409</v>
      </c>
      <c r="K38" s="674">
        <v>63.390230114989592</v>
      </c>
      <c r="L38" s="674">
        <v>194.248106518746</v>
      </c>
      <c r="M38" s="674">
        <v>97.124053259372999</v>
      </c>
      <c r="N38" s="674">
        <v>64.749368839582004</v>
      </c>
      <c r="O38" s="674">
        <v>192.12785010838186</v>
      </c>
      <c r="P38" s="674">
        <v>96.063925054190932</v>
      </c>
      <c r="Q38" s="674">
        <v>64.042616702793964</v>
      </c>
    </row>
    <row r="39" spans="3:17" x14ac:dyDescent="0.15">
      <c r="C39" s="37"/>
      <c r="D39" s="41"/>
      <c r="E39" s="24" t="s">
        <v>290</v>
      </c>
      <c r="F39" s="23" t="s">
        <v>289</v>
      </c>
      <c r="H39" s="23">
        <v>343</v>
      </c>
      <c r="I39" s="674">
        <v>190.17069034496882</v>
      </c>
      <c r="J39" s="674">
        <v>95.085345172484409</v>
      </c>
      <c r="K39" s="674">
        <v>63.390230114989592</v>
      </c>
      <c r="L39" s="674">
        <v>194.248106518746</v>
      </c>
      <c r="M39" s="674">
        <v>97.124053259372999</v>
      </c>
      <c r="N39" s="674">
        <v>64.749368839582004</v>
      </c>
      <c r="O39" s="674">
        <v>192.12785010838186</v>
      </c>
      <c r="P39" s="674">
        <v>96.063925054190932</v>
      </c>
      <c r="Q39" s="674">
        <v>64.042616702793964</v>
      </c>
    </row>
    <row r="40" spans="3:17" x14ac:dyDescent="0.15">
      <c r="C40" s="37"/>
      <c r="D40" s="41"/>
      <c r="E40" s="25"/>
      <c r="F40" s="23" t="s">
        <v>290</v>
      </c>
      <c r="H40" s="23">
        <v>344</v>
      </c>
      <c r="I40" s="674">
        <v>190.17069034496882</v>
      </c>
      <c r="J40" s="674">
        <v>95.085345172484409</v>
      </c>
      <c r="K40" s="674">
        <v>63.390230114989592</v>
      </c>
      <c r="L40" s="674">
        <v>194.248106518746</v>
      </c>
      <c r="M40" s="674">
        <v>97.124053259372999</v>
      </c>
      <c r="N40" s="674">
        <v>64.749368839582004</v>
      </c>
      <c r="O40" s="674">
        <v>192.12785010838186</v>
      </c>
      <c r="P40" s="674">
        <v>96.063925054190932</v>
      </c>
      <c r="Q40" s="674">
        <v>64.042616702793964</v>
      </c>
    </row>
    <row r="41" spans="3:17" x14ac:dyDescent="0.15">
      <c r="C41" s="38"/>
      <c r="D41" s="42"/>
      <c r="E41" s="26"/>
      <c r="F41" s="23" t="s">
        <v>291</v>
      </c>
      <c r="H41" s="23">
        <v>345</v>
      </c>
      <c r="I41" s="674">
        <v>190.17069034496882</v>
      </c>
      <c r="J41" s="674">
        <v>95.085345172484409</v>
      </c>
      <c r="K41" s="674">
        <v>63.390230114989592</v>
      </c>
      <c r="L41" s="674">
        <v>194.248106518746</v>
      </c>
      <c r="M41" s="674">
        <v>97.124053259372999</v>
      </c>
      <c r="N41" s="674">
        <v>64.749368839582004</v>
      </c>
      <c r="O41" s="674">
        <v>192.12785010838186</v>
      </c>
      <c r="P41" s="674">
        <v>96.063925054190932</v>
      </c>
      <c r="Q41" s="674">
        <v>64.042616702793964</v>
      </c>
    </row>
    <row r="42" spans="3:17" x14ac:dyDescent="0.15">
      <c r="C42" s="43" t="s">
        <v>290</v>
      </c>
      <c r="D42" s="40"/>
      <c r="E42" s="24" t="s">
        <v>292</v>
      </c>
      <c r="F42" s="23" t="s">
        <v>289</v>
      </c>
      <c r="H42" s="23">
        <v>413</v>
      </c>
      <c r="I42" s="674">
        <v>190.17069034496882</v>
      </c>
      <c r="J42" s="674">
        <v>95.085345172484409</v>
      </c>
      <c r="K42" s="674">
        <v>63.390230114989592</v>
      </c>
      <c r="L42" s="674">
        <v>194.248106518746</v>
      </c>
      <c r="M42" s="674">
        <v>97.124053259372999</v>
      </c>
      <c r="N42" s="674">
        <v>64.749368839582004</v>
      </c>
      <c r="O42" s="674">
        <v>192.12785010838186</v>
      </c>
      <c r="P42" s="674">
        <v>96.063925054190932</v>
      </c>
      <c r="Q42" s="674">
        <v>64.042616702793964</v>
      </c>
    </row>
    <row r="43" spans="3:17" x14ac:dyDescent="0.15">
      <c r="C43" s="37"/>
      <c r="D43" s="41"/>
      <c r="E43" s="25"/>
      <c r="F43" s="23" t="s">
        <v>290</v>
      </c>
      <c r="H43" s="23">
        <v>414</v>
      </c>
      <c r="I43" s="674">
        <v>190.17069034496882</v>
      </c>
      <c r="J43" s="674">
        <v>95.085345172484409</v>
      </c>
      <c r="K43" s="674">
        <v>63.390230114989592</v>
      </c>
      <c r="L43" s="674">
        <v>194.248106518746</v>
      </c>
      <c r="M43" s="674">
        <v>97.124053259372999</v>
      </c>
      <c r="N43" s="674">
        <v>64.749368839582004</v>
      </c>
      <c r="O43" s="674">
        <v>192.12785010838186</v>
      </c>
      <c r="P43" s="674">
        <v>96.063925054190932</v>
      </c>
      <c r="Q43" s="674">
        <v>64.042616702793964</v>
      </c>
    </row>
    <row r="44" spans="3:17" x14ac:dyDescent="0.15">
      <c r="C44" s="37"/>
      <c r="D44" s="41"/>
      <c r="E44" s="26"/>
      <c r="F44" s="23" t="s">
        <v>291</v>
      </c>
      <c r="H44" s="23">
        <v>415</v>
      </c>
      <c r="I44" s="674">
        <v>190.17069034496882</v>
      </c>
      <c r="J44" s="674">
        <v>95.085345172484409</v>
      </c>
      <c r="K44" s="674">
        <v>63.390230114989592</v>
      </c>
      <c r="L44" s="674">
        <v>194.248106518746</v>
      </c>
      <c r="M44" s="674">
        <v>97.124053259372999</v>
      </c>
      <c r="N44" s="674">
        <v>64.749368839582004</v>
      </c>
      <c r="O44" s="674">
        <v>192.12785010838186</v>
      </c>
      <c r="P44" s="674">
        <v>96.063925054190932</v>
      </c>
      <c r="Q44" s="674">
        <v>64.042616702793964</v>
      </c>
    </row>
    <row r="45" spans="3:17" x14ac:dyDescent="0.15">
      <c r="C45" s="37"/>
      <c r="D45" s="41"/>
      <c r="E45" s="24" t="s">
        <v>293</v>
      </c>
      <c r="F45" s="23" t="s">
        <v>289</v>
      </c>
      <c r="H45" s="23">
        <v>423</v>
      </c>
      <c r="I45" s="674">
        <v>190.17069034496882</v>
      </c>
      <c r="J45" s="674">
        <v>95.085345172484409</v>
      </c>
      <c r="K45" s="674">
        <v>63.390230114989592</v>
      </c>
      <c r="L45" s="674">
        <v>194.248106518746</v>
      </c>
      <c r="M45" s="674">
        <v>97.124053259372999</v>
      </c>
      <c r="N45" s="674">
        <v>64.749368839582004</v>
      </c>
      <c r="O45" s="674">
        <v>192.12785010838186</v>
      </c>
      <c r="P45" s="674">
        <v>96.063925054190932</v>
      </c>
      <c r="Q45" s="674">
        <v>64.042616702793964</v>
      </c>
    </row>
    <row r="46" spans="3:17" x14ac:dyDescent="0.15">
      <c r="C46" s="37"/>
      <c r="D46" s="41"/>
      <c r="E46" s="25"/>
      <c r="F46" s="23" t="s">
        <v>290</v>
      </c>
      <c r="H46" s="23">
        <v>424</v>
      </c>
      <c r="I46" s="674">
        <v>190.17069034496882</v>
      </c>
      <c r="J46" s="674">
        <v>95.085345172484409</v>
      </c>
      <c r="K46" s="674">
        <v>63.390230114989592</v>
      </c>
      <c r="L46" s="674">
        <v>194.248106518746</v>
      </c>
      <c r="M46" s="674">
        <v>97.124053259372999</v>
      </c>
      <c r="N46" s="674">
        <v>64.749368839582004</v>
      </c>
      <c r="O46" s="674">
        <v>192.12785010838186</v>
      </c>
      <c r="P46" s="674">
        <v>96.063925054190932</v>
      </c>
      <c r="Q46" s="674">
        <v>64.042616702793964</v>
      </c>
    </row>
    <row r="47" spans="3:17" x14ac:dyDescent="0.15">
      <c r="C47" s="37"/>
      <c r="D47" s="41"/>
      <c r="E47" s="26"/>
      <c r="F47" s="23" t="s">
        <v>291</v>
      </c>
      <c r="H47" s="23">
        <v>425</v>
      </c>
      <c r="I47" s="674">
        <v>190.17069034496882</v>
      </c>
      <c r="J47" s="674">
        <v>95.085345172484409</v>
      </c>
      <c r="K47" s="674">
        <v>63.390230114989592</v>
      </c>
      <c r="L47" s="674">
        <v>194.248106518746</v>
      </c>
      <c r="M47" s="674">
        <v>97.124053259372999</v>
      </c>
      <c r="N47" s="674">
        <v>64.749368839582004</v>
      </c>
      <c r="O47" s="674">
        <v>192.12785010838186</v>
      </c>
      <c r="P47" s="674">
        <v>96.063925054190932</v>
      </c>
      <c r="Q47" s="674">
        <v>64.042616702793964</v>
      </c>
    </row>
    <row r="48" spans="3:17" x14ac:dyDescent="0.15">
      <c r="C48" s="37"/>
      <c r="D48" s="41"/>
      <c r="E48" s="24" t="s">
        <v>289</v>
      </c>
      <c r="F48" s="23" t="s">
        <v>289</v>
      </c>
      <c r="H48" s="23">
        <v>433</v>
      </c>
      <c r="I48" s="674">
        <v>190.17069034496882</v>
      </c>
      <c r="J48" s="674">
        <v>95.085345172484409</v>
      </c>
      <c r="K48" s="674">
        <v>63.390230114989592</v>
      </c>
      <c r="L48" s="674">
        <v>194.248106518746</v>
      </c>
      <c r="M48" s="674">
        <v>97.124053259372999</v>
      </c>
      <c r="N48" s="674">
        <v>64.749368839582004</v>
      </c>
      <c r="O48" s="674">
        <v>192.12785010838186</v>
      </c>
      <c r="P48" s="674">
        <v>96.063925054190932</v>
      </c>
      <c r="Q48" s="674">
        <v>64.042616702793964</v>
      </c>
    </row>
    <row r="49" spans="3:17" x14ac:dyDescent="0.15">
      <c r="C49" s="37"/>
      <c r="D49" s="41"/>
      <c r="E49" s="25"/>
      <c r="F49" s="23" t="s">
        <v>290</v>
      </c>
      <c r="H49" s="23">
        <v>434</v>
      </c>
      <c r="I49" s="674">
        <v>190.17069034496882</v>
      </c>
      <c r="J49" s="674">
        <v>95.085345172484409</v>
      </c>
      <c r="K49" s="674">
        <v>63.390230114989592</v>
      </c>
      <c r="L49" s="674">
        <v>194.248106518746</v>
      </c>
      <c r="M49" s="674">
        <v>97.124053259372999</v>
      </c>
      <c r="N49" s="674">
        <v>64.749368839582004</v>
      </c>
      <c r="O49" s="674">
        <v>192.12785010838186</v>
      </c>
      <c r="P49" s="674">
        <v>96.063925054190932</v>
      </c>
      <c r="Q49" s="674">
        <v>64.042616702793964</v>
      </c>
    </row>
    <row r="50" spans="3:17" x14ac:dyDescent="0.15">
      <c r="C50" s="37"/>
      <c r="D50" s="41"/>
      <c r="E50" s="26"/>
      <c r="F50" s="23" t="s">
        <v>291</v>
      </c>
      <c r="H50" s="23">
        <v>435</v>
      </c>
      <c r="I50" s="674">
        <v>190.17069034496882</v>
      </c>
      <c r="J50" s="674">
        <v>95.085345172484409</v>
      </c>
      <c r="K50" s="674">
        <v>63.390230114989592</v>
      </c>
      <c r="L50" s="674">
        <v>194.248106518746</v>
      </c>
      <c r="M50" s="674">
        <v>97.124053259372999</v>
      </c>
      <c r="N50" s="674">
        <v>64.749368839582004</v>
      </c>
      <c r="O50" s="674">
        <v>192.12785010838186</v>
      </c>
      <c r="P50" s="674">
        <v>96.063925054190932</v>
      </c>
      <c r="Q50" s="674">
        <v>64.042616702793964</v>
      </c>
    </row>
    <row r="51" spans="3:17" x14ac:dyDescent="0.15">
      <c r="C51" s="37"/>
      <c r="D51" s="41"/>
      <c r="E51" s="24" t="s">
        <v>290</v>
      </c>
      <c r="F51" s="23" t="s">
        <v>289</v>
      </c>
      <c r="H51" s="23">
        <v>443</v>
      </c>
      <c r="I51" s="674">
        <v>190.17069034496882</v>
      </c>
      <c r="J51" s="674">
        <v>95.085345172484409</v>
      </c>
      <c r="K51" s="674">
        <v>63.390230114989592</v>
      </c>
      <c r="L51" s="674">
        <v>194.248106518746</v>
      </c>
      <c r="M51" s="674">
        <v>97.124053259372999</v>
      </c>
      <c r="N51" s="674">
        <v>64.749368839582004</v>
      </c>
      <c r="O51" s="674">
        <v>192.12785010838186</v>
      </c>
      <c r="P51" s="674">
        <v>96.063925054190932</v>
      </c>
      <c r="Q51" s="674">
        <v>64.042616702793964</v>
      </c>
    </row>
    <row r="52" spans="3:17" x14ac:dyDescent="0.15">
      <c r="C52" s="37"/>
      <c r="D52" s="41"/>
      <c r="E52" s="25"/>
      <c r="F52" s="23" t="s">
        <v>290</v>
      </c>
      <c r="H52" s="23">
        <v>444</v>
      </c>
      <c r="I52" s="674">
        <v>190.17069034496882</v>
      </c>
      <c r="J52" s="674">
        <v>95.085345172484409</v>
      </c>
      <c r="K52" s="674">
        <v>63.390230114989592</v>
      </c>
      <c r="L52" s="674">
        <v>194.248106518746</v>
      </c>
      <c r="M52" s="674">
        <v>97.124053259372999</v>
      </c>
      <c r="N52" s="674">
        <v>64.749368839582004</v>
      </c>
      <c r="O52" s="674">
        <v>192.12785010838186</v>
      </c>
      <c r="P52" s="674">
        <v>96.063925054190932</v>
      </c>
      <c r="Q52" s="674">
        <v>64.042616702793964</v>
      </c>
    </row>
    <row r="53" spans="3:17" x14ac:dyDescent="0.15">
      <c r="C53" s="38"/>
      <c r="D53" s="42"/>
      <c r="E53" s="26"/>
      <c r="F53" s="23" t="s">
        <v>291</v>
      </c>
      <c r="H53" s="23">
        <v>445</v>
      </c>
      <c r="I53" s="674">
        <v>190.17069034496882</v>
      </c>
      <c r="J53" s="674">
        <v>95.085345172484409</v>
      </c>
      <c r="K53" s="674">
        <v>63.390230114989592</v>
      </c>
      <c r="L53" s="674">
        <v>194.248106518746</v>
      </c>
      <c r="M53" s="674">
        <v>97.124053259372999</v>
      </c>
      <c r="N53" s="674">
        <v>64.749368839582004</v>
      </c>
      <c r="O53" s="674">
        <v>192.12785010838186</v>
      </c>
      <c r="P53" s="674">
        <v>96.063925054190932</v>
      </c>
      <c r="Q53" s="674">
        <v>64.042616702793964</v>
      </c>
    </row>
    <row r="54" spans="3:17" ht="13.5" customHeight="1" x14ac:dyDescent="0.15"/>
    <row r="55" spans="3:17" ht="16.5" x14ac:dyDescent="0.25">
      <c r="C55" s="29" t="s">
        <v>368</v>
      </c>
      <c r="D55" s="29"/>
      <c r="I55" s="46" t="s">
        <v>28</v>
      </c>
      <c r="J55" s="53"/>
      <c r="K55" s="53"/>
      <c r="L55" s="54"/>
      <c r="M55" s="54"/>
      <c r="N55" s="54"/>
      <c r="O55" s="54"/>
      <c r="P55" s="54"/>
      <c r="Q55" s="55"/>
    </row>
    <row r="56" spans="3:17" s="21" customFormat="1" x14ac:dyDescent="0.15">
      <c r="F56" s="13" t="s">
        <v>367</v>
      </c>
      <c r="I56" s="56" t="s">
        <v>18</v>
      </c>
      <c r="J56" s="54"/>
      <c r="K56" s="57"/>
      <c r="L56" s="56" t="s">
        <v>19</v>
      </c>
      <c r="M56" s="54"/>
      <c r="N56" s="57"/>
      <c r="O56" s="56" t="s">
        <v>20</v>
      </c>
      <c r="P56" s="54"/>
      <c r="Q56" s="57"/>
    </row>
    <row r="57" spans="3:17" ht="16.5" x14ac:dyDescent="0.25">
      <c r="C57" s="36" t="s">
        <v>286</v>
      </c>
      <c r="D57" s="39"/>
      <c r="E57" s="27" t="s">
        <v>287</v>
      </c>
      <c r="F57" s="22" t="s">
        <v>288</v>
      </c>
      <c r="H57" s="23"/>
      <c r="I57" s="58" t="s">
        <v>289</v>
      </c>
      <c r="J57" s="58" t="s">
        <v>290</v>
      </c>
      <c r="K57" s="58" t="s">
        <v>291</v>
      </c>
      <c r="L57" s="58" t="s">
        <v>289</v>
      </c>
      <c r="M57" s="58" t="s">
        <v>290</v>
      </c>
      <c r="N57" s="58" t="s">
        <v>291</v>
      </c>
      <c r="O57" s="58" t="s">
        <v>289</v>
      </c>
      <c r="P57" s="58" t="s">
        <v>290</v>
      </c>
      <c r="Q57" s="58" t="s">
        <v>291</v>
      </c>
    </row>
    <row r="58" spans="3:17" x14ac:dyDescent="0.15">
      <c r="C58" s="43" t="s">
        <v>292</v>
      </c>
      <c r="D58" s="40"/>
      <c r="E58" s="24" t="s">
        <v>292</v>
      </c>
      <c r="F58" s="23" t="s">
        <v>289</v>
      </c>
      <c r="H58" s="23">
        <v>113</v>
      </c>
      <c r="I58" s="674">
        <v>57.051207103490647</v>
      </c>
      <c r="J58" s="674">
        <v>126.99225764717585</v>
      </c>
      <c r="K58" s="674">
        <v>150.30594116173756</v>
      </c>
      <c r="L58" s="674">
        <v>58.274431955623804</v>
      </c>
      <c r="M58" s="674">
        <v>129.71507620736398</v>
      </c>
      <c r="N58" s="674">
        <v>153.52862429127737</v>
      </c>
      <c r="O58" s="674">
        <v>57.638355032514561</v>
      </c>
      <c r="P58" s="674">
        <v>128.29921055606616</v>
      </c>
      <c r="Q58" s="674">
        <v>151.85282906391666</v>
      </c>
    </row>
    <row r="59" spans="3:17" x14ac:dyDescent="0.15">
      <c r="C59" s="37"/>
      <c r="D59" s="41"/>
      <c r="E59" s="25"/>
      <c r="F59" s="23" t="s">
        <v>290</v>
      </c>
      <c r="H59" s="23">
        <v>114</v>
      </c>
      <c r="I59" s="674">
        <v>57.051207103490647</v>
      </c>
      <c r="J59" s="674">
        <v>126.99225764717585</v>
      </c>
      <c r="K59" s="674">
        <v>150.30594116173756</v>
      </c>
      <c r="L59" s="674">
        <v>58.274431955623804</v>
      </c>
      <c r="M59" s="674">
        <v>129.71507620736398</v>
      </c>
      <c r="N59" s="674">
        <v>153.52862429127737</v>
      </c>
      <c r="O59" s="674">
        <v>57.638355032514561</v>
      </c>
      <c r="P59" s="674">
        <v>128.29921055606616</v>
      </c>
      <c r="Q59" s="674">
        <v>151.85282906391666</v>
      </c>
    </row>
    <row r="60" spans="3:17" x14ac:dyDescent="0.15">
      <c r="C60" s="37"/>
      <c r="D60" s="41"/>
      <c r="E60" s="26"/>
      <c r="F60" s="23" t="s">
        <v>291</v>
      </c>
      <c r="H60" s="23">
        <v>115</v>
      </c>
      <c r="I60" s="674">
        <v>57.051207103490647</v>
      </c>
      <c r="J60" s="674">
        <v>126.99225764717585</v>
      </c>
      <c r="K60" s="674">
        <v>150.30594116173756</v>
      </c>
      <c r="L60" s="674">
        <v>58.274431955623804</v>
      </c>
      <c r="M60" s="674">
        <v>129.71507620736398</v>
      </c>
      <c r="N60" s="674">
        <v>153.52862429127737</v>
      </c>
      <c r="O60" s="674">
        <v>57.638355032514561</v>
      </c>
      <c r="P60" s="674">
        <v>128.29921055606616</v>
      </c>
      <c r="Q60" s="674">
        <v>151.85282906391666</v>
      </c>
    </row>
    <row r="61" spans="3:17" x14ac:dyDescent="0.15">
      <c r="C61" s="37"/>
      <c r="D61" s="41"/>
      <c r="E61" s="24" t="s">
        <v>293</v>
      </c>
      <c r="F61" s="23" t="s">
        <v>289</v>
      </c>
      <c r="H61" s="23">
        <v>123</v>
      </c>
      <c r="I61" s="674">
        <v>57.051207103490647</v>
      </c>
      <c r="J61" s="674">
        <v>126.99225764717585</v>
      </c>
      <c r="K61" s="674">
        <v>150.30594116173756</v>
      </c>
      <c r="L61" s="674">
        <v>58.274431955623804</v>
      </c>
      <c r="M61" s="674">
        <v>129.71507620736398</v>
      </c>
      <c r="N61" s="674">
        <v>153.52862429127737</v>
      </c>
      <c r="O61" s="674">
        <v>57.638355032514561</v>
      </c>
      <c r="P61" s="674">
        <v>128.29921055606616</v>
      </c>
      <c r="Q61" s="674">
        <v>151.85282906391666</v>
      </c>
    </row>
    <row r="62" spans="3:17" x14ac:dyDescent="0.15">
      <c r="C62" s="37"/>
      <c r="D62" s="41"/>
      <c r="E62" s="25"/>
      <c r="F62" s="23" t="s">
        <v>290</v>
      </c>
      <c r="H62" s="23">
        <v>124</v>
      </c>
      <c r="I62" s="674">
        <v>57.051207103490647</v>
      </c>
      <c r="J62" s="674">
        <v>126.99225764717585</v>
      </c>
      <c r="K62" s="674">
        <v>150.30594116173756</v>
      </c>
      <c r="L62" s="674">
        <v>58.274431955623804</v>
      </c>
      <c r="M62" s="674">
        <v>129.71507620736398</v>
      </c>
      <c r="N62" s="674">
        <v>153.52862429127737</v>
      </c>
      <c r="O62" s="674">
        <v>57.638355032514561</v>
      </c>
      <c r="P62" s="674">
        <v>128.29921055606616</v>
      </c>
      <c r="Q62" s="674">
        <v>151.85282906391666</v>
      </c>
    </row>
    <row r="63" spans="3:17" x14ac:dyDescent="0.15">
      <c r="C63" s="37"/>
      <c r="D63" s="41"/>
      <c r="E63" s="26"/>
      <c r="F63" s="23" t="s">
        <v>291</v>
      </c>
      <c r="H63" s="23">
        <v>125</v>
      </c>
      <c r="I63" s="674">
        <v>57.051207103490647</v>
      </c>
      <c r="J63" s="674">
        <v>126.99225764717585</v>
      </c>
      <c r="K63" s="674">
        <v>150.30594116173756</v>
      </c>
      <c r="L63" s="674">
        <v>58.274431955623804</v>
      </c>
      <c r="M63" s="674">
        <v>129.71507620736398</v>
      </c>
      <c r="N63" s="674">
        <v>153.52862429127737</v>
      </c>
      <c r="O63" s="674">
        <v>57.638355032514561</v>
      </c>
      <c r="P63" s="674">
        <v>128.29921055606616</v>
      </c>
      <c r="Q63" s="674">
        <v>151.85282906391666</v>
      </c>
    </row>
    <row r="64" spans="3:17" x14ac:dyDescent="0.15">
      <c r="C64" s="37"/>
      <c r="D64" s="41"/>
      <c r="E64" s="24" t="s">
        <v>289</v>
      </c>
      <c r="F64" s="23" t="s">
        <v>289</v>
      </c>
      <c r="H64" s="23">
        <v>133</v>
      </c>
      <c r="I64" s="674">
        <v>57.051207103490647</v>
      </c>
      <c r="J64" s="674">
        <v>126.99225764717585</v>
      </c>
      <c r="K64" s="674">
        <v>150.30594116173756</v>
      </c>
      <c r="L64" s="674">
        <v>58.274431955623804</v>
      </c>
      <c r="M64" s="674">
        <v>129.71507620736398</v>
      </c>
      <c r="N64" s="674">
        <v>153.52862429127737</v>
      </c>
      <c r="O64" s="674">
        <v>57.638355032514561</v>
      </c>
      <c r="P64" s="674">
        <v>128.29921055606616</v>
      </c>
      <c r="Q64" s="674">
        <v>151.85282906391666</v>
      </c>
    </row>
    <row r="65" spans="3:17" x14ac:dyDescent="0.15">
      <c r="C65" s="37"/>
      <c r="D65" s="41"/>
      <c r="E65" s="25"/>
      <c r="F65" s="23" t="s">
        <v>290</v>
      </c>
      <c r="H65" s="23">
        <v>134</v>
      </c>
      <c r="I65" s="674">
        <v>57.051207103490647</v>
      </c>
      <c r="J65" s="674">
        <v>126.99225764717585</v>
      </c>
      <c r="K65" s="674">
        <v>150.30594116173756</v>
      </c>
      <c r="L65" s="674">
        <v>58.274431955623804</v>
      </c>
      <c r="M65" s="674">
        <v>129.71507620736398</v>
      </c>
      <c r="N65" s="674">
        <v>153.52862429127737</v>
      </c>
      <c r="O65" s="674">
        <v>57.638355032514561</v>
      </c>
      <c r="P65" s="674">
        <v>128.29921055606616</v>
      </c>
      <c r="Q65" s="674">
        <v>151.85282906391666</v>
      </c>
    </row>
    <row r="66" spans="3:17" x14ac:dyDescent="0.15">
      <c r="C66" s="37"/>
      <c r="D66" s="41"/>
      <c r="E66" s="26"/>
      <c r="F66" s="23" t="s">
        <v>291</v>
      </c>
      <c r="H66" s="23">
        <v>135</v>
      </c>
      <c r="I66" s="674">
        <v>57.051207103490647</v>
      </c>
      <c r="J66" s="674">
        <v>126.99225764717585</v>
      </c>
      <c r="K66" s="674">
        <v>150.30594116173756</v>
      </c>
      <c r="L66" s="674">
        <v>58.274431955623804</v>
      </c>
      <c r="M66" s="674">
        <v>129.71507620736398</v>
      </c>
      <c r="N66" s="674">
        <v>153.52862429127737</v>
      </c>
      <c r="O66" s="674">
        <v>57.638355032514561</v>
      </c>
      <c r="P66" s="674">
        <v>128.29921055606616</v>
      </c>
      <c r="Q66" s="674">
        <v>151.85282906391666</v>
      </c>
    </row>
    <row r="67" spans="3:17" x14ac:dyDescent="0.15">
      <c r="C67" s="37"/>
      <c r="D67" s="41"/>
      <c r="E67" s="24" t="s">
        <v>290</v>
      </c>
      <c r="F67" s="23" t="s">
        <v>289</v>
      </c>
      <c r="H67" s="23">
        <v>143</v>
      </c>
      <c r="I67" s="674">
        <v>57.051207103490647</v>
      </c>
      <c r="J67" s="674">
        <v>126.99225764717585</v>
      </c>
      <c r="K67" s="674">
        <v>150.30594116173756</v>
      </c>
      <c r="L67" s="674">
        <v>58.274431955623804</v>
      </c>
      <c r="M67" s="674">
        <v>129.71507620736398</v>
      </c>
      <c r="N67" s="674">
        <v>153.52862429127737</v>
      </c>
      <c r="O67" s="674">
        <v>57.638355032514561</v>
      </c>
      <c r="P67" s="674">
        <v>128.29921055606616</v>
      </c>
      <c r="Q67" s="674">
        <v>151.85282906391666</v>
      </c>
    </row>
    <row r="68" spans="3:17" x14ac:dyDescent="0.15">
      <c r="C68" s="37"/>
      <c r="D68" s="41"/>
      <c r="E68" s="25"/>
      <c r="F68" s="23" t="s">
        <v>290</v>
      </c>
      <c r="H68" s="23">
        <v>144</v>
      </c>
      <c r="I68" s="674">
        <v>57.051207103490647</v>
      </c>
      <c r="J68" s="674">
        <v>126.99225764717585</v>
      </c>
      <c r="K68" s="674">
        <v>150.30594116173756</v>
      </c>
      <c r="L68" s="674">
        <v>58.274431955623804</v>
      </c>
      <c r="M68" s="674">
        <v>129.71507620736398</v>
      </c>
      <c r="N68" s="674">
        <v>153.52862429127737</v>
      </c>
      <c r="O68" s="674">
        <v>57.638355032514561</v>
      </c>
      <c r="P68" s="674">
        <v>128.29921055606616</v>
      </c>
      <c r="Q68" s="674">
        <v>151.85282906391666</v>
      </c>
    </row>
    <row r="69" spans="3:17" x14ac:dyDescent="0.15">
      <c r="C69" s="38"/>
      <c r="D69" s="42"/>
      <c r="E69" s="26"/>
      <c r="F69" s="23" t="s">
        <v>291</v>
      </c>
      <c r="H69" s="23">
        <v>145</v>
      </c>
      <c r="I69" s="674">
        <v>57.051207103490647</v>
      </c>
      <c r="J69" s="674">
        <v>126.99225764717585</v>
      </c>
      <c r="K69" s="674">
        <v>150.30594116173756</v>
      </c>
      <c r="L69" s="674">
        <v>58.274431955623804</v>
      </c>
      <c r="M69" s="674">
        <v>129.71507620736398</v>
      </c>
      <c r="N69" s="674">
        <v>153.52862429127737</v>
      </c>
      <c r="O69" s="674">
        <v>57.638355032514561</v>
      </c>
      <c r="P69" s="674">
        <v>128.29921055606616</v>
      </c>
      <c r="Q69" s="674">
        <v>151.85282906391666</v>
      </c>
    </row>
    <row r="70" spans="3:17" x14ac:dyDescent="0.15">
      <c r="C70" s="43" t="s">
        <v>293</v>
      </c>
      <c r="D70" s="40"/>
      <c r="E70" s="24" t="s">
        <v>292</v>
      </c>
      <c r="F70" s="23" t="s">
        <v>289</v>
      </c>
      <c r="H70" s="23">
        <v>213</v>
      </c>
      <c r="I70" s="674">
        <v>57.051207103490647</v>
      </c>
      <c r="J70" s="674">
        <v>126.99225764717585</v>
      </c>
      <c r="K70" s="674">
        <v>150.30594116173756</v>
      </c>
      <c r="L70" s="674">
        <v>58.274431955623804</v>
      </c>
      <c r="M70" s="674">
        <v>129.71507620736398</v>
      </c>
      <c r="N70" s="674">
        <v>153.52862429127737</v>
      </c>
      <c r="O70" s="674">
        <v>57.638355032514561</v>
      </c>
      <c r="P70" s="674">
        <v>128.29921055606616</v>
      </c>
      <c r="Q70" s="674">
        <v>151.85282906391666</v>
      </c>
    </row>
    <row r="71" spans="3:17" x14ac:dyDescent="0.15">
      <c r="C71" s="37"/>
      <c r="D71" s="41"/>
      <c r="E71" s="25"/>
      <c r="F71" s="23" t="s">
        <v>290</v>
      </c>
      <c r="H71" s="23">
        <v>214</v>
      </c>
      <c r="I71" s="674">
        <v>57.051207103490647</v>
      </c>
      <c r="J71" s="674">
        <v>126.99225764717585</v>
      </c>
      <c r="K71" s="674">
        <v>150.30594116173756</v>
      </c>
      <c r="L71" s="674">
        <v>58.274431955623804</v>
      </c>
      <c r="M71" s="674">
        <v>129.71507620736398</v>
      </c>
      <c r="N71" s="674">
        <v>153.52862429127737</v>
      </c>
      <c r="O71" s="674">
        <v>57.638355032514561</v>
      </c>
      <c r="P71" s="674">
        <v>128.29921055606616</v>
      </c>
      <c r="Q71" s="674">
        <v>151.85282906391666</v>
      </c>
    </row>
    <row r="72" spans="3:17" x14ac:dyDescent="0.15">
      <c r="C72" s="37"/>
      <c r="D72" s="41"/>
      <c r="E72" s="26"/>
      <c r="F72" s="23" t="s">
        <v>291</v>
      </c>
      <c r="H72" s="23">
        <v>215</v>
      </c>
      <c r="I72" s="674">
        <v>57.051207103490647</v>
      </c>
      <c r="J72" s="674">
        <v>126.99225764717585</v>
      </c>
      <c r="K72" s="674">
        <v>150.30594116173756</v>
      </c>
      <c r="L72" s="674">
        <v>58.274431955623804</v>
      </c>
      <c r="M72" s="674">
        <v>129.71507620736398</v>
      </c>
      <c r="N72" s="674">
        <v>153.52862429127737</v>
      </c>
      <c r="O72" s="674">
        <v>57.638355032514561</v>
      </c>
      <c r="P72" s="674">
        <v>128.29921055606616</v>
      </c>
      <c r="Q72" s="674">
        <v>151.85282906391666</v>
      </c>
    </row>
    <row r="73" spans="3:17" x14ac:dyDescent="0.15">
      <c r="C73" s="37"/>
      <c r="D73" s="41"/>
      <c r="E73" s="24" t="s">
        <v>293</v>
      </c>
      <c r="F73" s="23" t="s">
        <v>289</v>
      </c>
      <c r="H73" s="23">
        <v>223</v>
      </c>
      <c r="I73" s="674">
        <v>57.051207103490647</v>
      </c>
      <c r="J73" s="674">
        <v>126.99225764717585</v>
      </c>
      <c r="K73" s="674">
        <v>150.30594116173756</v>
      </c>
      <c r="L73" s="674">
        <v>58.274431955623804</v>
      </c>
      <c r="M73" s="674">
        <v>129.71507620736398</v>
      </c>
      <c r="N73" s="674">
        <v>153.52862429127737</v>
      </c>
      <c r="O73" s="674">
        <v>57.638355032514561</v>
      </c>
      <c r="P73" s="674">
        <v>128.29921055606616</v>
      </c>
      <c r="Q73" s="674">
        <v>151.85282906391666</v>
      </c>
    </row>
    <row r="74" spans="3:17" x14ac:dyDescent="0.15">
      <c r="C74" s="37"/>
      <c r="D74" s="41"/>
      <c r="E74" s="25"/>
      <c r="F74" s="23" t="s">
        <v>290</v>
      </c>
      <c r="H74" s="23">
        <v>224</v>
      </c>
      <c r="I74" s="674">
        <v>57.051207103490647</v>
      </c>
      <c r="J74" s="674">
        <v>126.99225764717585</v>
      </c>
      <c r="K74" s="674">
        <v>150.30594116173756</v>
      </c>
      <c r="L74" s="674">
        <v>58.274431955623804</v>
      </c>
      <c r="M74" s="674">
        <v>129.71507620736398</v>
      </c>
      <c r="N74" s="674">
        <v>153.52862429127737</v>
      </c>
      <c r="O74" s="674">
        <v>57.638355032514561</v>
      </c>
      <c r="P74" s="674">
        <v>128.29921055606616</v>
      </c>
      <c r="Q74" s="674">
        <v>151.85282906391666</v>
      </c>
    </row>
    <row r="75" spans="3:17" x14ac:dyDescent="0.15">
      <c r="C75" s="37"/>
      <c r="D75" s="41"/>
      <c r="E75" s="26"/>
      <c r="F75" s="23" t="s">
        <v>291</v>
      </c>
      <c r="H75" s="23">
        <v>225</v>
      </c>
      <c r="I75" s="674">
        <v>57.051207103490647</v>
      </c>
      <c r="J75" s="674">
        <v>126.99225764717585</v>
      </c>
      <c r="K75" s="674">
        <v>150.30594116173756</v>
      </c>
      <c r="L75" s="674">
        <v>58.274431955623804</v>
      </c>
      <c r="M75" s="674">
        <v>129.71507620736398</v>
      </c>
      <c r="N75" s="674">
        <v>153.52862429127737</v>
      </c>
      <c r="O75" s="674">
        <v>57.638355032514561</v>
      </c>
      <c r="P75" s="674">
        <v>128.29921055606616</v>
      </c>
      <c r="Q75" s="674">
        <v>151.85282906391666</v>
      </c>
    </row>
    <row r="76" spans="3:17" x14ac:dyDescent="0.15">
      <c r="C76" s="37"/>
      <c r="D76" s="41"/>
      <c r="E76" s="24" t="s">
        <v>289</v>
      </c>
      <c r="F76" s="23" t="s">
        <v>289</v>
      </c>
      <c r="H76" s="23">
        <v>233</v>
      </c>
      <c r="I76" s="674">
        <v>57.051207103490647</v>
      </c>
      <c r="J76" s="674">
        <v>126.99225764717585</v>
      </c>
      <c r="K76" s="674">
        <v>150.30594116173756</v>
      </c>
      <c r="L76" s="674">
        <v>58.274431955623804</v>
      </c>
      <c r="M76" s="674">
        <v>129.71507620736398</v>
      </c>
      <c r="N76" s="674">
        <v>153.52862429127737</v>
      </c>
      <c r="O76" s="674">
        <v>57.638355032514561</v>
      </c>
      <c r="P76" s="674">
        <v>128.29921055606616</v>
      </c>
      <c r="Q76" s="674">
        <v>151.85282906391666</v>
      </c>
    </row>
    <row r="77" spans="3:17" x14ac:dyDescent="0.15">
      <c r="C77" s="37"/>
      <c r="D77" s="41"/>
      <c r="E77" s="25"/>
      <c r="F77" s="23" t="s">
        <v>290</v>
      </c>
      <c r="H77" s="23">
        <v>234</v>
      </c>
      <c r="I77" s="674">
        <v>57.051207103490647</v>
      </c>
      <c r="J77" s="674">
        <v>126.99225764717585</v>
      </c>
      <c r="K77" s="674">
        <v>150.30594116173756</v>
      </c>
      <c r="L77" s="674">
        <v>58.274431955623804</v>
      </c>
      <c r="M77" s="674">
        <v>129.71507620736398</v>
      </c>
      <c r="N77" s="674">
        <v>153.52862429127737</v>
      </c>
      <c r="O77" s="674">
        <v>57.638355032514561</v>
      </c>
      <c r="P77" s="674">
        <v>128.29921055606616</v>
      </c>
      <c r="Q77" s="674">
        <v>151.85282906391666</v>
      </c>
    </row>
    <row r="78" spans="3:17" x14ac:dyDescent="0.15">
      <c r="C78" s="37"/>
      <c r="D78" s="41"/>
      <c r="E78" s="26"/>
      <c r="F78" s="23" t="s">
        <v>291</v>
      </c>
      <c r="H78" s="23">
        <v>235</v>
      </c>
      <c r="I78" s="674">
        <v>57.051207103490647</v>
      </c>
      <c r="J78" s="674">
        <v>126.99225764717585</v>
      </c>
      <c r="K78" s="674">
        <v>150.30594116173756</v>
      </c>
      <c r="L78" s="674">
        <v>58.274431955623804</v>
      </c>
      <c r="M78" s="674">
        <v>129.71507620736398</v>
      </c>
      <c r="N78" s="674">
        <v>153.52862429127737</v>
      </c>
      <c r="O78" s="674">
        <v>57.638355032514561</v>
      </c>
      <c r="P78" s="674">
        <v>128.29921055606616</v>
      </c>
      <c r="Q78" s="674">
        <v>151.85282906391666</v>
      </c>
    </row>
    <row r="79" spans="3:17" x14ac:dyDescent="0.15">
      <c r="C79" s="37"/>
      <c r="D79" s="41"/>
      <c r="E79" s="24" t="s">
        <v>290</v>
      </c>
      <c r="F79" s="23" t="s">
        <v>289</v>
      </c>
      <c r="H79" s="23">
        <v>243</v>
      </c>
      <c r="I79" s="674">
        <v>57.051207103490647</v>
      </c>
      <c r="J79" s="674">
        <v>126.99225764717585</v>
      </c>
      <c r="K79" s="674">
        <v>150.30594116173756</v>
      </c>
      <c r="L79" s="674">
        <v>58.274431955623804</v>
      </c>
      <c r="M79" s="674">
        <v>129.71507620736398</v>
      </c>
      <c r="N79" s="674">
        <v>153.52862429127737</v>
      </c>
      <c r="O79" s="674">
        <v>57.638355032514561</v>
      </c>
      <c r="P79" s="674">
        <v>128.29921055606616</v>
      </c>
      <c r="Q79" s="674">
        <v>151.85282906391666</v>
      </c>
    </row>
    <row r="80" spans="3:17" x14ac:dyDescent="0.15">
      <c r="C80" s="37"/>
      <c r="D80" s="41"/>
      <c r="E80" s="25"/>
      <c r="F80" s="23" t="s">
        <v>290</v>
      </c>
      <c r="H80" s="23">
        <v>244</v>
      </c>
      <c r="I80" s="674">
        <v>57.051207103490647</v>
      </c>
      <c r="J80" s="674">
        <v>126.99225764717585</v>
      </c>
      <c r="K80" s="674">
        <v>150.30594116173756</v>
      </c>
      <c r="L80" s="674">
        <v>58.274431955623804</v>
      </c>
      <c r="M80" s="674">
        <v>129.71507620736398</v>
      </c>
      <c r="N80" s="674">
        <v>153.52862429127737</v>
      </c>
      <c r="O80" s="674">
        <v>57.638355032514561</v>
      </c>
      <c r="P80" s="674">
        <v>128.29921055606616</v>
      </c>
      <c r="Q80" s="674">
        <v>151.85282906391666</v>
      </c>
    </row>
    <row r="81" spans="3:17" x14ac:dyDescent="0.15">
      <c r="C81" s="38"/>
      <c r="D81" s="42"/>
      <c r="E81" s="26"/>
      <c r="F81" s="23" t="s">
        <v>291</v>
      </c>
      <c r="H81" s="23">
        <v>245</v>
      </c>
      <c r="I81" s="674">
        <v>57.051207103490647</v>
      </c>
      <c r="J81" s="674">
        <v>126.99225764717585</v>
      </c>
      <c r="K81" s="674">
        <v>150.30594116173756</v>
      </c>
      <c r="L81" s="674">
        <v>58.274431955623804</v>
      </c>
      <c r="M81" s="674">
        <v>129.71507620736398</v>
      </c>
      <c r="N81" s="674">
        <v>153.52862429127737</v>
      </c>
      <c r="O81" s="674">
        <v>57.638355032514561</v>
      </c>
      <c r="P81" s="674">
        <v>128.29921055606616</v>
      </c>
      <c r="Q81" s="674">
        <v>151.85282906391666</v>
      </c>
    </row>
    <row r="82" spans="3:17" x14ac:dyDescent="0.15">
      <c r="C82" s="43" t="s">
        <v>289</v>
      </c>
      <c r="D82" s="40"/>
      <c r="E82" s="24" t="s">
        <v>292</v>
      </c>
      <c r="F82" s="23" t="s">
        <v>289</v>
      </c>
      <c r="H82" s="23">
        <v>313</v>
      </c>
      <c r="I82" s="674">
        <v>57.051207103490647</v>
      </c>
      <c r="J82" s="674">
        <v>126.99225764717585</v>
      </c>
      <c r="K82" s="674">
        <v>150.30594116173756</v>
      </c>
      <c r="L82" s="674">
        <v>58.274431955623804</v>
      </c>
      <c r="M82" s="674">
        <v>129.71507620736398</v>
      </c>
      <c r="N82" s="674">
        <v>153.52862429127737</v>
      </c>
      <c r="O82" s="674">
        <v>57.638355032514561</v>
      </c>
      <c r="P82" s="674">
        <v>128.29921055606616</v>
      </c>
      <c r="Q82" s="674">
        <v>151.85282906391666</v>
      </c>
    </row>
    <row r="83" spans="3:17" x14ac:dyDescent="0.15">
      <c r="C83" s="37"/>
      <c r="D83" s="41"/>
      <c r="E83" s="25"/>
      <c r="F83" s="23" t="s">
        <v>290</v>
      </c>
      <c r="H83" s="23">
        <v>314</v>
      </c>
      <c r="I83" s="674">
        <v>57.051207103490647</v>
      </c>
      <c r="J83" s="674">
        <v>126.99225764717585</v>
      </c>
      <c r="K83" s="674">
        <v>150.30594116173756</v>
      </c>
      <c r="L83" s="674">
        <v>58.274431955623804</v>
      </c>
      <c r="M83" s="674">
        <v>129.71507620736398</v>
      </c>
      <c r="N83" s="674">
        <v>153.52862429127737</v>
      </c>
      <c r="O83" s="674">
        <v>57.638355032514561</v>
      </c>
      <c r="P83" s="674">
        <v>128.29921055606616</v>
      </c>
      <c r="Q83" s="674">
        <v>151.85282906391666</v>
      </c>
    </row>
    <row r="84" spans="3:17" x14ac:dyDescent="0.15">
      <c r="C84" s="37"/>
      <c r="D84" s="41"/>
      <c r="E84" s="26"/>
      <c r="F84" s="23" t="s">
        <v>291</v>
      </c>
      <c r="H84" s="23">
        <v>315</v>
      </c>
      <c r="I84" s="674">
        <v>57.051207103490647</v>
      </c>
      <c r="J84" s="674">
        <v>126.99225764717585</v>
      </c>
      <c r="K84" s="674">
        <v>150.30594116173756</v>
      </c>
      <c r="L84" s="674">
        <v>58.274431955623804</v>
      </c>
      <c r="M84" s="674">
        <v>129.71507620736398</v>
      </c>
      <c r="N84" s="674">
        <v>153.52862429127737</v>
      </c>
      <c r="O84" s="674">
        <v>57.638355032514561</v>
      </c>
      <c r="P84" s="674">
        <v>128.29921055606616</v>
      </c>
      <c r="Q84" s="674">
        <v>151.85282906391666</v>
      </c>
    </row>
    <row r="85" spans="3:17" x14ac:dyDescent="0.15">
      <c r="C85" s="37"/>
      <c r="D85" s="41"/>
      <c r="E85" s="24" t="s">
        <v>293</v>
      </c>
      <c r="F85" s="23" t="s">
        <v>289</v>
      </c>
      <c r="H85" s="23">
        <v>323</v>
      </c>
      <c r="I85" s="674">
        <v>57.051207103490647</v>
      </c>
      <c r="J85" s="674">
        <v>126.99225764717585</v>
      </c>
      <c r="K85" s="674">
        <v>150.30594116173756</v>
      </c>
      <c r="L85" s="674">
        <v>58.274431955623804</v>
      </c>
      <c r="M85" s="674">
        <v>129.71507620736398</v>
      </c>
      <c r="N85" s="674">
        <v>153.52862429127737</v>
      </c>
      <c r="O85" s="674">
        <v>57.638355032514561</v>
      </c>
      <c r="P85" s="674">
        <v>128.29921055606616</v>
      </c>
      <c r="Q85" s="674">
        <v>151.85282906391666</v>
      </c>
    </row>
    <row r="86" spans="3:17" x14ac:dyDescent="0.15">
      <c r="C86" s="37"/>
      <c r="D86" s="41"/>
      <c r="E86" s="25"/>
      <c r="F86" s="23" t="s">
        <v>290</v>
      </c>
      <c r="H86" s="23">
        <v>324</v>
      </c>
      <c r="I86" s="674">
        <v>57.051207103490647</v>
      </c>
      <c r="J86" s="674">
        <v>126.99225764717585</v>
      </c>
      <c r="K86" s="674">
        <v>150.30594116173756</v>
      </c>
      <c r="L86" s="674">
        <v>58.274431955623804</v>
      </c>
      <c r="M86" s="674">
        <v>129.71507620736398</v>
      </c>
      <c r="N86" s="674">
        <v>153.52862429127737</v>
      </c>
      <c r="O86" s="674">
        <v>57.638355032514561</v>
      </c>
      <c r="P86" s="674">
        <v>128.29921055606616</v>
      </c>
      <c r="Q86" s="674">
        <v>151.85282906391666</v>
      </c>
    </row>
    <row r="87" spans="3:17" x14ac:dyDescent="0.15">
      <c r="C87" s="37"/>
      <c r="D87" s="41"/>
      <c r="E87" s="26"/>
      <c r="F87" s="23" t="s">
        <v>291</v>
      </c>
      <c r="H87" s="23">
        <v>325</v>
      </c>
      <c r="I87" s="674">
        <v>57.051207103490647</v>
      </c>
      <c r="J87" s="674">
        <v>126.99225764717585</v>
      </c>
      <c r="K87" s="674">
        <v>150.30594116173756</v>
      </c>
      <c r="L87" s="674">
        <v>58.274431955623804</v>
      </c>
      <c r="M87" s="674">
        <v>129.71507620736398</v>
      </c>
      <c r="N87" s="674">
        <v>153.52862429127737</v>
      </c>
      <c r="O87" s="674">
        <v>57.638355032514561</v>
      </c>
      <c r="P87" s="674">
        <v>128.29921055606616</v>
      </c>
      <c r="Q87" s="674">
        <v>151.85282906391666</v>
      </c>
    </row>
    <row r="88" spans="3:17" x14ac:dyDescent="0.15">
      <c r="C88" s="37"/>
      <c r="D88" s="41"/>
      <c r="E88" s="24" t="s">
        <v>289</v>
      </c>
      <c r="F88" s="23" t="s">
        <v>289</v>
      </c>
      <c r="H88" s="23">
        <v>333</v>
      </c>
      <c r="I88" s="674">
        <v>57.051207103490647</v>
      </c>
      <c r="J88" s="674">
        <v>126.99225764717585</v>
      </c>
      <c r="K88" s="674">
        <v>150.30594116173756</v>
      </c>
      <c r="L88" s="674">
        <v>58.274431955623804</v>
      </c>
      <c r="M88" s="674">
        <v>129.71507620736398</v>
      </c>
      <c r="N88" s="674">
        <v>153.52862429127737</v>
      </c>
      <c r="O88" s="674">
        <v>57.638355032514561</v>
      </c>
      <c r="P88" s="674">
        <v>128.29921055606616</v>
      </c>
      <c r="Q88" s="674">
        <v>151.85282906391666</v>
      </c>
    </row>
    <row r="89" spans="3:17" x14ac:dyDescent="0.15">
      <c r="C89" s="37"/>
      <c r="D89" s="41"/>
      <c r="E89" s="25"/>
      <c r="F89" s="23" t="s">
        <v>290</v>
      </c>
      <c r="H89" s="23">
        <v>334</v>
      </c>
      <c r="I89" s="674">
        <v>57.051207103490647</v>
      </c>
      <c r="J89" s="674">
        <v>126.99225764717585</v>
      </c>
      <c r="K89" s="674">
        <v>150.30594116173756</v>
      </c>
      <c r="L89" s="674">
        <v>58.274431955623804</v>
      </c>
      <c r="M89" s="674">
        <v>129.71507620736398</v>
      </c>
      <c r="N89" s="674">
        <v>153.52862429127737</v>
      </c>
      <c r="O89" s="674">
        <v>57.638355032514561</v>
      </c>
      <c r="P89" s="674">
        <v>128.29921055606616</v>
      </c>
      <c r="Q89" s="674">
        <v>151.85282906391666</v>
      </c>
    </row>
    <row r="90" spans="3:17" x14ac:dyDescent="0.15">
      <c r="C90" s="37"/>
      <c r="D90" s="41"/>
      <c r="E90" s="26"/>
      <c r="F90" s="23" t="s">
        <v>291</v>
      </c>
      <c r="H90" s="23">
        <v>335</v>
      </c>
      <c r="I90" s="674">
        <v>57.051207103490647</v>
      </c>
      <c r="J90" s="674">
        <v>126.99225764717585</v>
      </c>
      <c r="K90" s="674">
        <v>150.30594116173756</v>
      </c>
      <c r="L90" s="674">
        <v>58.274431955623804</v>
      </c>
      <c r="M90" s="674">
        <v>129.71507620736398</v>
      </c>
      <c r="N90" s="674">
        <v>153.52862429127737</v>
      </c>
      <c r="O90" s="674">
        <v>57.638355032514561</v>
      </c>
      <c r="P90" s="674">
        <v>128.29921055606616</v>
      </c>
      <c r="Q90" s="674">
        <v>151.85282906391666</v>
      </c>
    </row>
    <row r="91" spans="3:17" x14ac:dyDescent="0.15">
      <c r="C91" s="37"/>
      <c r="D91" s="41"/>
      <c r="E91" s="24" t="s">
        <v>290</v>
      </c>
      <c r="F91" s="23" t="s">
        <v>289</v>
      </c>
      <c r="H91" s="23">
        <v>343</v>
      </c>
      <c r="I91" s="674">
        <v>57.051207103490647</v>
      </c>
      <c r="J91" s="674">
        <v>126.99225764717585</v>
      </c>
      <c r="K91" s="674">
        <v>150.30594116173756</v>
      </c>
      <c r="L91" s="674">
        <v>58.274431955623804</v>
      </c>
      <c r="M91" s="674">
        <v>129.71507620736398</v>
      </c>
      <c r="N91" s="674">
        <v>153.52862429127737</v>
      </c>
      <c r="O91" s="674">
        <v>57.638355032514561</v>
      </c>
      <c r="P91" s="674">
        <v>128.29921055606616</v>
      </c>
      <c r="Q91" s="674">
        <v>151.85282906391666</v>
      </c>
    </row>
    <row r="92" spans="3:17" x14ac:dyDescent="0.15">
      <c r="C92" s="37"/>
      <c r="D92" s="41"/>
      <c r="E92" s="25"/>
      <c r="F92" s="23" t="s">
        <v>290</v>
      </c>
      <c r="H92" s="23">
        <v>344</v>
      </c>
      <c r="I92" s="674">
        <v>57.051207103490647</v>
      </c>
      <c r="J92" s="674">
        <v>126.99225764717585</v>
      </c>
      <c r="K92" s="674">
        <v>150.30594116173756</v>
      </c>
      <c r="L92" s="674">
        <v>58.274431955623804</v>
      </c>
      <c r="M92" s="674">
        <v>129.71507620736398</v>
      </c>
      <c r="N92" s="674">
        <v>153.52862429127737</v>
      </c>
      <c r="O92" s="674">
        <v>57.638355032514561</v>
      </c>
      <c r="P92" s="674">
        <v>128.29921055606616</v>
      </c>
      <c r="Q92" s="674">
        <v>151.85282906391666</v>
      </c>
    </row>
    <row r="93" spans="3:17" x14ac:dyDescent="0.15">
      <c r="C93" s="38"/>
      <c r="D93" s="42"/>
      <c r="E93" s="26"/>
      <c r="F93" s="23" t="s">
        <v>291</v>
      </c>
      <c r="H93" s="23">
        <v>345</v>
      </c>
      <c r="I93" s="674">
        <v>57.051207103490647</v>
      </c>
      <c r="J93" s="674">
        <v>126.99225764717585</v>
      </c>
      <c r="K93" s="674">
        <v>150.30594116173756</v>
      </c>
      <c r="L93" s="674">
        <v>58.274431955623804</v>
      </c>
      <c r="M93" s="674">
        <v>129.71507620736398</v>
      </c>
      <c r="N93" s="674">
        <v>153.52862429127737</v>
      </c>
      <c r="O93" s="674">
        <v>57.638355032514561</v>
      </c>
      <c r="P93" s="674">
        <v>128.29921055606616</v>
      </c>
      <c r="Q93" s="674">
        <v>151.85282906391666</v>
      </c>
    </row>
    <row r="94" spans="3:17" x14ac:dyDescent="0.15">
      <c r="C94" s="43" t="s">
        <v>290</v>
      </c>
      <c r="D94" s="40"/>
      <c r="E94" s="24" t="s">
        <v>292</v>
      </c>
      <c r="F94" s="23" t="s">
        <v>289</v>
      </c>
      <c r="H94" s="23">
        <v>413</v>
      </c>
      <c r="I94" s="674">
        <v>57.051207103490647</v>
      </c>
      <c r="J94" s="674">
        <v>126.99225764717585</v>
      </c>
      <c r="K94" s="674">
        <v>150.30594116173756</v>
      </c>
      <c r="L94" s="674">
        <v>58.274431955623804</v>
      </c>
      <c r="M94" s="674">
        <v>129.71507620736398</v>
      </c>
      <c r="N94" s="674">
        <v>153.52862429127737</v>
      </c>
      <c r="O94" s="674">
        <v>57.638355032514561</v>
      </c>
      <c r="P94" s="674">
        <v>128.29921055606616</v>
      </c>
      <c r="Q94" s="674">
        <v>151.85282906391666</v>
      </c>
    </row>
    <row r="95" spans="3:17" x14ac:dyDescent="0.15">
      <c r="C95" s="37"/>
      <c r="D95" s="41"/>
      <c r="E95" s="25"/>
      <c r="F95" s="23" t="s">
        <v>290</v>
      </c>
      <c r="H95" s="23">
        <v>414</v>
      </c>
      <c r="I95" s="674">
        <v>57.051207103490647</v>
      </c>
      <c r="J95" s="674">
        <v>126.99225764717585</v>
      </c>
      <c r="K95" s="674">
        <v>150.30594116173756</v>
      </c>
      <c r="L95" s="674">
        <v>58.274431955623804</v>
      </c>
      <c r="M95" s="674">
        <v>129.71507620736398</v>
      </c>
      <c r="N95" s="674">
        <v>153.52862429127737</v>
      </c>
      <c r="O95" s="674">
        <v>57.638355032514561</v>
      </c>
      <c r="P95" s="674">
        <v>128.29921055606616</v>
      </c>
      <c r="Q95" s="674">
        <v>151.85282906391666</v>
      </c>
    </row>
    <row r="96" spans="3:17" x14ac:dyDescent="0.15">
      <c r="C96" s="37"/>
      <c r="D96" s="41"/>
      <c r="E96" s="26"/>
      <c r="F96" s="23" t="s">
        <v>291</v>
      </c>
      <c r="H96" s="23">
        <v>415</v>
      </c>
      <c r="I96" s="674">
        <v>57.051207103490647</v>
      </c>
      <c r="J96" s="674">
        <v>126.99225764717585</v>
      </c>
      <c r="K96" s="674">
        <v>150.30594116173756</v>
      </c>
      <c r="L96" s="674">
        <v>58.274431955623804</v>
      </c>
      <c r="M96" s="674">
        <v>129.71507620736398</v>
      </c>
      <c r="N96" s="674">
        <v>153.52862429127737</v>
      </c>
      <c r="O96" s="674">
        <v>57.638355032514561</v>
      </c>
      <c r="P96" s="674">
        <v>128.29921055606616</v>
      </c>
      <c r="Q96" s="674">
        <v>151.85282906391666</v>
      </c>
    </row>
    <row r="97" spans="3:21" x14ac:dyDescent="0.15">
      <c r="C97" s="37"/>
      <c r="D97" s="41"/>
      <c r="E97" s="24" t="s">
        <v>293</v>
      </c>
      <c r="F97" s="23" t="s">
        <v>289</v>
      </c>
      <c r="H97" s="23">
        <v>423</v>
      </c>
      <c r="I97" s="674">
        <v>57.051207103490647</v>
      </c>
      <c r="J97" s="674">
        <v>126.99225764717585</v>
      </c>
      <c r="K97" s="674">
        <v>150.30594116173756</v>
      </c>
      <c r="L97" s="674">
        <v>58.274431955623804</v>
      </c>
      <c r="M97" s="674">
        <v>129.71507620736398</v>
      </c>
      <c r="N97" s="674">
        <v>153.52862429127737</v>
      </c>
      <c r="O97" s="674">
        <v>57.638355032514561</v>
      </c>
      <c r="P97" s="674">
        <v>128.29921055606616</v>
      </c>
      <c r="Q97" s="674">
        <v>151.85282906391666</v>
      </c>
    </row>
    <row r="98" spans="3:21" x14ac:dyDescent="0.15">
      <c r="C98" s="37"/>
      <c r="D98" s="41"/>
      <c r="E98" s="25"/>
      <c r="F98" s="23" t="s">
        <v>290</v>
      </c>
      <c r="H98" s="23">
        <v>424</v>
      </c>
      <c r="I98" s="674">
        <v>57.051207103490647</v>
      </c>
      <c r="J98" s="674">
        <v>126.99225764717585</v>
      </c>
      <c r="K98" s="674">
        <v>150.30594116173756</v>
      </c>
      <c r="L98" s="674">
        <v>58.274431955623804</v>
      </c>
      <c r="M98" s="674">
        <v>129.71507620736398</v>
      </c>
      <c r="N98" s="674">
        <v>153.52862429127737</v>
      </c>
      <c r="O98" s="674">
        <v>57.638355032514561</v>
      </c>
      <c r="P98" s="674">
        <v>128.29921055606616</v>
      </c>
      <c r="Q98" s="674">
        <v>151.85282906391666</v>
      </c>
      <c r="T98" s="171"/>
      <c r="U98" s="171"/>
    </row>
    <row r="99" spans="3:21" x14ac:dyDescent="0.15">
      <c r="C99" s="37"/>
      <c r="D99" s="41"/>
      <c r="E99" s="26"/>
      <c r="F99" s="23" t="s">
        <v>291</v>
      </c>
      <c r="H99" s="23">
        <v>425</v>
      </c>
      <c r="I99" s="674">
        <v>57.051207103490647</v>
      </c>
      <c r="J99" s="674">
        <v>126.99225764717585</v>
      </c>
      <c r="K99" s="674">
        <v>150.30594116173756</v>
      </c>
      <c r="L99" s="674">
        <v>58.274431955623804</v>
      </c>
      <c r="M99" s="674">
        <v>129.71507620736398</v>
      </c>
      <c r="N99" s="674">
        <v>153.52862429127737</v>
      </c>
      <c r="O99" s="674">
        <v>57.638355032514561</v>
      </c>
      <c r="P99" s="674">
        <v>128.29921055606616</v>
      </c>
      <c r="Q99" s="674">
        <v>151.85282906391666</v>
      </c>
      <c r="T99" s="171"/>
      <c r="U99" s="171"/>
    </row>
    <row r="100" spans="3:21" x14ac:dyDescent="0.15">
      <c r="C100" s="37"/>
      <c r="D100" s="41"/>
      <c r="E100" s="24" t="s">
        <v>289</v>
      </c>
      <c r="F100" s="23" t="s">
        <v>289</v>
      </c>
      <c r="H100" s="23">
        <v>433</v>
      </c>
      <c r="I100" s="674">
        <v>57.051207103490647</v>
      </c>
      <c r="J100" s="674">
        <v>126.99225764717585</v>
      </c>
      <c r="K100" s="674">
        <v>150.30594116173756</v>
      </c>
      <c r="L100" s="674">
        <v>58.274431955623804</v>
      </c>
      <c r="M100" s="674">
        <v>129.71507620736398</v>
      </c>
      <c r="N100" s="674">
        <v>153.52862429127737</v>
      </c>
      <c r="O100" s="674">
        <v>57.638355032514561</v>
      </c>
      <c r="P100" s="674">
        <v>128.29921055606616</v>
      </c>
      <c r="Q100" s="674">
        <v>151.85282906391666</v>
      </c>
      <c r="T100" s="171"/>
      <c r="U100" s="171"/>
    </row>
    <row r="101" spans="3:21" x14ac:dyDescent="0.15">
      <c r="C101" s="37"/>
      <c r="D101" s="41"/>
      <c r="E101" s="25"/>
      <c r="F101" s="23" t="s">
        <v>290</v>
      </c>
      <c r="H101" s="23">
        <v>434</v>
      </c>
      <c r="I101" s="674">
        <v>57.051207103490647</v>
      </c>
      <c r="J101" s="674">
        <v>126.99225764717585</v>
      </c>
      <c r="K101" s="674">
        <v>150.30594116173756</v>
      </c>
      <c r="L101" s="674">
        <v>58.274431955623804</v>
      </c>
      <c r="M101" s="674">
        <v>129.71507620736398</v>
      </c>
      <c r="N101" s="674">
        <v>153.52862429127737</v>
      </c>
      <c r="O101" s="674">
        <v>57.638355032514561</v>
      </c>
      <c r="P101" s="674">
        <v>128.29921055606616</v>
      </c>
      <c r="Q101" s="674">
        <v>151.85282906391666</v>
      </c>
      <c r="T101" s="171"/>
      <c r="U101" s="171"/>
    </row>
    <row r="102" spans="3:21" x14ac:dyDescent="0.15">
      <c r="C102" s="37"/>
      <c r="D102" s="41"/>
      <c r="E102" s="26"/>
      <c r="F102" s="23" t="s">
        <v>291</v>
      </c>
      <c r="H102" s="23">
        <v>435</v>
      </c>
      <c r="I102" s="674">
        <v>57.051207103490647</v>
      </c>
      <c r="J102" s="674">
        <v>126.99225764717585</v>
      </c>
      <c r="K102" s="674">
        <v>150.30594116173756</v>
      </c>
      <c r="L102" s="674">
        <v>58.274431955623804</v>
      </c>
      <c r="M102" s="674">
        <v>129.71507620736398</v>
      </c>
      <c r="N102" s="674">
        <v>153.52862429127737</v>
      </c>
      <c r="O102" s="674">
        <v>57.638355032514561</v>
      </c>
      <c r="P102" s="674">
        <v>128.29921055606616</v>
      </c>
      <c r="Q102" s="674">
        <v>151.85282906391666</v>
      </c>
      <c r="T102" s="171"/>
      <c r="U102" s="171"/>
    </row>
    <row r="103" spans="3:21" x14ac:dyDescent="0.15">
      <c r="C103" s="37"/>
      <c r="D103" s="41"/>
      <c r="E103" s="24" t="s">
        <v>290</v>
      </c>
      <c r="F103" s="23" t="s">
        <v>289</v>
      </c>
      <c r="H103" s="23">
        <v>443</v>
      </c>
      <c r="I103" s="674">
        <v>57.051207103490647</v>
      </c>
      <c r="J103" s="674">
        <v>126.99225764717585</v>
      </c>
      <c r="K103" s="674">
        <v>150.30594116173756</v>
      </c>
      <c r="L103" s="674">
        <v>58.274431955623804</v>
      </c>
      <c r="M103" s="674">
        <v>129.71507620736398</v>
      </c>
      <c r="N103" s="674">
        <v>153.52862429127737</v>
      </c>
      <c r="O103" s="674">
        <v>57.638355032514561</v>
      </c>
      <c r="P103" s="674">
        <v>128.29921055606616</v>
      </c>
      <c r="Q103" s="674">
        <v>151.85282906391666</v>
      </c>
      <c r="T103" s="171"/>
      <c r="U103" s="171"/>
    </row>
    <row r="104" spans="3:21" x14ac:dyDescent="0.15">
      <c r="C104" s="37"/>
      <c r="D104" s="41"/>
      <c r="E104" s="25"/>
      <c r="F104" s="23" t="s">
        <v>290</v>
      </c>
      <c r="H104" s="23">
        <v>444</v>
      </c>
      <c r="I104" s="674">
        <v>57.051207103490647</v>
      </c>
      <c r="J104" s="674">
        <v>126.99225764717585</v>
      </c>
      <c r="K104" s="674">
        <v>150.30594116173756</v>
      </c>
      <c r="L104" s="674">
        <v>58.274431955623804</v>
      </c>
      <c r="M104" s="674">
        <v>129.71507620736398</v>
      </c>
      <c r="N104" s="674">
        <v>153.52862429127737</v>
      </c>
      <c r="O104" s="674">
        <v>57.638355032514561</v>
      </c>
      <c r="P104" s="674">
        <v>128.29921055606616</v>
      </c>
      <c r="Q104" s="674">
        <v>151.85282906391666</v>
      </c>
      <c r="T104" s="171"/>
      <c r="U104" s="171"/>
    </row>
    <row r="105" spans="3:21" x14ac:dyDescent="0.15">
      <c r="C105" s="38"/>
      <c r="D105" s="42"/>
      <c r="E105" s="26"/>
      <c r="F105" s="23" t="s">
        <v>291</v>
      </c>
      <c r="H105" s="23">
        <v>445</v>
      </c>
      <c r="I105" s="674">
        <v>57.051207103490647</v>
      </c>
      <c r="J105" s="674">
        <v>126.99225764717585</v>
      </c>
      <c r="K105" s="674">
        <v>150.30594116173756</v>
      </c>
      <c r="L105" s="674">
        <v>58.274431955623804</v>
      </c>
      <c r="M105" s="674">
        <v>129.71507620736398</v>
      </c>
      <c r="N105" s="674">
        <v>153.52862429127737</v>
      </c>
      <c r="O105" s="674">
        <v>57.638355032514561</v>
      </c>
      <c r="P105" s="674">
        <v>128.29921055606616</v>
      </c>
      <c r="Q105" s="674">
        <v>151.85282906391666</v>
      </c>
      <c r="T105" s="171"/>
      <c r="U105" s="171"/>
    </row>
    <row r="106" spans="3:21" hidden="1" x14ac:dyDescent="0.15">
      <c r="T106" s="171"/>
      <c r="U106" s="171"/>
    </row>
    <row r="107" spans="3:21" ht="16.5" hidden="1" x14ac:dyDescent="0.25">
      <c r="C107" s="315" t="s">
        <v>295</v>
      </c>
      <c r="D107" s="29"/>
      <c r="I107" s="301" t="s">
        <v>296</v>
      </c>
      <c r="J107" s="53"/>
      <c r="K107" s="53"/>
      <c r="L107" s="54"/>
      <c r="M107" s="54"/>
      <c r="N107" s="54"/>
      <c r="O107" s="54"/>
      <c r="P107" s="54"/>
      <c r="Q107" s="55"/>
      <c r="T107" s="171"/>
      <c r="U107" s="171"/>
    </row>
    <row r="108" spans="3:21" ht="14.25" hidden="1" x14ac:dyDescent="0.15">
      <c r="C108" s="21"/>
      <c r="D108" s="21"/>
      <c r="E108" s="21"/>
      <c r="F108" s="13" t="s">
        <v>285</v>
      </c>
      <c r="I108" s="302" t="s">
        <v>297</v>
      </c>
      <c r="J108" s="303"/>
      <c r="K108" s="304"/>
      <c r="L108" s="302" t="s">
        <v>298</v>
      </c>
      <c r="M108" s="303"/>
      <c r="N108" s="304"/>
      <c r="O108" s="302" t="s">
        <v>299</v>
      </c>
      <c r="P108" s="303"/>
      <c r="Q108" s="57"/>
      <c r="T108" s="171"/>
      <c r="U108" s="171"/>
    </row>
    <row r="109" spans="3:21" ht="16.5" hidden="1" x14ac:dyDescent="0.25">
      <c r="C109" s="305" t="s">
        <v>286</v>
      </c>
      <c r="D109" s="306"/>
      <c r="E109" s="307" t="s">
        <v>287</v>
      </c>
      <c r="F109" s="308" t="s">
        <v>288</v>
      </c>
      <c r="I109" s="309" t="s">
        <v>300</v>
      </c>
      <c r="J109" s="309" t="s">
        <v>301</v>
      </c>
      <c r="K109" s="309" t="s">
        <v>302</v>
      </c>
      <c r="L109" s="309" t="s">
        <v>300</v>
      </c>
      <c r="M109" s="309" t="s">
        <v>301</v>
      </c>
      <c r="N109" s="309" t="s">
        <v>302</v>
      </c>
      <c r="O109" s="309" t="s">
        <v>300</v>
      </c>
      <c r="P109" s="309" t="s">
        <v>301</v>
      </c>
      <c r="Q109" s="309" t="s">
        <v>302</v>
      </c>
      <c r="T109" s="171"/>
      <c r="U109" s="171"/>
    </row>
    <row r="110" spans="3:21" hidden="1" x14ac:dyDescent="0.15">
      <c r="C110" s="310" t="s">
        <v>292</v>
      </c>
      <c r="D110" s="311"/>
      <c r="E110" s="312" t="s">
        <v>292</v>
      </c>
      <c r="F110" s="313" t="s">
        <v>289</v>
      </c>
      <c r="I110" s="314">
        <v>3.91</v>
      </c>
      <c r="J110" s="314">
        <v>5.21</v>
      </c>
      <c r="K110" s="314">
        <v>6</v>
      </c>
      <c r="L110" s="314">
        <v>4.1100000000000003</v>
      </c>
      <c r="M110" s="314">
        <v>5.94</v>
      </c>
      <c r="N110" s="314">
        <v>6.91</v>
      </c>
      <c r="O110" s="314">
        <v>1.58</v>
      </c>
      <c r="P110" s="314">
        <v>3.14</v>
      </c>
      <c r="Q110" s="314">
        <v>3.7</v>
      </c>
      <c r="T110" s="171"/>
      <c r="U110" s="171"/>
    </row>
    <row r="111" spans="3:21" hidden="1" x14ac:dyDescent="0.15">
      <c r="C111" s="37"/>
      <c r="D111" s="41"/>
      <c r="E111" s="25"/>
      <c r="F111" s="313" t="s">
        <v>290</v>
      </c>
      <c r="I111" s="314">
        <v>3.91</v>
      </c>
      <c r="J111" s="314">
        <v>5.21</v>
      </c>
      <c r="K111" s="314">
        <v>6</v>
      </c>
      <c r="L111" s="314">
        <v>4.1100000000000003</v>
      </c>
      <c r="M111" s="314">
        <v>5.94</v>
      </c>
      <c r="N111" s="314">
        <v>6.91</v>
      </c>
      <c r="O111" s="314">
        <v>1.58</v>
      </c>
      <c r="P111" s="314">
        <v>3.14</v>
      </c>
      <c r="Q111" s="314">
        <v>3.7</v>
      </c>
      <c r="T111" s="171"/>
      <c r="U111" s="171"/>
    </row>
    <row r="112" spans="3:21" hidden="1" x14ac:dyDescent="0.15">
      <c r="C112" s="37"/>
      <c r="D112" s="41"/>
      <c r="E112" s="26"/>
      <c r="F112" s="313" t="s">
        <v>291</v>
      </c>
      <c r="I112" s="314">
        <v>3.91</v>
      </c>
      <c r="J112" s="314">
        <v>5.21</v>
      </c>
      <c r="K112" s="314">
        <v>6</v>
      </c>
      <c r="L112" s="314">
        <v>4.1100000000000003</v>
      </c>
      <c r="M112" s="314">
        <v>5.94</v>
      </c>
      <c r="N112" s="314">
        <v>6.91</v>
      </c>
      <c r="O112" s="314">
        <v>1.58</v>
      </c>
      <c r="P112" s="314">
        <v>3.14</v>
      </c>
      <c r="Q112" s="314">
        <v>3.7</v>
      </c>
      <c r="T112" s="171"/>
      <c r="U112" s="171"/>
    </row>
    <row r="113" spans="3:21" hidden="1" x14ac:dyDescent="0.15">
      <c r="C113" s="37"/>
      <c r="D113" s="41"/>
      <c r="E113" s="312" t="s">
        <v>293</v>
      </c>
      <c r="F113" s="313" t="s">
        <v>289</v>
      </c>
      <c r="I113" s="314">
        <v>3.91</v>
      </c>
      <c r="J113" s="314">
        <v>5.21</v>
      </c>
      <c r="K113" s="314">
        <v>6</v>
      </c>
      <c r="L113" s="314">
        <v>4.1100000000000003</v>
      </c>
      <c r="M113" s="314">
        <v>5.94</v>
      </c>
      <c r="N113" s="314">
        <v>6.91</v>
      </c>
      <c r="O113" s="314">
        <v>1.58</v>
      </c>
      <c r="P113" s="314">
        <v>3.14</v>
      </c>
      <c r="Q113" s="314">
        <v>3.7</v>
      </c>
      <c r="T113" s="171"/>
      <c r="U113" s="171"/>
    </row>
    <row r="114" spans="3:21" hidden="1" x14ac:dyDescent="0.15">
      <c r="C114" s="37"/>
      <c r="D114" s="41"/>
      <c r="E114" s="25"/>
      <c r="F114" s="313" t="s">
        <v>290</v>
      </c>
      <c r="I114" s="314">
        <v>3.48</v>
      </c>
      <c r="J114" s="314">
        <v>4.78</v>
      </c>
      <c r="K114" s="314">
        <v>5.57</v>
      </c>
      <c r="L114" s="314">
        <v>3.67</v>
      </c>
      <c r="M114" s="314">
        <v>5.5</v>
      </c>
      <c r="N114" s="314">
        <v>6.48</v>
      </c>
      <c r="O114" s="314">
        <v>1.55</v>
      </c>
      <c r="P114" s="314">
        <v>3.11</v>
      </c>
      <c r="Q114" s="314">
        <v>3.66</v>
      </c>
      <c r="T114" s="171"/>
      <c r="U114" s="171"/>
    </row>
    <row r="115" spans="3:21" hidden="1" x14ac:dyDescent="0.15">
      <c r="C115" s="37"/>
      <c r="D115" s="41"/>
      <c r="E115" s="26"/>
      <c r="F115" s="313" t="s">
        <v>291</v>
      </c>
      <c r="I115" s="314">
        <v>3.06</v>
      </c>
      <c r="J115" s="314">
        <v>4.78</v>
      </c>
      <c r="K115" s="314">
        <v>5.43</v>
      </c>
      <c r="L115" s="314">
        <v>3.24</v>
      </c>
      <c r="M115" s="314">
        <v>5.5</v>
      </c>
      <c r="N115" s="314">
        <v>6.33</v>
      </c>
      <c r="O115" s="314">
        <v>1.51</v>
      </c>
      <c r="P115" s="314">
        <v>3.11</v>
      </c>
      <c r="Q115" s="314">
        <v>3.65</v>
      </c>
      <c r="T115" s="171"/>
      <c r="U115" s="171"/>
    </row>
    <row r="116" spans="3:21" hidden="1" x14ac:dyDescent="0.15">
      <c r="C116" s="37"/>
      <c r="D116" s="41"/>
      <c r="E116" s="312" t="s">
        <v>289</v>
      </c>
      <c r="F116" s="313" t="s">
        <v>289</v>
      </c>
      <c r="I116" s="314">
        <v>3.06</v>
      </c>
      <c r="J116" s="314">
        <v>4.57</v>
      </c>
      <c r="K116" s="314">
        <v>5.43</v>
      </c>
      <c r="L116" s="314">
        <v>3.24</v>
      </c>
      <c r="M116" s="314">
        <v>5.29</v>
      </c>
      <c r="N116" s="314">
        <v>6.33</v>
      </c>
      <c r="O116" s="314">
        <v>1.51</v>
      </c>
      <c r="P116" s="314">
        <v>3.09</v>
      </c>
      <c r="Q116" s="314">
        <v>3.65</v>
      </c>
      <c r="T116" s="171"/>
      <c r="U116" s="171"/>
    </row>
    <row r="117" spans="3:21" hidden="1" x14ac:dyDescent="0.15">
      <c r="C117" s="37"/>
      <c r="D117" s="41"/>
      <c r="E117" s="25"/>
      <c r="F117" s="313" t="s">
        <v>290</v>
      </c>
      <c r="I117" s="314">
        <v>3.06</v>
      </c>
      <c r="J117" s="314">
        <v>4.57</v>
      </c>
      <c r="K117" s="314">
        <v>5.15</v>
      </c>
      <c r="L117" s="314">
        <v>3.24</v>
      </c>
      <c r="M117" s="314">
        <v>5.29</v>
      </c>
      <c r="N117" s="314">
        <v>6.05</v>
      </c>
      <c r="O117" s="314">
        <v>1.51</v>
      </c>
      <c r="P117" s="314">
        <v>3.09</v>
      </c>
      <c r="Q117" s="314">
        <v>3.63</v>
      </c>
      <c r="T117" s="171"/>
      <c r="U117" s="171"/>
    </row>
    <row r="118" spans="3:21" hidden="1" x14ac:dyDescent="0.15">
      <c r="C118" s="37"/>
      <c r="D118" s="41"/>
      <c r="E118" s="26"/>
      <c r="F118" s="313" t="s">
        <v>291</v>
      </c>
      <c r="I118" s="314">
        <v>3.06</v>
      </c>
      <c r="J118" s="314">
        <v>4.3600000000000003</v>
      </c>
      <c r="K118" s="314">
        <v>5.15</v>
      </c>
      <c r="L118" s="314">
        <v>3.24</v>
      </c>
      <c r="M118" s="314">
        <v>5.07</v>
      </c>
      <c r="N118" s="314">
        <v>6.05</v>
      </c>
      <c r="O118" s="314">
        <v>1.51</v>
      </c>
      <c r="P118" s="314">
        <v>3.07</v>
      </c>
      <c r="Q118" s="314">
        <v>3.63</v>
      </c>
      <c r="T118" s="171"/>
      <c r="U118" s="171"/>
    </row>
    <row r="119" spans="3:21" hidden="1" x14ac:dyDescent="0.15">
      <c r="C119" s="37"/>
      <c r="D119" s="41"/>
      <c r="E119" s="312" t="s">
        <v>290</v>
      </c>
      <c r="F119" s="313" t="s">
        <v>289</v>
      </c>
      <c r="I119" s="314">
        <v>3.06</v>
      </c>
      <c r="J119" s="314">
        <v>4.3600000000000003</v>
      </c>
      <c r="K119" s="314">
        <v>5.15</v>
      </c>
      <c r="L119" s="314">
        <v>3.24</v>
      </c>
      <c r="M119" s="314">
        <v>5.07</v>
      </c>
      <c r="N119" s="314">
        <v>6.05</v>
      </c>
      <c r="O119" s="314">
        <v>1.51</v>
      </c>
      <c r="P119" s="314">
        <v>3.07</v>
      </c>
      <c r="Q119" s="314">
        <v>3.63</v>
      </c>
      <c r="T119" s="171"/>
      <c r="U119" s="171"/>
    </row>
    <row r="120" spans="3:21" hidden="1" x14ac:dyDescent="0.15">
      <c r="C120" s="37"/>
      <c r="D120" s="41"/>
      <c r="E120" s="25"/>
      <c r="F120" s="313" t="s">
        <v>290</v>
      </c>
      <c r="I120" s="314">
        <v>3.06</v>
      </c>
      <c r="J120" s="314">
        <v>4.3600000000000003</v>
      </c>
      <c r="K120" s="314">
        <v>5.01</v>
      </c>
      <c r="L120" s="314">
        <v>3.24</v>
      </c>
      <c r="M120" s="314">
        <v>5.07</v>
      </c>
      <c r="N120" s="314">
        <v>5.9</v>
      </c>
      <c r="O120" s="314">
        <v>1.51</v>
      </c>
      <c r="P120" s="314">
        <v>3.07</v>
      </c>
      <c r="Q120" s="314">
        <v>3.62</v>
      </c>
      <c r="T120" s="171"/>
      <c r="U120" s="171"/>
    </row>
    <row r="121" spans="3:21" hidden="1" x14ac:dyDescent="0.15">
      <c r="C121" s="38"/>
      <c r="D121" s="42"/>
      <c r="E121" s="26"/>
      <c r="F121" s="313" t="s">
        <v>291</v>
      </c>
      <c r="I121" s="314">
        <v>3.06</v>
      </c>
      <c r="J121" s="314">
        <v>4.3600000000000003</v>
      </c>
      <c r="K121" s="314">
        <v>5.01</v>
      </c>
      <c r="L121" s="314">
        <v>3.24</v>
      </c>
      <c r="M121" s="314">
        <v>5.07</v>
      </c>
      <c r="N121" s="314">
        <v>5.9</v>
      </c>
      <c r="O121" s="314">
        <v>1.51</v>
      </c>
      <c r="P121" s="314">
        <v>3.07</v>
      </c>
      <c r="Q121" s="314">
        <v>3.62</v>
      </c>
      <c r="T121" s="171"/>
      <c r="U121" s="171"/>
    </row>
    <row r="122" spans="3:21" hidden="1" x14ac:dyDescent="0.15">
      <c r="C122" s="310" t="s">
        <v>293</v>
      </c>
      <c r="D122" s="311"/>
      <c r="E122" s="312" t="s">
        <v>292</v>
      </c>
      <c r="F122" s="313" t="s">
        <v>289</v>
      </c>
      <c r="I122" s="314">
        <v>3.91</v>
      </c>
      <c r="J122" s="314">
        <v>5.21</v>
      </c>
      <c r="K122" s="314">
        <v>6</v>
      </c>
      <c r="L122" s="314">
        <v>4.1100000000000003</v>
      </c>
      <c r="M122" s="314">
        <v>5.94</v>
      </c>
      <c r="N122" s="314">
        <v>6.91</v>
      </c>
      <c r="O122" s="314">
        <v>1.58</v>
      </c>
      <c r="P122" s="314">
        <v>3.14</v>
      </c>
      <c r="Q122" s="314">
        <v>3.7</v>
      </c>
      <c r="T122" s="171"/>
      <c r="U122" s="171"/>
    </row>
    <row r="123" spans="3:21" hidden="1" x14ac:dyDescent="0.15">
      <c r="C123" s="37"/>
      <c r="D123" s="41"/>
      <c r="E123" s="25"/>
      <c r="F123" s="313" t="s">
        <v>290</v>
      </c>
      <c r="I123" s="314">
        <v>3.36</v>
      </c>
      <c r="J123" s="314">
        <v>4.66</v>
      </c>
      <c r="K123" s="314">
        <v>5.45</v>
      </c>
      <c r="L123" s="314">
        <v>3.52</v>
      </c>
      <c r="M123" s="314">
        <v>5.35</v>
      </c>
      <c r="N123" s="314">
        <v>6.33</v>
      </c>
      <c r="O123" s="314">
        <v>1.58</v>
      </c>
      <c r="P123" s="314">
        <v>3.14</v>
      </c>
      <c r="Q123" s="314">
        <v>3.7</v>
      </c>
      <c r="T123" s="171"/>
      <c r="U123" s="171"/>
    </row>
    <row r="124" spans="3:21" hidden="1" x14ac:dyDescent="0.15">
      <c r="C124" s="37"/>
      <c r="D124" s="41"/>
      <c r="E124" s="26"/>
      <c r="F124" s="313" t="s">
        <v>291</v>
      </c>
      <c r="I124" s="314">
        <v>2.81</v>
      </c>
      <c r="J124" s="314">
        <v>4.66</v>
      </c>
      <c r="K124" s="314">
        <v>5.27</v>
      </c>
      <c r="L124" s="314">
        <v>2.94</v>
      </c>
      <c r="M124" s="314">
        <v>5.35</v>
      </c>
      <c r="N124" s="314">
        <v>6.13</v>
      </c>
      <c r="O124" s="314">
        <v>1.58</v>
      </c>
      <c r="P124" s="314">
        <v>3.14</v>
      </c>
      <c r="Q124" s="314">
        <v>3.7</v>
      </c>
      <c r="T124" s="171"/>
      <c r="U124" s="171"/>
    </row>
    <row r="125" spans="3:21" hidden="1" x14ac:dyDescent="0.15">
      <c r="C125" s="37"/>
      <c r="D125" s="41"/>
      <c r="E125" s="312" t="s">
        <v>293</v>
      </c>
      <c r="F125" s="313" t="s">
        <v>289</v>
      </c>
      <c r="I125" s="314">
        <v>3.91</v>
      </c>
      <c r="J125" s="314">
        <v>5.21</v>
      </c>
      <c r="K125" s="314">
        <v>6</v>
      </c>
      <c r="L125" s="314">
        <v>4.1100000000000003</v>
      </c>
      <c r="M125" s="314">
        <v>5.94</v>
      </c>
      <c r="N125" s="314">
        <v>6.91</v>
      </c>
      <c r="O125" s="314">
        <v>1.58</v>
      </c>
      <c r="P125" s="314">
        <v>3.14</v>
      </c>
      <c r="Q125" s="314">
        <v>3.7</v>
      </c>
      <c r="T125" s="171"/>
      <c r="U125" s="171"/>
    </row>
    <row r="126" spans="3:21" hidden="1" x14ac:dyDescent="0.15">
      <c r="C126" s="37"/>
      <c r="D126" s="41"/>
      <c r="E126" s="25"/>
      <c r="F126" s="313" t="s">
        <v>290</v>
      </c>
      <c r="I126" s="314">
        <v>2.93</v>
      </c>
      <c r="J126" s="314">
        <v>4.24</v>
      </c>
      <c r="K126" s="314">
        <v>5.03</v>
      </c>
      <c r="L126" s="314">
        <v>3.09</v>
      </c>
      <c r="M126" s="314">
        <v>4.92</v>
      </c>
      <c r="N126" s="314">
        <v>5.9</v>
      </c>
      <c r="O126" s="314">
        <v>1.55</v>
      </c>
      <c r="P126" s="314">
        <v>3.11</v>
      </c>
      <c r="Q126" s="314">
        <v>3.66</v>
      </c>
      <c r="T126" s="171"/>
      <c r="U126" s="171"/>
    </row>
    <row r="127" spans="3:21" hidden="1" x14ac:dyDescent="0.15">
      <c r="C127" s="37"/>
      <c r="D127" s="41"/>
      <c r="E127" s="26"/>
      <c r="F127" s="313" t="s">
        <v>291</v>
      </c>
      <c r="I127" s="314">
        <v>1.96</v>
      </c>
      <c r="J127" s="314">
        <v>4.24</v>
      </c>
      <c r="K127" s="314">
        <v>4.7</v>
      </c>
      <c r="L127" s="314">
        <v>2.0499999999999998</v>
      </c>
      <c r="M127" s="314">
        <v>4.92</v>
      </c>
      <c r="N127" s="314">
        <v>5.56</v>
      </c>
      <c r="O127" s="314">
        <v>1.51</v>
      </c>
      <c r="P127" s="314">
        <v>3.11</v>
      </c>
      <c r="Q127" s="314">
        <v>3.65</v>
      </c>
      <c r="T127" s="171"/>
      <c r="U127" s="171"/>
    </row>
    <row r="128" spans="3:21" hidden="1" x14ac:dyDescent="0.15">
      <c r="C128" s="37"/>
      <c r="D128" s="41"/>
      <c r="E128" s="312" t="s">
        <v>289</v>
      </c>
      <c r="F128" s="313" t="s">
        <v>289</v>
      </c>
      <c r="I128" s="314">
        <v>3.06</v>
      </c>
      <c r="J128" s="314">
        <v>4.57</v>
      </c>
      <c r="K128" s="314">
        <v>5.43</v>
      </c>
      <c r="L128" s="314">
        <v>3.24</v>
      </c>
      <c r="M128" s="314">
        <v>5.29</v>
      </c>
      <c r="N128" s="314">
        <v>6.33</v>
      </c>
      <c r="O128" s="314">
        <v>1.51</v>
      </c>
      <c r="P128" s="314">
        <v>3.09</v>
      </c>
      <c r="Q128" s="314">
        <v>3.65</v>
      </c>
      <c r="T128" s="171"/>
      <c r="U128" s="171"/>
    </row>
    <row r="129" spans="3:21" hidden="1" x14ac:dyDescent="0.15">
      <c r="C129" s="37"/>
      <c r="D129" s="41"/>
      <c r="E129" s="25"/>
      <c r="F129" s="313" t="s">
        <v>290</v>
      </c>
      <c r="I129" s="314">
        <v>2.5099999999999998</v>
      </c>
      <c r="J129" s="314">
        <v>4.0199999999999996</v>
      </c>
      <c r="K129" s="314">
        <v>4.5999999999999996</v>
      </c>
      <c r="L129" s="314">
        <v>2.66</v>
      </c>
      <c r="M129" s="314">
        <v>4.7</v>
      </c>
      <c r="N129" s="314">
        <v>5.46</v>
      </c>
      <c r="O129" s="314">
        <v>1.51</v>
      </c>
      <c r="P129" s="314">
        <v>3.09</v>
      </c>
      <c r="Q129" s="314">
        <v>3.63</v>
      </c>
      <c r="T129" s="171"/>
      <c r="U129" s="171"/>
    </row>
    <row r="130" spans="3:21" hidden="1" x14ac:dyDescent="0.15">
      <c r="C130" s="37"/>
      <c r="D130" s="41"/>
      <c r="E130" s="26"/>
      <c r="F130" s="313" t="s">
        <v>291</v>
      </c>
      <c r="I130" s="314">
        <v>1.96</v>
      </c>
      <c r="J130" s="314">
        <v>3.81</v>
      </c>
      <c r="K130" s="314">
        <v>4.42</v>
      </c>
      <c r="L130" s="314">
        <v>2.08</v>
      </c>
      <c r="M130" s="314">
        <v>4.49</v>
      </c>
      <c r="N130" s="314">
        <v>5.27</v>
      </c>
      <c r="O130" s="314">
        <v>1.51</v>
      </c>
      <c r="P130" s="314">
        <v>3.07</v>
      </c>
      <c r="Q130" s="314">
        <v>3.63</v>
      </c>
      <c r="T130" s="171"/>
      <c r="U130" s="171"/>
    </row>
    <row r="131" spans="3:21" hidden="1" x14ac:dyDescent="0.15">
      <c r="C131" s="37"/>
      <c r="D131" s="41"/>
      <c r="E131" s="312" t="s">
        <v>290</v>
      </c>
      <c r="F131" s="313" t="s">
        <v>289</v>
      </c>
      <c r="I131" s="314">
        <v>3.06</v>
      </c>
      <c r="J131" s="314">
        <v>4.3600000000000003</v>
      </c>
      <c r="K131" s="314">
        <v>5.15</v>
      </c>
      <c r="L131" s="314">
        <v>3.24</v>
      </c>
      <c r="M131" s="314">
        <v>5.07</v>
      </c>
      <c r="N131" s="314">
        <v>6.05</v>
      </c>
      <c r="O131" s="314">
        <v>1.51</v>
      </c>
      <c r="P131" s="314">
        <v>3.07</v>
      </c>
      <c r="Q131" s="314">
        <v>3.63</v>
      </c>
      <c r="T131" s="171"/>
      <c r="U131" s="171"/>
    </row>
    <row r="132" spans="3:21" hidden="1" x14ac:dyDescent="0.15">
      <c r="C132" s="37"/>
      <c r="D132" s="41"/>
      <c r="E132" s="25"/>
      <c r="F132" s="313" t="s">
        <v>290</v>
      </c>
      <c r="I132" s="314">
        <v>2.5099999999999998</v>
      </c>
      <c r="J132" s="314">
        <v>3.81</v>
      </c>
      <c r="K132" s="314">
        <v>4.46</v>
      </c>
      <c r="L132" s="314">
        <v>2.66</v>
      </c>
      <c r="M132" s="314">
        <v>4.49</v>
      </c>
      <c r="N132" s="314">
        <v>5.32</v>
      </c>
      <c r="O132" s="314">
        <v>1.51</v>
      </c>
      <c r="P132" s="314">
        <v>3.07</v>
      </c>
      <c r="Q132" s="314">
        <v>3.62</v>
      </c>
      <c r="T132" s="171"/>
      <c r="U132" s="171"/>
    </row>
    <row r="133" spans="3:21" hidden="1" x14ac:dyDescent="0.15">
      <c r="C133" s="38"/>
      <c r="D133" s="42"/>
      <c r="E133" s="26"/>
      <c r="F133" s="313" t="s">
        <v>291</v>
      </c>
      <c r="I133" s="314">
        <v>1.96</v>
      </c>
      <c r="J133" s="314">
        <v>3.81</v>
      </c>
      <c r="K133" s="314">
        <v>4.28</v>
      </c>
      <c r="L133" s="314">
        <v>2.08</v>
      </c>
      <c r="M133" s="314">
        <v>4.49</v>
      </c>
      <c r="N133" s="314">
        <v>5.12</v>
      </c>
      <c r="O133" s="314">
        <v>1.51</v>
      </c>
      <c r="P133" s="314">
        <v>3.07</v>
      </c>
      <c r="Q133" s="314">
        <v>3.62</v>
      </c>
      <c r="T133" s="171"/>
      <c r="U133" s="171"/>
    </row>
    <row r="134" spans="3:21" hidden="1" x14ac:dyDescent="0.15">
      <c r="C134" s="310" t="s">
        <v>289</v>
      </c>
      <c r="D134" s="311"/>
      <c r="E134" s="312" t="s">
        <v>292</v>
      </c>
      <c r="F134" s="313" t="s">
        <v>289</v>
      </c>
      <c r="I134" s="314">
        <v>2.81</v>
      </c>
      <c r="J134" s="314">
        <v>4.3899999999999997</v>
      </c>
      <c r="K134" s="314">
        <v>5.27</v>
      </c>
      <c r="L134" s="314">
        <v>2.94</v>
      </c>
      <c r="M134" s="314">
        <v>5.0599999999999996</v>
      </c>
      <c r="N134" s="314">
        <v>6.13</v>
      </c>
      <c r="O134" s="314">
        <v>1.58</v>
      </c>
      <c r="P134" s="314">
        <v>3.14</v>
      </c>
      <c r="Q134" s="314">
        <v>3.7</v>
      </c>
      <c r="T134" s="171"/>
      <c r="U134" s="171"/>
    </row>
    <row r="135" spans="3:21" hidden="1" x14ac:dyDescent="0.15">
      <c r="C135" s="37"/>
      <c r="D135" s="41"/>
      <c r="E135" s="25"/>
      <c r="F135" s="313" t="s">
        <v>290</v>
      </c>
      <c r="I135" s="314">
        <v>2.81</v>
      </c>
      <c r="J135" s="314">
        <v>4.3899999999999997</v>
      </c>
      <c r="K135" s="314">
        <v>4.91</v>
      </c>
      <c r="L135" s="314">
        <v>2.94</v>
      </c>
      <c r="M135" s="314">
        <v>5.0599999999999996</v>
      </c>
      <c r="N135" s="314">
        <v>5.75</v>
      </c>
      <c r="O135" s="314">
        <v>1.58</v>
      </c>
      <c r="P135" s="314">
        <v>3.14</v>
      </c>
      <c r="Q135" s="314">
        <v>3.7</v>
      </c>
      <c r="T135" s="171"/>
      <c r="U135" s="171"/>
    </row>
    <row r="136" spans="3:21" hidden="1" x14ac:dyDescent="0.15">
      <c r="C136" s="37"/>
      <c r="D136" s="41"/>
      <c r="E136" s="26"/>
      <c r="F136" s="313" t="s">
        <v>291</v>
      </c>
      <c r="I136" s="314">
        <v>2.81</v>
      </c>
      <c r="J136" s="314">
        <v>4.12</v>
      </c>
      <c r="K136" s="314">
        <v>4.91</v>
      </c>
      <c r="L136" s="314">
        <v>2.94</v>
      </c>
      <c r="M136" s="314">
        <v>4.7699999999999996</v>
      </c>
      <c r="N136" s="314">
        <v>5.75</v>
      </c>
      <c r="O136" s="314">
        <v>1.58</v>
      </c>
      <c r="P136" s="314">
        <v>3.14</v>
      </c>
      <c r="Q136" s="314">
        <v>3.7</v>
      </c>
      <c r="T136" s="171"/>
      <c r="U136" s="171"/>
    </row>
    <row r="137" spans="3:21" hidden="1" x14ac:dyDescent="0.15">
      <c r="C137" s="37"/>
      <c r="D137" s="41"/>
      <c r="E137" s="312" t="s">
        <v>293</v>
      </c>
      <c r="F137" s="313" t="s">
        <v>289</v>
      </c>
      <c r="I137" s="314">
        <v>2.81</v>
      </c>
      <c r="J137" s="314">
        <v>4.3899999999999997</v>
      </c>
      <c r="K137" s="314">
        <v>5.27</v>
      </c>
      <c r="L137" s="314">
        <v>2.94</v>
      </c>
      <c r="M137" s="314">
        <v>5.0599999999999996</v>
      </c>
      <c r="N137" s="314">
        <v>6.13</v>
      </c>
      <c r="O137" s="314">
        <v>1.58</v>
      </c>
      <c r="P137" s="314">
        <v>3.14</v>
      </c>
      <c r="Q137" s="314">
        <v>3.7</v>
      </c>
      <c r="T137" s="171"/>
      <c r="U137" s="171"/>
    </row>
    <row r="138" spans="3:21" hidden="1" x14ac:dyDescent="0.15">
      <c r="C138" s="37"/>
      <c r="D138" s="41"/>
      <c r="E138" s="25"/>
      <c r="F138" s="313" t="s">
        <v>290</v>
      </c>
      <c r="I138" s="314">
        <v>2.39</v>
      </c>
      <c r="J138" s="314">
        <v>3.96</v>
      </c>
      <c r="K138" s="314">
        <v>4.4800000000000004</v>
      </c>
      <c r="L138" s="314">
        <v>2.5099999999999998</v>
      </c>
      <c r="M138" s="314">
        <v>4.63</v>
      </c>
      <c r="N138" s="314">
        <v>5.31</v>
      </c>
      <c r="O138" s="314">
        <v>1.55</v>
      </c>
      <c r="P138" s="314">
        <v>3.11</v>
      </c>
      <c r="Q138" s="314">
        <v>3.66</v>
      </c>
      <c r="T138" s="171"/>
      <c r="U138" s="171"/>
    </row>
    <row r="139" spans="3:21" hidden="1" x14ac:dyDescent="0.15">
      <c r="C139" s="37"/>
      <c r="D139" s="41"/>
      <c r="E139" s="26"/>
      <c r="F139" s="313" t="s">
        <v>291</v>
      </c>
      <c r="I139" s="314">
        <v>1.96</v>
      </c>
      <c r="J139" s="314">
        <v>3.69</v>
      </c>
      <c r="K139" s="314">
        <v>4.34</v>
      </c>
      <c r="L139" s="314">
        <v>2.08</v>
      </c>
      <c r="M139" s="314">
        <v>4.34</v>
      </c>
      <c r="N139" s="314">
        <v>5.17</v>
      </c>
      <c r="O139" s="314">
        <v>1.51</v>
      </c>
      <c r="P139" s="314">
        <v>3.11</v>
      </c>
      <c r="Q139" s="314">
        <v>3.65</v>
      </c>
      <c r="T139" s="171"/>
      <c r="U139" s="171"/>
    </row>
    <row r="140" spans="3:21" hidden="1" x14ac:dyDescent="0.15">
      <c r="C140" s="37"/>
      <c r="D140" s="41"/>
      <c r="E140" s="312" t="s">
        <v>289</v>
      </c>
      <c r="F140" s="313" t="s">
        <v>289</v>
      </c>
      <c r="I140" s="314">
        <v>1.96</v>
      </c>
      <c r="J140" s="314">
        <v>3.75</v>
      </c>
      <c r="K140" s="314">
        <v>4.7</v>
      </c>
      <c r="L140" s="314">
        <v>2.08</v>
      </c>
      <c r="M140" s="314">
        <v>4.41</v>
      </c>
      <c r="N140" s="314">
        <v>5.56</v>
      </c>
      <c r="O140" s="314">
        <v>1.51</v>
      </c>
      <c r="P140" s="314">
        <v>3.09</v>
      </c>
      <c r="Q140" s="314">
        <v>3.65</v>
      </c>
      <c r="T140" s="171"/>
      <c r="U140" s="171"/>
    </row>
    <row r="141" spans="3:21" hidden="1" x14ac:dyDescent="0.15">
      <c r="C141" s="37"/>
      <c r="D141" s="41"/>
      <c r="E141" s="25"/>
      <c r="F141" s="313" t="s">
        <v>290</v>
      </c>
      <c r="I141" s="314">
        <v>1.96</v>
      </c>
      <c r="J141" s="314">
        <v>3.75</v>
      </c>
      <c r="K141" s="314">
        <v>4.0599999999999996</v>
      </c>
      <c r="L141" s="314">
        <v>2.08</v>
      </c>
      <c r="M141" s="314">
        <v>4.41</v>
      </c>
      <c r="N141" s="314">
        <v>4.88</v>
      </c>
      <c r="O141" s="314">
        <v>1.51</v>
      </c>
      <c r="P141" s="314">
        <v>3.09</v>
      </c>
      <c r="Q141" s="314">
        <v>3.63</v>
      </c>
      <c r="T141" s="171"/>
      <c r="U141" s="171"/>
    </row>
    <row r="142" spans="3:21" hidden="1" x14ac:dyDescent="0.15">
      <c r="C142" s="37"/>
      <c r="D142" s="41"/>
      <c r="E142" s="26"/>
      <c r="F142" s="313" t="s">
        <v>291</v>
      </c>
      <c r="I142" s="314">
        <v>1.96</v>
      </c>
      <c r="J142" s="314">
        <v>3.27</v>
      </c>
      <c r="K142" s="314">
        <v>4.0599999999999996</v>
      </c>
      <c r="L142" s="314">
        <v>2.08</v>
      </c>
      <c r="M142" s="314">
        <v>3.9</v>
      </c>
      <c r="N142" s="314">
        <v>4.88</v>
      </c>
      <c r="O142" s="314">
        <v>1.51</v>
      </c>
      <c r="P142" s="314">
        <v>3.07</v>
      </c>
      <c r="Q142" s="314">
        <v>3.63</v>
      </c>
      <c r="T142" s="171"/>
      <c r="U142" s="171"/>
    </row>
    <row r="143" spans="3:21" hidden="1" x14ac:dyDescent="0.15">
      <c r="C143" s="37"/>
      <c r="D143" s="41"/>
      <c r="E143" s="312" t="s">
        <v>290</v>
      </c>
      <c r="F143" s="313" t="s">
        <v>289</v>
      </c>
      <c r="I143" s="314">
        <v>1.96</v>
      </c>
      <c r="J143" s="314">
        <v>3.54</v>
      </c>
      <c r="K143" s="314">
        <v>4.42</v>
      </c>
      <c r="L143" s="314">
        <v>2.08</v>
      </c>
      <c r="M143" s="314">
        <v>4.1900000000000004</v>
      </c>
      <c r="N143" s="314">
        <v>5.27</v>
      </c>
      <c r="O143" s="314">
        <v>1.51</v>
      </c>
      <c r="P143" s="314">
        <v>3.07</v>
      </c>
      <c r="Q143" s="314">
        <v>3.63</v>
      </c>
      <c r="T143" s="171"/>
      <c r="U143" s="171"/>
    </row>
    <row r="144" spans="3:21" hidden="1" x14ac:dyDescent="0.15">
      <c r="C144" s="37"/>
      <c r="D144" s="41"/>
      <c r="E144" s="25"/>
      <c r="F144" s="313" t="s">
        <v>290</v>
      </c>
      <c r="I144" s="314">
        <v>1.96</v>
      </c>
      <c r="J144" s="314">
        <v>3.54</v>
      </c>
      <c r="K144" s="314">
        <v>3.91</v>
      </c>
      <c r="L144" s="314">
        <v>2.08</v>
      </c>
      <c r="M144" s="314">
        <v>4.1900000000000004</v>
      </c>
      <c r="N144" s="314">
        <v>4.74</v>
      </c>
      <c r="O144" s="314">
        <v>1.51</v>
      </c>
      <c r="P144" s="314">
        <v>3.07</v>
      </c>
      <c r="Q144" s="314">
        <v>3.62</v>
      </c>
      <c r="T144" s="171"/>
      <c r="U144" s="171"/>
    </row>
    <row r="145" spans="3:21" hidden="1" x14ac:dyDescent="0.15">
      <c r="C145" s="38"/>
      <c r="D145" s="42"/>
      <c r="E145" s="26"/>
      <c r="F145" s="313" t="s">
        <v>291</v>
      </c>
      <c r="I145" s="314">
        <v>1.96</v>
      </c>
      <c r="J145" s="314">
        <v>3.27</v>
      </c>
      <c r="K145" s="314">
        <v>3.91</v>
      </c>
      <c r="L145" s="314">
        <v>2.08</v>
      </c>
      <c r="M145" s="314">
        <v>3.9</v>
      </c>
      <c r="N145" s="314">
        <v>4.74</v>
      </c>
      <c r="O145" s="314">
        <v>1.51</v>
      </c>
      <c r="P145" s="314">
        <v>3.07</v>
      </c>
      <c r="Q145" s="314">
        <v>3.62</v>
      </c>
      <c r="T145" s="171"/>
      <c r="U145" s="171"/>
    </row>
    <row r="146" spans="3:21" hidden="1" x14ac:dyDescent="0.15">
      <c r="C146" s="310" t="s">
        <v>290</v>
      </c>
      <c r="D146" s="311"/>
      <c r="E146" s="312" t="s">
        <v>292</v>
      </c>
      <c r="F146" s="313" t="s">
        <v>289</v>
      </c>
      <c r="I146" s="314">
        <v>2.81</v>
      </c>
      <c r="J146" s="314">
        <v>4.12</v>
      </c>
      <c r="K146" s="314">
        <v>4.91</v>
      </c>
      <c r="L146" s="314">
        <v>2.94</v>
      </c>
      <c r="M146" s="314">
        <v>4.7699999999999996</v>
      </c>
      <c r="N146" s="314">
        <v>5.75</v>
      </c>
      <c r="O146" s="314">
        <v>1.58</v>
      </c>
      <c r="P146" s="314">
        <v>3.14</v>
      </c>
      <c r="Q146" s="314">
        <v>3.7</v>
      </c>
      <c r="T146" s="171"/>
      <c r="U146" s="171"/>
    </row>
    <row r="147" spans="3:21" hidden="1" x14ac:dyDescent="0.15">
      <c r="C147" s="37"/>
      <c r="D147" s="41"/>
      <c r="E147" s="25"/>
      <c r="F147" s="313" t="s">
        <v>290</v>
      </c>
      <c r="I147" s="314">
        <v>2.81</v>
      </c>
      <c r="J147" s="314">
        <v>4.12</v>
      </c>
      <c r="K147" s="314">
        <v>4.72</v>
      </c>
      <c r="L147" s="314">
        <v>2.94</v>
      </c>
      <c r="M147" s="314">
        <v>4.7699999999999996</v>
      </c>
      <c r="N147" s="314">
        <v>5.55</v>
      </c>
      <c r="O147" s="314">
        <v>1.58</v>
      </c>
      <c r="P147" s="314">
        <v>3.14</v>
      </c>
      <c r="Q147" s="314">
        <v>3.7</v>
      </c>
      <c r="T147" s="171"/>
      <c r="U147" s="171"/>
    </row>
    <row r="148" spans="3:21" hidden="1" x14ac:dyDescent="0.15">
      <c r="C148" s="37"/>
      <c r="D148" s="41"/>
      <c r="E148" s="26"/>
      <c r="F148" s="313" t="s">
        <v>291</v>
      </c>
      <c r="I148" s="314">
        <v>2.81</v>
      </c>
      <c r="J148" s="314">
        <v>4.12</v>
      </c>
      <c r="K148" s="314">
        <v>4.72</v>
      </c>
      <c r="L148" s="314">
        <v>2.94</v>
      </c>
      <c r="M148" s="314">
        <v>4.7699999999999996</v>
      </c>
      <c r="N148" s="314">
        <v>5.55</v>
      </c>
      <c r="O148" s="314">
        <v>1.58</v>
      </c>
      <c r="P148" s="314">
        <v>3.14</v>
      </c>
      <c r="Q148" s="314">
        <v>3.7</v>
      </c>
      <c r="T148" s="171"/>
      <c r="U148" s="171"/>
    </row>
    <row r="149" spans="3:21" hidden="1" x14ac:dyDescent="0.15">
      <c r="C149" s="37"/>
      <c r="D149" s="41"/>
      <c r="E149" s="312" t="s">
        <v>293</v>
      </c>
      <c r="F149" s="313" t="s">
        <v>289</v>
      </c>
      <c r="I149" s="314">
        <v>2.81</v>
      </c>
      <c r="J149" s="314">
        <v>4.12</v>
      </c>
      <c r="K149" s="314">
        <v>4.91</v>
      </c>
      <c r="L149" s="314">
        <v>2.94</v>
      </c>
      <c r="M149" s="314">
        <v>4.7699999999999996</v>
      </c>
      <c r="N149" s="314">
        <v>5.75</v>
      </c>
      <c r="O149" s="314">
        <v>1.58</v>
      </c>
      <c r="P149" s="314">
        <v>3.14</v>
      </c>
      <c r="Q149" s="314">
        <v>3.7</v>
      </c>
      <c r="T149" s="171"/>
      <c r="U149" s="171"/>
    </row>
    <row r="150" spans="3:21" hidden="1" x14ac:dyDescent="0.15">
      <c r="C150" s="37"/>
      <c r="D150" s="41"/>
      <c r="E150" s="25"/>
      <c r="F150" s="313" t="s">
        <v>290</v>
      </c>
      <c r="I150" s="314">
        <v>2.39</v>
      </c>
      <c r="J150" s="314">
        <v>3.69</v>
      </c>
      <c r="K150" s="314">
        <v>4.3</v>
      </c>
      <c r="L150" s="314">
        <v>2.5099999999999998</v>
      </c>
      <c r="M150" s="314">
        <v>4.34</v>
      </c>
      <c r="N150" s="314">
        <v>5.12</v>
      </c>
      <c r="O150" s="314">
        <v>1.55</v>
      </c>
      <c r="P150" s="314">
        <v>3.11</v>
      </c>
      <c r="Q150" s="314">
        <v>3.66</v>
      </c>
      <c r="T150" s="171"/>
      <c r="U150" s="171"/>
    </row>
    <row r="151" spans="3:21" hidden="1" x14ac:dyDescent="0.15">
      <c r="C151" s="37"/>
      <c r="D151" s="41"/>
      <c r="E151" s="26"/>
      <c r="F151" s="313" t="s">
        <v>291</v>
      </c>
      <c r="I151" s="314">
        <v>1.96</v>
      </c>
      <c r="J151" s="314">
        <v>3.69</v>
      </c>
      <c r="K151" s="314">
        <v>4.16</v>
      </c>
      <c r="L151" s="314">
        <v>2.08</v>
      </c>
      <c r="M151" s="314">
        <v>4.34</v>
      </c>
      <c r="N151" s="314">
        <v>4.97</v>
      </c>
      <c r="O151" s="314">
        <v>1.51</v>
      </c>
      <c r="P151" s="314">
        <v>3.11</v>
      </c>
      <c r="Q151" s="314">
        <v>3.65</v>
      </c>
      <c r="T151" s="171"/>
      <c r="U151" s="171"/>
    </row>
    <row r="152" spans="3:21" hidden="1" x14ac:dyDescent="0.15">
      <c r="C152" s="37"/>
      <c r="D152" s="41"/>
      <c r="E152" s="312" t="s">
        <v>289</v>
      </c>
      <c r="F152" s="313" t="s">
        <v>289</v>
      </c>
      <c r="I152" s="314">
        <v>1.96</v>
      </c>
      <c r="J152" s="314">
        <v>3.48</v>
      </c>
      <c r="K152" s="314">
        <v>4.34</v>
      </c>
      <c r="L152" s="314">
        <v>2.08</v>
      </c>
      <c r="M152" s="314">
        <v>4.12</v>
      </c>
      <c r="N152" s="314">
        <v>5.17</v>
      </c>
      <c r="O152" s="314">
        <v>1.51</v>
      </c>
      <c r="P152" s="314">
        <v>3.09</v>
      </c>
      <c r="Q152" s="314">
        <v>3.65</v>
      </c>
      <c r="T152" s="171"/>
      <c r="U152" s="171"/>
    </row>
    <row r="153" spans="3:21" hidden="1" x14ac:dyDescent="0.15">
      <c r="C153" s="37"/>
      <c r="D153" s="41"/>
      <c r="E153" s="25"/>
      <c r="F153" s="313" t="s">
        <v>290</v>
      </c>
      <c r="I153" s="314">
        <v>1.96</v>
      </c>
      <c r="J153" s="314">
        <v>3.48</v>
      </c>
      <c r="K153" s="314">
        <v>3.87</v>
      </c>
      <c r="L153" s="314">
        <v>2.08</v>
      </c>
      <c r="M153" s="314">
        <v>4.12</v>
      </c>
      <c r="N153" s="314">
        <v>4.68</v>
      </c>
      <c r="O153" s="314">
        <v>1.51</v>
      </c>
      <c r="P153" s="314">
        <v>3.09</v>
      </c>
      <c r="Q153" s="314">
        <v>3.63</v>
      </c>
      <c r="T153" s="171"/>
      <c r="U153" s="171"/>
    </row>
    <row r="154" spans="3:21" hidden="1" x14ac:dyDescent="0.15">
      <c r="C154" s="37"/>
      <c r="D154" s="41"/>
      <c r="E154" s="26"/>
      <c r="F154" s="313" t="s">
        <v>291</v>
      </c>
      <c r="I154" s="314">
        <v>1.96</v>
      </c>
      <c r="J154" s="314">
        <v>3.27</v>
      </c>
      <c r="K154" s="314">
        <v>3.87</v>
      </c>
      <c r="L154" s="314">
        <v>2.08</v>
      </c>
      <c r="M154" s="314">
        <v>3.9</v>
      </c>
      <c r="N154" s="314">
        <v>4.68</v>
      </c>
      <c r="O154" s="314">
        <v>1.51</v>
      </c>
      <c r="P154" s="314">
        <v>3.07</v>
      </c>
      <c r="Q154" s="314">
        <v>3.63</v>
      </c>
      <c r="T154" s="171"/>
      <c r="U154" s="171"/>
    </row>
    <row r="155" spans="3:21" hidden="1" x14ac:dyDescent="0.15">
      <c r="C155" s="37"/>
      <c r="D155" s="41"/>
      <c r="E155" s="312" t="s">
        <v>290</v>
      </c>
      <c r="F155" s="313" t="s">
        <v>289</v>
      </c>
      <c r="I155" s="314">
        <v>1.96</v>
      </c>
      <c r="J155" s="314">
        <v>3.27</v>
      </c>
      <c r="K155" s="314">
        <v>4.0599999999999996</v>
      </c>
      <c r="L155" s="314">
        <v>2.08</v>
      </c>
      <c r="M155" s="314">
        <v>3.9</v>
      </c>
      <c r="N155" s="314">
        <v>4.88</v>
      </c>
      <c r="O155" s="314">
        <v>1.51</v>
      </c>
      <c r="P155" s="314">
        <v>3.07</v>
      </c>
      <c r="Q155" s="314">
        <v>3.63</v>
      </c>
      <c r="T155" s="171"/>
      <c r="U155" s="171"/>
    </row>
    <row r="156" spans="3:21" hidden="1" x14ac:dyDescent="0.15">
      <c r="C156" s="37"/>
      <c r="D156" s="41"/>
      <c r="E156" s="25"/>
      <c r="F156" s="313" t="s">
        <v>290</v>
      </c>
      <c r="I156" s="314">
        <v>1.96</v>
      </c>
      <c r="J156" s="314">
        <v>3.27</v>
      </c>
      <c r="K156" s="314">
        <v>3.73</v>
      </c>
      <c r="L156" s="314">
        <v>2.08</v>
      </c>
      <c r="M156" s="314">
        <v>3.9</v>
      </c>
      <c r="N156" s="314">
        <v>4.54</v>
      </c>
      <c r="O156" s="314">
        <v>1.51</v>
      </c>
      <c r="P156" s="314">
        <v>3.07</v>
      </c>
      <c r="Q156" s="314">
        <v>3.62</v>
      </c>
      <c r="T156" s="171"/>
      <c r="U156" s="171"/>
    </row>
    <row r="157" spans="3:21" hidden="1" x14ac:dyDescent="0.15">
      <c r="C157" s="38"/>
      <c r="D157" s="42"/>
      <c r="E157" s="26"/>
      <c r="F157" s="313" t="s">
        <v>291</v>
      </c>
      <c r="I157" s="314">
        <v>1.96</v>
      </c>
      <c r="J157" s="314">
        <v>3.27</v>
      </c>
      <c r="K157" s="314">
        <v>3.73</v>
      </c>
      <c r="L157" s="314">
        <v>2.08</v>
      </c>
      <c r="M157" s="314">
        <v>3.9</v>
      </c>
      <c r="N157" s="314">
        <v>4.54</v>
      </c>
      <c r="O157" s="314">
        <v>1.51</v>
      </c>
      <c r="P157" s="314">
        <v>3.07</v>
      </c>
      <c r="Q157" s="314">
        <v>3.62</v>
      </c>
      <c r="T157" s="171"/>
      <c r="U157" s="171"/>
    </row>
    <row r="158" spans="3:21" hidden="1" x14ac:dyDescent="0.15">
      <c r="T158" s="171"/>
      <c r="U158" s="171"/>
    </row>
    <row r="159" spans="3:21" ht="16.5" hidden="1" x14ac:dyDescent="0.25">
      <c r="C159" s="315" t="s">
        <v>303</v>
      </c>
      <c r="D159" s="29"/>
      <c r="I159" s="301" t="s">
        <v>296</v>
      </c>
      <c r="J159" s="53"/>
      <c r="K159" s="53"/>
      <c r="L159" s="54"/>
      <c r="M159" s="54"/>
      <c r="N159" s="54"/>
      <c r="O159" s="54"/>
      <c r="P159" s="54"/>
      <c r="Q159" s="55"/>
      <c r="T159" s="171"/>
      <c r="U159" s="171"/>
    </row>
    <row r="160" spans="3:21" ht="14.25" hidden="1" x14ac:dyDescent="0.15">
      <c r="C160" s="21"/>
      <c r="D160" s="21"/>
      <c r="E160" s="21"/>
      <c r="F160" s="13" t="s">
        <v>285</v>
      </c>
      <c r="I160" s="302" t="s">
        <v>297</v>
      </c>
      <c r="J160" s="303"/>
      <c r="K160" s="304"/>
      <c r="L160" s="302" t="s">
        <v>298</v>
      </c>
      <c r="M160" s="303"/>
      <c r="N160" s="304"/>
      <c r="O160" s="302" t="s">
        <v>299</v>
      </c>
      <c r="P160" s="303"/>
      <c r="Q160" s="57"/>
      <c r="T160" s="171"/>
      <c r="U160" s="171"/>
    </row>
    <row r="161" spans="3:21" ht="16.5" hidden="1" x14ac:dyDescent="0.25">
      <c r="C161" s="305" t="s">
        <v>286</v>
      </c>
      <c r="D161" s="306"/>
      <c r="E161" s="307" t="s">
        <v>287</v>
      </c>
      <c r="F161" s="308" t="s">
        <v>288</v>
      </c>
      <c r="I161" s="309" t="s">
        <v>300</v>
      </c>
      <c r="J161" s="309" t="s">
        <v>301</v>
      </c>
      <c r="K161" s="309" t="s">
        <v>302</v>
      </c>
      <c r="L161" s="309" t="s">
        <v>300</v>
      </c>
      <c r="M161" s="309" t="s">
        <v>301</v>
      </c>
      <c r="N161" s="309" t="s">
        <v>302</v>
      </c>
      <c r="O161" s="309" t="s">
        <v>300</v>
      </c>
      <c r="P161" s="309" t="s">
        <v>301</v>
      </c>
      <c r="Q161" s="309" t="s">
        <v>302</v>
      </c>
      <c r="T161" s="171"/>
      <c r="U161" s="171"/>
    </row>
    <row r="162" spans="3:21" hidden="1" x14ac:dyDescent="0.15">
      <c r="C162" s="310" t="s">
        <v>292</v>
      </c>
      <c r="D162" s="311"/>
      <c r="E162" s="312" t="s">
        <v>292</v>
      </c>
      <c r="F162" s="313" t="s">
        <v>289</v>
      </c>
      <c r="I162" s="314">
        <v>0.48</v>
      </c>
      <c r="J162" s="314">
        <v>0.32</v>
      </c>
      <c r="K162" s="314">
        <v>0.28999999999999998</v>
      </c>
      <c r="L162" s="314">
        <v>0.69</v>
      </c>
      <c r="M162" s="314">
        <v>0.43</v>
      </c>
      <c r="N162" s="314">
        <v>0.36</v>
      </c>
      <c r="O162" s="314">
        <v>1.0900000000000001</v>
      </c>
      <c r="P162" s="314">
        <v>0.59</v>
      </c>
      <c r="Q162" s="314">
        <v>0.42</v>
      </c>
      <c r="T162" s="171"/>
      <c r="U162" s="171"/>
    </row>
    <row r="163" spans="3:21" hidden="1" x14ac:dyDescent="0.15">
      <c r="C163" s="37"/>
      <c r="D163" s="41"/>
      <c r="E163" s="25"/>
      <c r="F163" s="313" t="s">
        <v>290</v>
      </c>
      <c r="I163" s="314">
        <v>0.48</v>
      </c>
      <c r="J163" s="314">
        <v>0.32</v>
      </c>
      <c r="K163" s="314">
        <v>0.28999999999999998</v>
      </c>
      <c r="L163" s="314">
        <v>0.69</v>
      </c>
      <c r="M163" s="314">
        <v>0.43</v>
      </c>
      <c r="N163" s="314">
        <v>0.36</v>
      </c>
      <c r="O163" s="314">
        <v>1.0900000000000001</v>
      </c>
      <c r="P163" s="314">
        <v>0.59</v>
      </c>
      <c r="Q163" s="314">
        <v>0.42</v>
      </c>
      <c r="T163" s="171"/>
      <c r="U163" s="171"/>
    </row>
    <row r="164" spans="3:21" hidden="1" x14ac:dyDescent="0.15">
      <c r="C164" s="37"/>
      <c r="D164" s="41"/>
      <c r="E164" s="26"/>
      <c r="F164" s="313" t="s">
        <v>291</v>
      </c>
      <c r="I164" s="314">
        <v>0.48</v>
      </c>
      <c r="J164" s="314">
        <v>0.32</v>
      </c>
      <c r="K164" s="314">
        <v>0.28999999999999998</v>
      </c>
      <c r="L164" s="314">
        <v>0.69</v>
      </c>
      <c r="M164" s="314">
        <v>0.43</v>
      </c>
      <c r="N164" s="314">
        <v>0.36</v>
      </c>
      <c r="O164" s="314">
        <v>1.0900000000000001</v>
      </c>
      <c r="P164" s="314">
        <v>0.59</v>
      </c>
      <c r="Q164" s="314">
        <v>0.42</v>
      </c>
      <c r="T164" s="171"/>
      <c r="U164" s="171"/>
    </row>
    <row r="165" spans="3:21" hidden="1" x14ac:dyDescent="0.15">
      <c r="C165" s="37"/>
      <c r="D165" s="41"/>
      <c r="E165" s="312" t="s">
        <v>293</v>
      </c>
      <c r="F165" s="313" t="s">
        <v>289</v>
      </c>
      <c r="I165" s="314">
        <v>0.48</v>
      </c>
      <c r="J165" s="314">
        <v>0.32</v>
      </c>
      <c r="K165" s="314">
        <v>0.28999999999999998</v>
      </c>
      <c r="L165" s="314">
        <v>0.69</v>
      </c>
      <c r="M165" s="314">
        <v>0.43</v>
      </c>
      <c r="N165" s="314">
        <v>0.36</v>
      </c>
      <c r="O165" s="314">
        <v>1.0900000000000001</v>
      </c>
      <c r="P165" s="314">
        <v>0.59</v>
      </c>
      <c r="Q165" s="314">
        <v>0.42</v>
      </c>
      <c r="T165" s="171"/>
      <c r="U165" s="171"/>
    </row>
    <row r="166" spans="3:21" hidden="1" x14ac:dyDescent="0.15">
      <c r="C166" s="37"/>
      <c r="D166" s="41"/>
      <c r="E166" s="25"/>
      <c r="F166" s="313" t="s">
        <v>290</v>
      </c>
      <c r="I166" s="314">
        <v>0.46</v>
      </c>
      <c r="J166" s="314">
        <v>0.31</v>
      </c>
      <c r="K166" s="314">
        <v>0.27</v>
      </c>
      <c r="L166" s="314">
        <v>0.67</v>
      </c>
      <c r="M166" s="314">
        <v>0.41</v>
      </c>
      <c r="N166" s="314">
        <v>0.34</v>
      </c>
      <c r="O166" s="314">
        <v>1.0900000000000001</v>
      </c>
      <c r="P166" s="314">
        <v>0.59</v>
      </c>
      <c r="Q166" s="314">
        <v>0.42</v>
      </c>
      <c r="T166" s="171"/>
      <c r="U166" s="171"/>
    </row>
    <row r="167" spans="3:21" hidden="1" x14ac:dyDescent="0.15">
      <c r="C167" s="37"/>
      <c r="D167" s="41"/>
      <c r="E167" s="26"/>
      <c r="F167" s="313" t="s">
        <v>291</v>
      </c>
      <c r="I167" s="314">
        <v>0.45</v>
      </c>
      <c r="J167" s="314">
        <v>0.31</v>
      </c>
      <c r="K167" s="314">
        <v>0.26</v>
      </c>
      <c r="L167" s="314">
        <v>0.65</v>
      </c>
      <c r="M167" s="314">
        <v>0.41</v>
      </c>
      <c r="N167" s="314">
        <v>0.33</v>
      </c>
      <c r="O167" s="314">
        <v>1.0900000000000001</v>
      </c>
      <c r="P167" s="314">
        <v>0.59</v>
      </c>
      <c r="Q167" s="314">
        <v>0.42</v>
      </c>
      <c r="T167" s="171"/>
      <c r="U167" s="171"/>
    </row>
    <row r="168" spans="3:21" hidden="1" x14ac:dyDescent="0.15">
      <c r="C168" s="37"/>
      <c r="D168" s="41"/>
      <c r="E168" s="312" t="s">
        <v>289</v>
      </c>
      <c r="F168" s="313" t="s">
        <v>289</v>
      </c>
      <c r="I168" s="314">
        <v>0.45</v>
      </c>
      <c r="J168" s="314">
        <v>0.3</v>
      </c>
      <c r="K168" s="314">
        <v>0.26</v>
      </c>
      <c r="L168" s="314">
        <v>0.65</v>
      </c>
      <c r="M168" s="314">
        <v>0.4</v>
      </c>
      <c r="N168" s="314">
        <v>0.33</v>
      </c>
      <c r="O168" s="314">
        <v>1.0900000000000001</v>
      </c>
      <c r="P168" s="314">
        <v>0.59</v>
      </c>
      <c r="Q168" s="314">
        <v>0.42</v>
      </c>
      <c r="T168" s="171"/>
      <c r="U168" s="171"/>
    </row>
    <row r="169" spans="3:21" hidden="1" x14ac:dyDescent="0.15">
      <c r="C169" s="37"/>
      <c r="D169" s="41"/>
      <c r="E169" s="25"/>
      <c r="F169" s="313" t="s">
        <v>290</v>
      </c>
      <c r="I169" s="314">
        <v>0.45</v>
      </c>
      <c r="J169" s="314">
        <v>0.3</v>
      </c>
      <c r="K169" s="314">
        <v>0.25</v>
      </c>
      <c r="L169" s="314">
        <v>0.65</v>
      </c>
      <c r="M169" s="314">
        <v>0.4</v>
      </c>
      <c r="N169" s="314">
        <v>0.32</v>
      </c>
      <c r="O169" s="314">
        <v>1.0900000000000001</v>
      </c>
      <c r="P169" s="314">
        <v>0.59</v>
      </c>
      <c r="Q169" s="314">
        <v>0.42</v>
      </c>
      <c r="T169" s="171"/>
      <c r="U169" s="171"/>
    </row>
    <row r="170" spans="3:21" hidden="1" x14ac:dyDescent="0.15">
      <c r="C170" s="37"/>
      <c r="D170" s="41"/>
      <c r="E170" s="26"/>
      <c r="F170" s="313" t="s">
        <v>291</v>
      </c>
      <c r="I170" s="314">
        <v>0.45</v>
      </c>
      <c r="J170" s="314">
        <v>0.28999999999999998</v>
      </c>
      <c r="K170" s="314">
        <v>0.25</v>
      </c>
      <c r="L170" s="314">
        <v>0.65</v>
      </c>
      <c r="M170" s="314">
        <v>0.39</v>
      </c>
      <c r="N170" s="314">
        <v>0.32</v>
      </c>
      <c r="O170" s="314">
        <v>1.0900000000000001</v>
      </c>
      <c r="P170" s="314">
        <v>0.59</v>
      </c>
      <c r="Q170" s="314">
        <v>0.42</v>
      </c>
      <c r="T170" s="171"/>
      <c r="U170" s="171"/>
    </row>
    <row r="171" spans="3:21" hidden="1" x14ac:dyDescent="0.15">
      <c r="C171" s="37"/>
      <c r="D171" s="41"/>
      <c r="E171" s="312" t="s">
        <v>290</v>
      </c>
      <c r="F171" s="313" t="s">
        <v>289</v>
      </c>
      <c r="I171" s="314">
        <v>0.45</v>
      </c>
      <c r="J171" s="314">
        <v>0.28999999999999998</v>
      </c>
      <c r="K171" s="314">
        <v>0.25</v>
      </c>
      <c r="L171" s="314">
        <v>0.65</v>
      </c>
      <c r="M171" s="314">
        <v>0.39</v>
      </c>
      <c r="N171" s="314">
        <v>0.32</v>
      </c>
      <c r="O171" s="314">
        <v>1.0900000000000001</v>
      </c>
      <c r="P171" s="314">
        <v>0.59</v>
      </c>
      <c r="Q171" s="314">
        <v>0.42</v>
      </c>
      <c r="T171" s="171"/>
      <c r="U171" s="171"/>
    </row>
    <row r="172" spans="3:21" hidden="1" x14ac:dyDescent="0.15">
      <c r="C172" s="37"/>
      <c r="D172" s="41"/>
      <c r="E172" s="25"/>
      <c r="F172" s="313" t="s">
        <v>290</v>
      </c>
      <c r="I172" s="314">
        <v>0.45</v>
      </c>
      <c r="J172" s="314">
        <v>0.28999999999999998</v>
      </c>
      <c r="K172" s="314">
        <v>0.24</v>
      </c>
      <c r="L172" s="314">
        <v>0.65</v>
      </c>
      <c r="M172" s="314">
        <v>0.39</v>
      </c>
      <c r="N172" s="314">
        <v>0.31</v>
      </c>
      <c r="O172" s="314">
        <v>1.0900000000000001</v>
      </c>
      <c r="P172" s="314">
        <v>0.59</v>
      </c>
      <c r="Q172" s="314">
        <v>0.42</v>
      </c>
      <c r="T172" s="171"/>
      <c r="U172" s="171"/>
    </row>
    <row r="173" spans="3:21" hidden="1" x14ac:dyDescent="0.15">
      <c r="C173" s="38"/>
      <c r="D173" s="42"/>
      <c r="E173" s="26"/>
      <c r="F173" s="313" t="s">
        <v>291</v>
      </c>
      <c r="I173" s="314">
        <v>0.45</v>
      </c>
      <c r="J173" s="314">
        <v>0.28999999999999998</v>
      </c>
      <c r="K173" s="314">
        <v>0.24</v>
      </c>
      <c r="L173" s="314">
        <v>0.65</v>
      </c>
      <c r="M173" s="314">
        <v>0.39</v>
      </c>
      <c r="N173" s="314">
        <v>0.31</v>
      </c>
      <c r="O173" s="314">
        <v>1.0900000000000001</v>
      </c>
      <c r="P173" s="314">
        <v>0.59</v>
      </c>
      <c r="Q173" s="314">
        <v>0.42</v>
      </c>
      <c r="T173" s="171"/>
      <c r="U173" s="171"/>
    </row>
    <row r="174" spans="3:21" hidden="1" x14ac:dyDescent="0.15">
      <c r="C174" s="310" t="s">
        <v>293</v>
      </c>
      <c r="D174" s="311"/>
      <c r="E174" s="312" t="s">
        <v>292</v>
      </c>
      <c r="F174" s="313" t="s">
        <v>289</v>
      </c>
      <c r="I174" s="314">
        <v>0.48</v>
      </c>
      <c r="J174" s="314">
        <v>0.32</v>
      </c>
      <c r="K174" s="314">
        <v>0.28999999999999998</v>
      </c>
      <c r="L174" s="314">
        <v>0.69</v>
      </c>
      <c r="M174" s="314">
        <v>0.43</v>
      </c>
      <c r="N174" s="314">
        <v>0.36</v>
      </c>
      <c r="O174" s="314">
        <v>1.0900000000000001</v>
      </c>
      <c r="P174" s="314">
        <v>0.59</v>
      </c>
      <c r="Q174" s="314">
        <v>0.42</v>
      </c>
      <c r="T174" s="171"/>
      <c r="U174" s="171"/>
    </row>
    <row r="175" spans="3:21" hidden="1" x14ac:dyDescent="0.15">
      <c r="C175" s="37"/>
      <c r="D175" s="41"/>
      <c r="E175" s="25"/>
      <c r="F175" s="313" t="s">
        <v>290</v>
      </c>
      <c r="I175" s="314">
        <v>0.47</v>
      </c>
      <c r="J175" s="314">
        <v>0.31</v>
      </c>
      <c r="K175" s="314">
        <v>0.27</v>
      </c>
      <c r="L175" s="314">
        <v>0.67</v>
      </c>
      <c r="M175" s="314">
        <v>0.41</v>
      </c>
      <c r="N175" s="314">
        <v>0.34</v>
      </c>
      <c r="O175" s="314">
        <v>1.0900000000000001</v>
      </c>
      <c r="P175" s="314">
        <v>0.59</v>
      </c>
      <c r="Q175" s="314">
        <v>0.42</v>
      </c>
      <c r="T175" s="171"/>
      <c r="U175" s="171"/>
    </row>
    <row r="176" spans="3:21" hidden="1" x14ac:dyDescent="0.15">
      <c r="C176" s="37"/>
      <c r="D176" s="41"/>
      <c r="E176" s="26"/>
      <c r="F176" s="313" t="s">
        <v>291</v>
      </c>
      <c r="I176" s="314">
        <v>0.45</v>
      </c>
      <c r="J176" s="314">
        <v>0.31</v>
      </c>
      <c r="K176" s="314">
        <v>0.26</v>
      </c>
      <c r="L176" s="314">
        <v>0.66</v>
      </c>
      <c r="M176" s="314">
        <v>0.41</v>
      </c>
      <c r="N176" s="314">
        <v>0.34</v>
      </c>
      <c r="O176" s="314">
        <v>1.0900000000000001</v>
      </c>
      <c r="P176" s="314">
        <v>0.59</v>
      </c>
      <c r="Q176" s="314">
        <v>0.42</v>
      </c>
      <c r="T176" s="171"/>
      <c r="U176" s="171"/>
    </row>
    <row r="177" spans="3:21" hidden="1" x14ac:dyDescent="0.15">
      <c r="C177" s="37"/>
      <c r="D177" s="41"/>
      <c r="E177" s="312" t="s">
        <v>293</v>
      </c>
      <c r="F177" s="313" t="s">
        <v>289</v>
      </c>
      <c r="I177" s="314">
        <v>0.48</v>
      </c>
      <c r="J177" s="314">
        <v>0.32</v>
      </c>
      <c r="K177" s="314">
        <v>0.28999999999999998</v>
      </c>
      <c r="L177" s="314">
        <v>0.69</v>
      </c>
      <c r="M177" s="314">
        <v>0.43</v>
      </c>
      <c r="N177" s="314">
        <v>0.36</v>
      </c>
      <c r="O177" s="314">
        <v>1.0900000000000001</v>
      </c>
      <c r="P177" s="314">
        <v>0.59</v>
      </c>
      <c r="Q177" s="314">
        <v>0.42</v>
      </c>
      <c r="T177" s="171"/>
      <c r="U177" s="171"/>
    </row>
    <row r="178" spans="3:21" hidden="1" x14ac:dyDescent="0.15">
      <c r="C178" s="37"/>
      <c r="D178" s="41"/>
      <c r="E178" s="25"/>
      <c r="F178" s="313" t="s">
        <v>290</v>
      </c>
      <c r="I178" s="314">
        <v>0.45</v>
      </c>
      <c r="J178" s="314">
        <v>0.28999999999999998</v>
      </c>
      <c r="K178" s="314">
        <v>0.25</v>
      </c>
      <c r="L178" s="314">
        <v>0.65</v>
      </c>
      <c r="M178" s="314">
        <v>0.4</v>
      </c>
      <c r="N178" s="314">
        <v>0.32</v>
      </c>
      <c r="O178" s="314">
        <v>1.0900000000000001</v>
      </c>
      <c r="P178" s="314">
        <v>0.59</v>
      </c>
      <c r="Q178" s="314">
        <v>0.42</v>
      </c>
      <c r="T178" s="171"/>
      <c r="U178" s="171"/>
    </row>
    <row r="179" spans="3:21" hidden="1" x14ac:dyDescent="0.15">
      <c r="C179" s="37"/>
      <c r="D179" s="41"/>
      <c r="E179" s="26"/>
      <c r="F179" s="313" t="s">
        <v>291</v>
      </c>
      <c r="I179" s="314">
        <v>0.41</v>
      </c>
      <c r="J179" s="314">
        <v>0.28999999999999998</v>
      </c>
      <c r="K179" s="314">
        <v>0.24</v>
      </c>
      <c r="L179" s="314">
        <v>0.62</v>
      </c>
      <c r="M179" s="314">
        <v>0.4</v>
      </c>
      <c r="N179" s="314">
        <v>0.31</v>
      </c>
      <c r="O179" s="314">
        <v>1.0900000000000001</v>
      </c>
      <c r="P179" s="314">
        <v>0.59</v>
      </c>
      <c r="Q179" s="314">
        <v>0.42</v>
      </c>
      <c r="T179" s="171"/>
      <c r="U179" s="171"/>
    </row>
    <row r="180" spans="3:21" hidden="1" x14ac:dyDescent="0.15">
      <c r="C180" s="37"/>
      <c r="D180" s="41"/>
      <c r="E180" s="312" t="s">
        <v>289</v>
      </c>
      <c r="F180" s="313" t="s">
        <v>289</v>
      </c>
      <c r="I180" s="314">
        <v>0.45</v>
      </c>
      <c r="J180" s="314">
        <v>0.3</v>
      </c>
      <c r="K180" s="314">
        <v>0.26</v>
      </c>
      <c r="L180" s="314">
        <v>0.65</v>
      </c>
      <c r="M180" s="314">
        <v>0.4</v>
      </c>
      <c r="N180" s="314">
        <v>0.33</v>
      </c>
      <c r="O180" s="314">
        <v>1.0900000000000001</v>
      </c>
      <c r="P180" s="314">
        <v>0.59</v>
      </c>
      <c r="Q180" s="314">
        <v>0.42</v>
      </c>
      <c r="T180" s="171"/>
      <c r="U180" s="171"/>
    </row>
    <row r="181" spans="3:21" hidden="1" x14ac:dyDescent="0.15">
      <c r="C181" s="37"/>
      <c r="D181" s="41"/>
      <c r="E181" s="25"/>
      <c r="F181" s="313" t="s">
        <v>290</v>
      </c>
      <c r="I181" s="314">
        <v>0.43</v>
      </c>
      <c r="J181" s="314">
        <v>0.28000000000000003</v>
      </c>
      <c r="K181" s="314">
        <v>0.23</v>
      </c>
      <c r="L181" s="314">
        <v>0.64</v>
      </c>
      <c r="M181" s="314">
        <v>0.39</v>
      </c>
      <c r="N181" s="314">
        <v>0.3</v>
      </c>
      <c r="O181" s="314">
        <v>1.0900000000000001</v>
      </c>
      <c r="P181" s="314">
        <v>0.59</v>
      </c>
      <c r="Q181" s="314">
        <v>0.42</v>
      </c>
      <c r="T181" s="171"/>
      <c r="U181" s="171"/>
    </row>
    <row r="182" spans="3:21" hidden="1" x14ac:dyDescent="0.15">
      <c r="C182" s="37"/>
      <c r="D182" s="41"/>
      <c r="E182" s="26"/>
      <c r="F182" s="313" t="s">
        <v>291</v>
      </c>
      <c r="I182" s="314">
        <v>0.41</v>
      </c>
      <c r="J182" s="314">
        <v>0.27</v>
      </c>
      <c r="K182" s="314">
        <v>0.23</v>
      </c>
      <c r="L182" s="314">
        <v>0.62</v>
      </c>
      <c r="M182" s="314">
        <v>0.38</v>
      </c>
      <c r="N182" s="314">
        <v>0.3</v>
      </c>
      <c r="O182" s="314">
        <v>1.0900000000000001</v>
      </c>
      <c r="P182" s="314">
        <v>0.59</v>
      </c>
      <c r="Q182" s="314">
        <v>0.42</v>
      </c>
      <c r="T182" s="171"/>
      <c r="U182" s="171"/>
    </row>
    <row r="183" spans="3:21" hidden="1" x14ac:dyDescent="0.15">
      <c r="C183" s="37"/>
      <c r="D183" s="41"/>
      <c r="E183" s="312" t="s">
        <v>290</v>
      </c>
      <c r="F183" s="313" t="s">
        <v>289</v>
      </c>
      <c r="I183" s="314">
        <v>0.45</v>
      </c>
      <c r="J183" s="314">
        <v>0.28999999999999998</v>
      </c>
      <c r="K183" s="314">
        <v>0.25</v>
      </c>
      <c r="L183" s="314">
        <v>0.65</v>
      </c>
      <c r="M183" s="314">
        <v>0.39</v>
      </c>
      <c r="N183" s="314">
        <v>0.32</v>
      </c>
      <c r="O183" s="314">
        <v>1.0900000000000001</v>
      </c>
      <c r="P183" s="314">
        <v>0.59</v>
      </c>
      <c r="Q183" s="314">
        <v>0.42</v>
      </c>
      <c r="T183" s="171"/>
      <c r="U183" s="171"/>
    </row>
    <row r="184" spans="3:21" hidden="1" x14ac:dyDescent="0.15">
      <c r="C184" s="37"/>
      <c r="D184" s="41"/>
      <c r="E184" s="25"/>
      <c r="F184" s="313" t="s">
        <v>290</v>
      </c>
      <c r="I184" s="314">
        <v>0.43</v>
      </c>
      <c r="J184" s="314">
        <v>0.27</v>
      </c>
      <c r="K184" s="314">
        <v>0.23</v>
      </c>
      <c r="L184" s="314">
        <v>0.64</v>
      </c>
      <c r="M184" s="314">
        <v>0.38</v>
      </c>
      <c r="N184" s="314">
        <v>0.3</v>
      </c>
      <c r="O184" s="314">
        <v>1.0900000000000001</v>
      </c>
      <c r="P184" s="314">
        <v>0.59</v>
      </c>
      <c r="Q184" s="314">
        <v>0.42</v>
      </c>
      <c r="T184" s="171"/>
      <c r="U184" s="171"/>
    </row>
    <row r="185" spans="3:21" hidden="1" x14ac:dyDescent="0.15">
      <c r="C185" s="38"/>
      <c r="D185" s="42"/>
      <c r="E185" s="26"/>
      <c r="F185" s="313" t="s">
        <v>291</v>
      </c>
      <c r="I185" s="314">
        <v>0.41</v>
      </c>
      <c r="J185" s="314">
        <v>0.27</v>
      </c>
      <c r="K185" s="314">
        <v>0.22</v>
      </c>
      <c r="L185" s="314">
        <v>0.62</v>
      </c>
      <c r="M185" s="314">
        <v>0.38</v>
      </c>
      <c r="N185" s="314">
        <v>0.28999999999999998</v>
      </c>
      <c r="O185" s="314">
        <v>1.0900000000000001</v>
      </c>
      <c r="P185" s="314">
        <v>0.59</v>
      </c>
      <c r="Q185" s="314">
        <v>0.42</v>
      </c>
      <c r="T185" s="171"/>
      <c r="U185" s="171"/>
    </row>
    <row r="186" spans="3:21" hidden="1" x14ac:dyDescent="0.15">
      <c r="C186" s="310" t="s">
        <v>289</v>
      </c>
      <c r="D186" s="311"/>
      <c r="E186" s="312" t="s">
        <v>292</v>
      </c>
      <c r="F186" s="313" t="s">
        <v>289</v>
      </c>
      <c r="I186" s="314">
        <v>0.45</v>
      </c>
      <c r="J186" s="314">
        <v>0.3</v>
      </c>
      <c r="K186" s="314">
        <v>0.26</v>
      </c>
      <c r="L186" s="314">
        <v>0.66</v>
      </c>
      <c r="M186" s="314">
        <v>0.41</v>
      </c>
      <c r="N186" s="314">
        <v>0.34</v>
      </c>
      <c r="O186" s="314">
        <v>1.0900000000000001</v>
      </c>
      <c r="P186" s="314">
        <v>0.59</v>
      </c>
      <c r="Q186" s="314">
        <v>0.42</v>
      </c>
      <c r="T186" s="171"/>
      <c r="U186" s="171"/>
    </row>
    <row r="187" spans="3:21" hidden="1" x14ac:dyDescent="0.15">
      <c r="C187" s="37"/>
      <c r="D187" s="41"/>
      <c r="E187" s="25"/>
      <c r="F187" s="313" t="s">
        <v>290</v>
      </c>
      <c r="I187" s="314">
        <v>0.45</v>
      </c>
      <c r="J187" s="314">
        <v>0.3</v>
      </c>
      <c r="K187" s="314">
        <v>0.25</v>
      </c>
      <c r="L187" s="314">
        <v>0.66</v>
      </c>
      <c r="M187" s="314">
        <v>0.41</v>
      </c>
      <c r="N187" s="314">
        <v>0.32</v>
      </c>
      <c r="O187" s="314">
        <v>1.0900000000000001</v>
      </c>
      <c r="P187" s="314">
        <v>0.59</v>
      </c>
      <c r="Q187" s="314">
        <v>0.42</v>
      </c>
      <c r="T187" s="171"/>
      <c r="U187" s="171"/>
    </row>
    <row r="188" spans="3:21" hidden="1" x14ac:dyDescent="0.15">
      <c r="C188" s="37"/>
      <c r="D188" s="41"/>
      <c r="E188" s="26"/>
      <c r="F188" s="313" t="s">
        <v>291</v>
      </c>
      <c r="I188" s="314">
        <v>0.45</v>
      </c>
      <c r="J188" s="314">
        <v>0.28999999999999998</v>
      </c>
      <c r="K188" s="314">
        <v>0.25</v>
      </c>
      <c r="L188" s="314">
        <v>0.66</v>
      </c>
      <c r="M188" s="314">
        <v>0.4</v>
      </c>
      <c r="N188" s="314">
        <v>0.32</v>
      </c>
      <c r="O188" s="314">
        <v>1.0900000000000001</v>
      </c>
      <c r="P188" s="314">
        <v>0.59</v>
      </c>
      <c r="Q188" s="314">
        <v>0.42</v>
      </c>
      <c r="T188" s="171"/>
      <c r="U188" s="171"/>
    </row>
    <row r="189" spans="3:21" hidden="1" x14ac:dyDescent="0.15">
      <c r="C189" s="37"/>
      <c r="D189" s="41"/>
      <c r="E189" s="312" t="s">
        <v>293</v>
      </c>
      <c r="F189" s="313" t="s">
        <v>289</v>
      </c>
      <c r="I189" s="314">
        <v>0.45</v>
      </c>
      <c r="J189" s="314">
        <v>0.3</v>
      </c>
      <c r="K189" s="314">
        <v>0.26</v>
      </c>
      <c r="L189" s="314">
        <v>0.66</v>
      </c>
      <c r="M189" s="314">
        <v>0.41</v>
      </c>
      <c r="N189" s="314">
        <v>0.34</v>
      </c>
      <c r="O189" s="314">
        <v>1.0900000000000001</v>
      </c>
      <c r="P189" s="314">
        <v>0.59</v>
      </c>
      <c r="Q189" s="314">
        <v>0.42</v>
      </c>
      <c r="T189" s="171"/>
      <c r="U189" s="171"/>
    </row>
    <row r="190" spans="3:21" hidden="1" x14ac:dyDescent="0.15">
      <c r="C190" s="37"/>
      <c r="D190" s="41"/>
      <c r="E190" s="25"/>
      <c r="F190" s="313" t="s">
        <v>290</v>
      </c>
      <c r="I190" s="314">
        <v>0.43</v>
      </c>
      <c r="J190" s="314">
        <v>0.28000000000000003</v>
      </c>
      <c r="K190" s="314">
        <v>0.24</v>
      </c>
      <c r="L190" s="314">
        <v>0.64</v>
      </c>
      <c r="M190" s="314">
        <v>0.39</v>
      </c>
      <c r="N190" s="314">
        <v>0.31</v>
      </c>
      <c r="O190" s="314">
        <v>1.0900000000000001</v>
      </c>
      <c r="P190" s="314">
        <v>0.59</v>
      </c>
      <c r="Q190" s="314">
        <v>0.42</v>
      </c>
      <c r="T190" s="171"/>
      <c r="U190" s="171"/>
    </row>
    <row r="191" spans="3:21" hidden="1" x14ac:dyDescent="0.15">
      <c r="C191" s="37"/>
      <c r="D191" s="41"/>
      <c r="E191" s="26"/>
      <c r="F191" s="313" t="s">
        <v>291</v>
      </c>
      <c r="I191" s="314">
        <v>0.41</v>
      </c>
      <c r="J191" s="314">
        <v>0.27</v>
      </c>
      <c r="K191" s="314">
        <v>0.23</v>
      </c>
      <c r="L191" s="314">
        <v>0.62</v>
      </c>
      <c r="M191" s="314">
        <v>0.38</v>
      </c>
      <c r="N191" s="314">
        <v>0.3</v>
      </c>
      <c r="O191" s="314">
        <v>1.0900000000000001</v>
      </c>
      <c r="P191" s="314">
        <v>0.59</v>
      </c>
      <c r="Q191" s="314">
        <v>0.42</v>
      </c>
      <c r="T191" s="171"/>
      <c r="U191" s="171"/>
    </row>
    <row r="192" spans="3:21" hidden="1" x14ac:dyDescent="0.15">
      <c r="C192" s="37"/>
      <c r="D192" s="41"/>
      <c r="E192" s="312" t="s">
        <v>289</v>
      </c>
      <c r="F192" s="313" t="s">
        <v>289</v>
      </c>
      <c r="I192" s="314">
        <v>0.41</v>
      </c>
      <c r="J192" s="314">
        <v>0.27</v>
      </c>
      <c r="K192" s="314">
        <v>0.24</v>
      </c>
      <c r="L192" s="314">
        <v>0.62</v>
      </c>
      <c r="M192" s="314">
        <v>0.38</v>
      </c>
      <c r="N192" s="314">
        <v>0.31</v>
      </c>
      <c r="O192" s="314">
        <v>1.0900000000000001</v>
      </c>
      <c r="P192" s="314">
        <v>0.59</v>
      </c>
      <c r="Q192" s="314">
        <v>0.42</v>
      </c>
      <c r="T192" s="171"/>
      <c r="U192" s="171"/>
    </row>
    <row r="193" spans="3:21" hidden="1" x14ac:dyDescent="0.15">
      <c r="C193" s="37"/>
      <c r="D193" s="41"/>
      <c r="E193" s="25"/>
      <c r="F193" s="313" t="s">
        <v>290</v>
      </c>
      <c r="I193" s="314">
        <v>0.41</v>
      </c>
      <c r="J193" s="314">
        <v>0.27</v>
      </c>
      <c r="K193" s="314">
        <v>0.22</v>
      </c>
      <c r="L193" s="314">
        <v>0.62</v>
      </c>
      <c r="M193" s="314">
        <v>0.38</v>
      </c>
      <c r="N193" s="314">
        <v>0.28999999999999998</v>
      </c>
      <c r="O193" s="314">
        <v>1.0900000000000001</v>
      </c>
      <c r="P193" s="314">
        <v>0.59</v>
      </c>
      <c r="Q193" s="314">
        <v>0.42</v>
      </c>
      <c r="T193" s="171"/>
      <c r="U193" s="171"/>
    </row>
    <row r="194" spans="3:21" hidden="1" x14ac:dyDescent="0.15">
      <c r="C194" s="37"/>
      <c r="D194" s="41"/>
      <c r="E194" s="26"/>
      <c r="F194" s="313" t="s">
        <v>291</v>
      </c>
      <c r="I194" s="314">
        <v>0.41</v>
      </c>
      <c r="J194" s="314">
        <v>0.26</v>
      </c>
      <c r="K194" s="314">
        <v>0.22</v>
      </c>
      <c r="L194" s="314">
        <v>0.62</v>
      </c>
      <c r="M194" s="314">
        <v>0.36</v>
      </c>
      <c r="N194" s="314">
        <v>0.28999999999999998</v>
      </c>
      <c r="O194" s="314">
        <v>1.0900000000000001</v>
      </c>
      <c r="P194" s="314">
        <v>0.59</v>
      </c>
      <c r="Q194" s="314">
        <v>0.42</v>
      </c>
      <c r="T194" s="171"/>
      <c r="U194" s="171"/>
    </row>
    <row r="195" spans="3:21" hidden="1" x14ac:dyDescent="0.15">
      <c r="C195" s="37"/>
      <c r="D195" s="41"/>
      <c r="E195" s="312" t="s">
        <v>290</v>
      </c>
      <c r="F195" s="313" t="s">
        <v>289</v>
      </c>
      <c r="I195" s="314">
        <v>0.41</v>
      </c>
      <c r="J195" s="314">
        <v>0.26</v>
      </c>
      <c r="K195" s="314">
        <v>0.23</v>
      </c>
      <c r="L195" s="314">
        <v>0.62</v>
      </c>
      <c r="M195" s="314">
        <v>0.37</v>
      </c>
      <c r="N195" s="314">
        <v>0.3</v>
      </c>
      <c r="O195" s="314">
        <v>1.0900000000000001</v>
      </c>
      <c r="P195" s="314">
        <v>0.59</v>
      </c>
      <c r="Q195" s="314">
        <v>0.42</v>
      </c>
      <c r="T195" s="171"/>
      <c r="U195" s="171"/>
    </row>
    <row r="196" spans="3:21" hidden="1" x14ac:dyDescent="0.15">
      <c r="C196" s="37"/>
      <c r="D196" s="41"/>
      <c r="E196" s="25"/>
      <c r="F196" s="313" t="s">
        <v>290</v>
      </c>
      <c r="I196" s="314">
        <v>0.41</v>
      </c>
      <c r="J196" s="314">
        <v>0.26</v>
      </c>
      <c r="K196" s="314">
        <v>0.21</v>
      </c>
      <c r="L196" s="314">
        <v>0.62</v>
      </c>
      <c r="M196" s="314">
        <v>0.37</v>
      </c>
      <c r="N196" s="314">
        <v>0.28000000000000003</v>
      </c>
      <c r="O196" s="314">
        <v>1.0900000000000001</v>
      </c>
      <c r="P196" s="314">
        <v>0.59</v>
      </c>
      <c r="Q196" s="314">
        <v>0.42</v>
      </c>
      <c r="T196" s="171"/>
      <c r="U196" s="171"/>
    </row>
    <row r="197" spans="3:21" hidden="1" x14ac:dyDescent="0.15">
      <c r="C197" s="38"/>
      <c r="D197" s="42"/>
      <c r="E197" s="26"/>
      <c r="F197" s="313" t="s">
        <v>291</v>
      </c>
      <c r="I197" s="314">
        <v>0.41</v>
      </c>
      <c r="J197" s="314">
        <v>0.26</v>
      </c>
      <c r="K197" s="314">
        <v>0.21</v>
      </c>
      <c r="L197" s="314">
        <v>0.62</v>
      </c>
      <c r="M197" s="314">
        <v>0.36</v>
      </c>
      <c r="N197" s="314">
        <v>0.28000000000000003</v>
      </c>
      <c r="O197" s="314">
        <v>1.0900000000000001</v>
      </c>
      <c r="P197" s="314">
        <v>0.59</v>
      </c>
      <c r="Q197" s="314">
        <v>0.42</v>
      </c>
      <c r="T197" s="171"/>
      <c r="U197" s="171"/>
    </row>
    <row r="198" spans="3:21" hidden="1" x14ac:dyDescent="0.15">
      <c r="C198" s="310" t="s">
        <v>290</v>
      </c>
      <c r="D198" s="311"/>
      <c r="E198" s="312" t="s">
        <v>292</v>
      </c>
      <c r="F198" s="313" t="s">
        <v>289</v>
      </c>
      <c r="I198" s="314">
        <v>0.45</v>
      </c>
      <c r="J198" s="314">
        <v>0.28999999999999998</v>
      </c>
      <c r="K198" s="314">
        <v>0.25</v>
      </c>
      <c r="L198" s="314">
        <v>0.66</v>
      </c>
      <c r="M198" s="314">
        <v>0.4</v>
      </c>
      <c r="N198" s="314">
        <v>0.32</v>
      </c>
      <c r="O198" s="314">
        <v>1.0900000000000001</v>
      </c>
      <c r="P198" s="314">
        <v>0.59</v>
      </c>
      <c r="Q198" s="314">
        <v>0.42</v>
      </c>
      <c r="T198" s="171"/>
      <c r="U198" s="171"/>
    </row>
    <row r="199" spans="3:21" hidden="1" x14ac:dyDescent="0.15">
      <c r="C199" s="37"/>
      <c r="D199" s="41"/>
      <c r="E199" s="25"/>
      <c r="F199" s="313" t="s">
        <v>290</v>
      </c>
      <c r="I199" s="314">
        <v>0.45</v>
      </c>
      <c r="J199" s="314">
        <v>0.28999999999999998</v>
      </c>
      <c r="K199" s="314">
        <v>0.25</v>
      </c>
      <c r="L199" s="314">
        <v>0.66</v>
      </c>
      <c r="M199" s="314">
        <v>0.4</v>
      </c>
      <c r="N199" s="314">
        <v>0.32</v>
      </c>
      <c r="O199" s="314">
        <v>1.0900000000000001</v>
      </c>
      <c r="P199" s="314">
        <v>0.59</v>
      </c>
      <c r="Q199" s="314">
        <v>0.42</v>
      </c>
      <c r="T199" s="171"/>
      <c r="U199" s="171"/>
    </row>
    <row r="200" spans="3:21" hidden="1" x14ac:dyDescent="0.15">
      <c r="C200" s="37"/>
      <c r="D200" s="41"/>
      <c r="E200" s="26"/>
      <c r="F200" s="313" t="s">
        <v>291</v>
      </c>
      <c r="I200" s="314">
        <v>0.45</v>
      </c>
      <c r="J200" s="314">
        <v>0.28999999999999998</v>
      </c>
      <c r="K200" s="314">
        <v>0.25</v>
      </c>
      <c r="L200" s="314">
        <v>0.66</v>
      </c>
      <c r="M200" s="314">
        <v>0.4</v>
      </c>
      <c r="N200" s="314">
        <v>0.32</v>
      </c>
      <c r="O200" s="314">
        <v>1.0900000000000001</v>
      </c>
      <c r="P200" s="314">
        <v>0.59</v>
      </c>
      <c r="Q200" s="314">
        <v>0.42</v>
      </c>
      <c r="T200" s="171"/>
      <c r="U200" s="171"/>
    </row>
    <row r="201" spans="3:21" hidden="1" x14ac:dyDescent="0.15">
      <c r="C201" s="37"/>
      <c r="D201" s="41"/>
      <c r="E201" s="312" t="s">
        <v>293</v>
      </c>
      <c r="F201" s="313" t="s">
        <v>289</v>
      </c>
      <c r="I201" s="314">
        <v>0.45</v>
      </c>
      <c r="J201" s="314">
        <v>0.28999999999999998</v>
      </c>
      <c r="K201" s="314">
        <v>0.25</v>
      </c>
      <c r="L201" s="314">
        <v>0.66</v>
      </c>
      <c r="M201" s="314">
        <v>0.4</v>
      </c>
      <c r="N201" s="314">
        <v>0.32</v>
      </c>
      <c r="O201" s="314">
        <v>1.0900000000000001</v>
      </c>
      <c r="P201" s="314">
        <v>0.59</v>
      </c>
      <c r="Q201" s="314">
        <v>0.42</v>
      </c>
      <c r="T201" s="171"/>
      <c r="U201" s="171"/>
    </row>
    <row r="202" spans="3:21" hidden="1" x14ac:dyDescent="0.15">
      <c r="C202" s="37"/>
      <c r="D202" s="41"/>
      <c r="E202" s="25"/>
      <c r="F202" s="313" t="s">
        <v>290</v>
      </c>
      <c r="I202" s="314">
        <v>0.43</v>
      </c>
      <c r="J202" s="314">
        <v>0.27</v>
      </c>
      <c r="K202" s="314">
        <v>0.23</v>
      </c>
      <c r="L202" s="314">
        <v>0.64</v>
      </c>
      <c r="M202" s="314">
        <v>0.38</v>
      </c>
      <c r="N202" s="314">
        <v>0.3</v>
      </c>
      <c r="O202" s="314">
        <v>1.0900000000000001</v>
      </c>
      <c r="P202" s="314">
        <v>0.59</v>
      </c>
      <c r="Q202" s="314">
        <v>0.42</v>
      </c>
      <c r="T202" s="171"/>
      <c r="U202" s="171"/>
    </row>
    <row r="203" spans="3:21" hidden="1" x14ac:dyDescent="0.15">
      <c r="C203" s="37"/>
      <c r="D203" s="41"/>
      <c r="E203" s="26"/>
      <c r="F203" s="313" t="s">
        <v>291</v>
      </c>
      <c r="I203" s="314">
        <v>0.41</v>
      </c>
      <c r="J203" s="314">
        <v>0.27</v>
      </c>
      <c r="K203" s="314">
        <v>0.22</v>
      </c>
      <c r="L203" s="314">
        <v>0.62</v>
      </c>
      <c r="M203" s="314">
        <v>0.38</v>
      </c>
      <c r="N203" s="314">
        <v>0.28999999999999998</v>
      </c>
      <c r="O203" s="314">
        <v>1.0900000000000001</v>
      </c>
      <c r="P203" s="314">
        <v>0.59</v>
      </c>
      <c r="Q203" s="314">
        <v>0.42</v>
      </c>
      <c r="T203" s="171"/>
      <c r="U203" s="171"/>
    </row>
    <row r="204" spans="3:21" hidden="1" x14ac:dyDescent="0.15">
      <c r="C204" s="37"/>
      <c r="D204" s="41"/>
      <c r="E204" s="312" t="s">
        <v>289</v>
      </c>
      <c r="F204" s="313" t="s">
        <v>289</v>
      </c>
      <c r="I204" s="314">
        <v>0.41</v>
      </c>
      <c r="J204" s="314">
        <v>0.26</v>
      </c>
      <c r="K204" s="314">
        <v>0.23</v>
      </c>
      <c r="L204" s="314">
        <v>0.62</v>
      </c>
      <c r="M204" s="314">
        <v>0.37</v>
      </c>
      <c r="N204" s="314">
        <v>0.3</v>
      </c>
      <c r="O204" s="314">
        <v>1.0900000000000001</v>
      </c>
      <c r="P204" s="314">
        <v>0.59</v>
      </c>
      <c r="Q204" s="314">
        <v>0.42</v>
      </c>
      <c r="T204" s="171"/>
      <c r="U204" s="171"/>
    </row>
    <row r="205" spans="3:21" hidden="1" x14ac:dyDescent="0.15">
      <c r="C205" s="37"/>
      <c r="D205" s="41"/>
      <c r="E205" s="25"/>
      <c r="F205" s="313" t="s">
        <v>290</v>
      </c>
      <c r="I205" s="314">
        <v>0.41</v>
      </c>
      <c r="J205" s="314">
        <v>0.26</v>
      </c>
      <c r="K205" s="314">
        <v>0.21</v>
      </c>
      <c r="L205" s="314">
        <v>0.62</v>
      </c>
      <c r="M205" s="314">
        <v>0.37</v>
      </c>
      <c r="N205" s="314">
        <v>0.28000000000000003</v>
      </c>
      <c r="O205" s="314">
        <v>1.0900000000000001</v>
      </c>
      <c r="P205" s="314">
        <v>0.59</v>
      </c>
      <c r="Q205" s="314">
        <v>0.42</v>
      </c>
      <c r="T205" s="171"/>
      <c r="U205" s="171"/>
    </row>
    <row r="206" spans="3:21" hidden="1" x14ac:dyDescent="0.15">
      <c r="C206" s="37"/>
      <c r="D206" s="41"/>
      <c r="E206" s="26"/>
      <c r="F206" s="313" t="s">
        <v>291</v>
      </c>
      <c r="I206" s="314">
        <v>0.41</v>
      </c>
      <c r="J206" s="314">
        <v>0.26</v>
      </c>
      <c r="K206" s="314">
        <v>0.21</v>
      </c>
      <c r="L206" s="314">
        <v>0.62</v>
      </c>
      <c r="M206" s="314">
        <v>0.36</v>
      </c>
      <c r="N206" s="314">
        <v>0.28000000000000003</v>
      </c>
      <c r="O206" s="314">
        <v>1.0900000000000001</v>
      </c>
      <c r="P206" s="314">
        <v>0.59</v>
      </c>
      <c r="Q206" s="314">
        <v>0.42</v>
      </c>
      <c r="T206" s="171"/>
      <c r="U206" s="171"/>
    </row>
    <row r="207" spans="3:21" hidden="1" x14ac:dyDescent="0.15">
      <c r="C207" s="37"/>
      <c r="D207" s="41"/>
      <c r="E207" s="312" t="s">
        <v>290</v>
      </c>
      <c r="F207" s="313" t="s">
        <v>289</v>
      </c>
      <c r="I207" s="314">
        <v>0.41</v>
      </c>
      <c r="J207" s="314">
        <v>0.26</v>
      </c>
      <c r="K207" s="314">
        <v>0.22</v>
      </c>
      <c r="L207" s="314">
        <v>0.62</v>
      </c>
      <c r="M207" s="314">
        <v>0.36</v>
      </c>
      <c r="N207" s="314">
        <v>0.28999999999999998</v>
      </c>
      <c r="O207" s="314">
        <v>1.0900000000000001</v>
      </c>
      <c r="P207" s="314">
        <v>0.59</v>
      </c>
      <c r="Q207" s="314">
        <v>0.42</v>
      </c>
      <c r="T207" s="171"/>
      <c r="U207" s="171"/>
    </row>
    <row r="208" spans="3:21" hidden="1" x14ac:dyDescent="0.15">
      <c r="C208" s="37"/>
      <c r="D208" s="41"/>
      <c r="E208" s="25"/>
      <c r="F208" s="313" t="s">
        <v>290</v>
      </c>
      <c r="I208" s="314">
        <v>0.41</v>
      </c>
      <c r="J208" s="314">
        <v>0.26</v>
      </c>
      <c r="K208" s="314">
        <v>0.2</v>
      </c>
      <c r="L208" s="314">
        <v>0.62</v>
      </c>
      <c r="M208" s="314">
        <v>0.36</v>
      </c>
      <c r="N208" s="314">
        <v>0.28000000000000003</v>
      </c>
      <c r="O208" s="314">
        <v>1.0900000000000001</v>
      </c>
      <c r="P208" s="314">
        <v>0.59</v>
      </c>
      <c r="Q208" s="314">
        <v>0.42</v>
      </c>
      <c r="T208" s="171"/>
      <c r="U208" s="171"/>
    </row>
    <row r="209" spans="1:21" hidden="1" x14ac:dyDescent="0.15">
      <c r="C209" s="38"/>
      <c r="D209" s="42"/>
      <c r="E209" s="26"/>
      <c r="F209" s="313" t="s">
        <v>291</v>
      </c>
      <c r="I209" s="314">
        <v>0.41</v>
      </c>
      <c r="J209" s="314">
        <v>0.26</v>
      </c>
      <c r="K209" s="314">
        <v>0.2</v>
      </c>
      <c r="L209" s="314">
        <v>0.62</v>
      </c>
      <c r="M209" s="314">
        <v>0.36</v>
      </c>
      <c r="N209" s="314">
        <v>0.28000000000000003</v>
      </c>
      <c r="O209" s="314">
        <v>1.0900000000000001</v>
      </c>
      <c r="P209" s="314">
        <v>0.59</v>
      </c>
      <c r="Q209" s="314">
        <v>0.42</v>
      </c>
      <c r="T209" s="171"/>
      <c r="U209" s="171"/>
    </row>
    <row r="210" spans="1:21" hidden="1" x14ac:dyDescent="0.15">
      <c r="T210" s="171"/>
      <c r="U210" s="171"/>
    </row>
    <row r="211" spans="1:21" hidden="1" x14ac:dyDescent="0.15">
      <c r="C211" s="316" t="s">
        <v>304</v>
      </c>
      <c r="E211" s="240"/>
      <c r="F211" s="240"/>
      <c r="H211" s="240"/>
      <c r="I211" s="240"/>
      <c r="T211" s="171"/>
      <c r="U211" s="171"/>
    </row>
    <row r="212" spans="1:21" hidden="1" x14ac:dyDescent="0.15">
      <c r="C212" s="240"/>
      <c r="D212" s="241" t="s">
        <v>33</v>
      </c>
      <c r="E212" s="242"/>
      <c r="F212" s="243">
        <v>10.99</v>
      </c>
      <c r="H212" s="243" t="s">
        <v>305</v>
      </c>
      <c r="I212" s="243" t="s">
        <v>305</v>
      </c>
      <c r="K212" s="173" t="s">
        <v>306</v>
      </c>
      <c r="L212" s="34">
        <v>20</v>
      </c>
      <c r="M212" s="173" t="s">
        <v>43</v>
      </c>
      <c r="T212" s="171"/>
      <c r="U212" s="171"/>
    </row>
    <row r="213" spans="1:21" hidden="1" x14ac:dyDescent="0.15">
      <c r="C213" s="240"/>
      <c r="D213" s="241" t="s">
        <v>34</v>
      </c>
      <c r="E213" s="242"/>
      <c r="F213" s="243">
        <v>5.09</v>
      </c>
      <c r="H213" s="243" t="s">
        <v>305</v>
      </c>
      <c r="I213" s="243" t="s">
        <v>305</v>
      </c>
      <c r="T213" s="171"/>
      <c r="U213" s="171"/>
    </row>
    <row r="214" spans="1:21" hidden="1" x14ac:dyDescent="0.15">
      <c r="C214" s="240"/>
      <c r="D214" s="241" t="s">
        <v>35</v>
      </c>
      <c r="E214" s="242"/>
      <c r="F214" s="243">
        <v>5.09</v>
      </c>
      <c r="H214" s="243" t="s">
        <v>305</v>
      </c>
      <c r="I214" s="243" t="s">
        <v>305</v>
      </c>
      <c r="T214" s="171"/>
      <c r="U214" s="171"/>
    </row>
    <row r="215" spans="1:21" hidden="1" x14ac:dyDescent="0.15">
      <c r="C215" s="240"/>
      <c r="D215" s="241" t="s">
        <v>307</v>
      </c>
      <c r="E215" s="242"/>
      <c r="F215" s="243">
        <v>5.09</v>
      </c>
      <c r="H215" s="243" t="s">
        <v>305</v>
      </c>
      <c r="I215" s="243" t="s">
        <v>305</v>
      </c>
      <c r="T215" s="171"/>
      <c r="U215" s="171"/>
    </row>
    <row r="216" spans="1:21" x14ac:dyDescent="0.15">
      <c r="T216" s="171"/>
      <c r="U216" s="171"/>
    </row>
    <row r="217" spans="1:21" s="514" customFormat="1" ht="16.5" hidden="1" x14ac:dyDescent="0.25">
      <c r="A217" s="513"/>
      <c r="C217" s="515" t="s">
        <v>308</v>
      </c>
      <c r="T217" s="516"/>
    </row>
    <row r="218" spans="1:21" s="364" customFormat="1" ht="14.25" hidden="1" x14ac:dyDescent="0.2">
      <c r="A218" s="517"/>
      <c r="C218" s="518" t="s">
        <v>80</v>
      </c>
      <c r="D218" s="519"/>
      <c r="E218" s="519" t="s">
        <v>309</v>
      </c>
      <c r="F218" s="520" t="s">
        <v>310</v>
      </c>
      <c r="G218" s="521"/>
      <c r="H218" s="519"/>
      <c r="I218" s="519"/>
      <c r="J218" s="522">
        <f>電気排出係数!D5*1000</f>
        <v>0.51200000000000001</v>
      </c>
      <c r="K218" s="523" t="str">
        <f>電気排出係数!B5</f>
        <v>その他</v>
      </c>
      <c r="L218" s="524"/>
      <c r="M218" s="524"/>
      <c r="N218" s="525" t="s">
        <v>311</v>
      </c>
      <c r="O218" s="524">
        <f>電気排出係数!E5*1000</f>
        <v>0</v>
      </c>
      <c r="P218" s="526" t="s">
        <v>312</v>
      </c>
      <c r="Q218" s="527"/>
      <c r="R218" s="521"/>
    </row>
    <row r="219" spans="1:21" s="364" customFormat="1" ht="14.25" hidden="1" x14ac:dyDescent="0.2">
      <c r="A219" s="517"/>
      <c r="C219" s="528"/>
      <c r="D219" s="529"/>
      <c r="E219" s="519"/>
      <c r="F219" s="520" t="s">
        <v>58</v>
      </c>
      <c r="G219" s="521"/>
      <c r="H219" s="519"/>
      <c r="I219" s="519"/>
      <c r="J219" s="522">
        <f>J218/K219</f>
        <v>5.2459016393442623E-2</v>
      </c>
      <c r="K219" s="530">
        <v>9.76</v>
      </c>
      <c r="L219" s="531" t="s">
        <v>313</v>
      </c>
      <c r="M219" s="519"/>
      <c r="N219" s="519"/>
      <c r="O219" s="519"/>
      <c r="P219" s="519"/>
      <c r="Q219" s="532"/>
      <c r="R219" s="521"/>
    </row>
    <row r="220" spans="1:21" s="364" customFormat="1" ht="14.25" hidden="1" x14ac:dyDescent="0.2">
      <c r="A220" s="517"/>
      <c r="C220" s="528"/>
      <c r="D220" s="529"/>
      <c r="E220" s="519" t="s">
        <v>314</v>
      </c>
      <c r="F220" s="520" t="s">
        <v>58</v>
      </c>
      <c r="G220" s="521"/>
      <c r="H220" s="519"/>
      <c r="I220" s="519"/>
      <c r="J220" s="522">
        <v>4.9799999999999997E-2</v>
      </c>
      <c r="K220" s="530"/>
      <c r="L220" s="519"/>
      <c r="M220" s="519"/>
      <c r="N220" s="519"/>
      <c r="O220" s="519"/>
      <c r="P220" s="519"/>
      <c r="Q220" s="532"/>
      <c r="R220" s="521"/>
    </row>
    <row r="221" spans="1:21" s="364" customFormat="1" ht="14.25" hidden="1" x14ac:dyDescent="0.2">
      <c r="A221" s="517"/>
      <c r="C221" s="528"/>
      <c r="D221" s="529"/>
      <c r="E221" s="519" t="s">
        <v>315</v>
      </c>
      <c r="F221" s="520" t="s">
        <v>58</v>
      </c>
      <c r="G221" s="521"/>
      <c r="H221" s="519"/>
      <c r="I221" s="519"/>
      <c r="J221" s="522">
        <v>5.7000000000000002E-2</v>
      </c>
      <c r="K221" s="530"/>
      <c r="L221" s="519"/>
      <c r="M221" s="519"/>
      <c r="N221" s="519"/>
      <c r="O221" s="519"/>
      <c r="P221" s="519"/>
      <c r="Q221" s="532"/>
      <c r="R221" s="521"/>
    </row>
    <row r="222" spans="1:21" s="364" customFormat="1" ht="14.25" hidden="1" x14ac:dyDescent="0.2">
      <c r="A222" s="517"/>
      <c r="C222" s="528"/>
      <c r="D222" s="529"/>
      <c r="E222" s="519" t="s">
        <v>316</v>
      </c>
      <c r="F222" s="520" t="s">
        <v>58</v>
      </c>
      <c r="G222" s="521"/>
      <c r="H222" s="519"/>
      <c r="I222" s="519"/>
      <c r="J222" s="522">
        <v>6.7799999999999999E-2</v>
      </c>
      <c r="K222" s="530"/>
      <c r="L222" s="519"/>
      <c r="M222" s="519"/>
      <c r="N222" s="519"/>
      <c r="O222" s="519"/>
      <c r="P222" s="519"/>
      <c r="Q222" s="532"/>
      <c r="R222" s="521"/>
    </row>
    <row r="223" spans="1:21" s="364" customFormat="1" ht="14.25" hidden="1" x14ac:dyDescent="0.2">
      <c r="A223" s="517"/>
      <c r="C223" s="528"/>
      <c r="D223" s="529"/>
      <c r="E223" s="519" t="s">
        <v>317</v>
      </c>
      <c r="F223" s="520" t="s">
        <v>58</v>
      </c>
      <c r="G223" s="521"/>
      <c r="H223" s="519"/>
      <c r="I223" s="519"/>
      <c r="J223" s="522">
        <v>6.93E-2</v>
      </c>
      <c r="K223" s="530"/>
      <c r="L223" s="519"/>
      <c r="M223" s="519"/>
      <c r="N223" s="519"/>
      <c r="O223" s="519"/>
      <c r="P223" s="519"/>
      <c r="Q223" s="532"/>
      <c r="R223" s="521"/>
    </row>
    <row r="224" spans="1:21" s="364" customFormat="1" ht="14.25" hidden="1" x14ac:dyDescent="0.2">
      <c r="A224" s="517"/>
      <c r="C224" s="528"/>
      <c r="D224" s="529"/>
      <c r="E224" s="519" t="s">
        <v>318</v>
      </c>
      <c r="F224" s="520" t="s">
        <v>58</v>
      </c>
      <c r="G224" s="521"/>
      <c r="H224" s="519"/>
      <c r="I224" s="519"/>
      <c r="J224" s="522">
        <v>6.855E-2</v>
      </c>
      <c r="K224" s="533" t="s">
        <v>319</v>
      </c>
      <c r="L224" s="519"/>
      <c r="M224" s="519"/>
      <c r="N224" s="519"/>
      <c r="O224" s="519"/>
      <c r="P224" s="519"/>
      <c r="Q224" s="532"/>
      <c r="R224" s="521"/>
    </row>
    <row r="225" spans="1:27" s="364" customFormat="1" ht="14.25" hidden="1" x14ac:dyDescent="0.2">
      <c r="A225" s="517"/>
      <c r="C225" s="528"/>
      <c r="D225" s="529"/>
      <c r="E225" s="519" t="s">
        <v>320</v>
      </c>
      <c r="F225" s="520" t="s">
        <v>58</v>
      </c>
      <c r="G225" s="521"/>
      <c r="H225" s="519"/>
      <c r="I225" s="519"/>
      <c r="J225" s="522">
        <v>5.8999999999999997E-2</v>
      </c>
      <c r="K225" s="534"/>
      <c r="L225" s="535"/>
      <c r="M225" s="535"/>
      <c r="N225" s="535"/>
      <c r="O225" s="535"/>
      <c r="P225" s="535"/>
      <c r="Q225" s="536"/>
      <c r="R225" s="521"/>
    </row>
    <row r="226" spans="1:27" s="364" customFormat="1" hidden="1" x14ac:dyDescent="0.15">
      <c r="A226" s="517"/>
      <c r="C226" s="528"/>
      <c r="D226" s="529"/>
      <c r="E226" s="519"/>
      <c r="F226" s="519"/>
      <c r="G226" s="521"/>
      <c r="H226" s="519"/>
      <c r="I226" s="519"/>
      <c r="J226" s="537"/>
      <c r="K226" s="531"/>
      <c r="L226" s="519"/>
      <c r="M226" s="519"/>
      <c r="N226" s="519"/>
      <c r="O226" s="519"/>
      <c r="P226" s="519"/>
      <c r="Q226" s="519"/>
      <c r="R226" s="521"/>
    </row>
    <row r="227" spans="1:27" s="364" customFormat="1" ht="14.25" hidden="1" x14ac:dyDescent="0.2">
      <c r="A227" s="517"/>
      <c r="C227" s="528"/>
      <c r="D227" s="528" t="s">
        <v>321</v>
      </c>
      <c r="E227" s="519"/>
      <c r="F227" s="519"/>
      <c r="G227" s="521"/>
      <c r="H227" s="519"/>
      <c r="I227" s="519"/>
      <c r="J227" s="538" t="s">
        <v>322</v>
      </c>
      <c r="K227" s="539" t="s">
        <v>323</v>
      </c>
      <c r="L227" s="519"/>
      <c r="M227" s="519"/>
      <c r="N227" s="519"/>
      <c r="O227" s="519"/>
      <c r="P227" s="519"/>
      <c r="Q227" s="519"/>
      <c r="R227" s="521"/>
    </row>
    <row r="228" spans="1:27" s="364" customFormat="1" hidden="1" x14ac:dyDescent="0.15">
      <c r="A228" s="517"/>
      <c r="C228" s="528"/>
      <c r="D228" s="529"/>
      <c r="E228" s="519" t="s">
        <v>324</v>
      </c>
      <c r="F228" s="519"/>
      <c r="G228" s="521"/>
      <c r="H228" s="519"/>
      <c r="I228" s="519"/>
      <c r="J228" s="540">
        <v>0.51400000000000001</v>
      </c>
      <c r="K228" s="541">
        <f>J219*J228</f>
        <v>2.6963934426229508E-2</v>
      </c>
      <c r="L228" s="519"/>
      <c r="M228" s="519"/>
      <c r="N228" s="519"/>
      <c r="O228" s="519"/>
      <c r="P228" s="519"/>
      <c r="Q228" s="519"/>
      <c r="R228" s="521"/>
    </row>
    <row r="229" spans="1:27" s="364" customFormat="1" ht="13.5" hidden="1" customHeight="1" x14ac:dyDescent="0.15">
      <c r="A229" s="517"/>
      <c r="C229" s="528"/>
      <c r="D229" s="529"/>
      <c r="E229" s="519" t="s">
        <v>325</v>
      </c>
      <c r="F229" s="519"/>
      <c r="G229" s="521"/>
      <c r="H229" s="519"/>
      <c r="I229" s="519"/>
      <c r="J229" s="540">
        <v>0.215</v>
      </c>
      <c r="K229" s="541">
        <f t="shared" ref="K229:K233" si="0">J220*J229</f>
        <v>1.0707E-2</v>
      </c>
      <c r="L229" s="519"/>
      <c r="M229" s="519"/>
      <c r="N229" s="519"/>
      <c r="O229" s="519"/>
      <c r="P229" s="519"/>
      <c r="Q229" s="519"/>
      <c r="R229" s="521"/>
    </row>
    <row r="230" spans="1:27" s="364" customFormat="1" hidden="1" x14ac:dyDescent="0.15">
      <c r="A230" s="517"/>
      <c r="C230" s="528"/>
      <c r="D230" s="529"/>
      <c r="E230" s="519" t="s">
        <v>326</v>
      </c>
      <c r="F230" s="519"/>
      <c r="G230" s="521"/>
      <c r="H230" s="519"/>
      <c r="I230" s="519"/>
      <c r="J230" s="540">
        <v>0</v>
      </c>
      <c r="K230" s="541">
        <f t="shared" si="0"/>
        <v>0</v>
      </c>
      <c r="L230" s="519"/>
      <c r="M230" s="519"/>
      <c r="N230" s="519"/>
      <c r="O230" s="519"/>
      <c r="P230" s="519"/>
      <c r="Q230" s="519"/>
      <c r="R230" s="519"/>
    </row>
    <row r="231" spans="1:27" s="364" customFormat="1" hidden="1" x14ac:dyDescent="0.15">
      <c r="A231" s="517"/>
      <c r="C231" s="528"/>
      <c r="D231" s="529"/>
      <c r="E231" s="519" t="s">
        <v>327</v>
      </c>
      <c r="F231" s="519"/>
      <c r="G231" s="521"/>
      <c r="H231" s="519"/>
      <c r="I231" s="519"/>
      <c r="J231" s="540">
        <v>0.156</v>
      </c>
      <c r="K231" s="541">
        <f t="shared" si="0"/>
        <v>1.0576799999999999E-2</v>
      </c>
      <c r="L231" s="519"/>
      <c r="M231" s="519"/>
      <c r="N231" s="519"/>
      <c r="O231" s="519"/>
      <c r="P231" s="519"/>
      <c r="Q231" s="519"/>
      <c r="R231" s="519"/>
    </row>
    <row r="232" spans="1:27" s="364" customFormat="1" hidden="1" x14ac:dyDescent="0.15">
      <c r="A232" s="517"/>
      <c r="C232" s="528"/>
      <c r="D232" s="529"/>
      <c r="E232" s="519" t="s">
        <v>328</v>
      </c>
      <c r="F232" s="519"/>
      <c r="G232" s="521"/>
      <c r="H232" s="519"/>
      <c r="I232" s="519"/>
      <c r="J232" s="540">
        <v>0</v>
      </c>
      <c r="K232" s="541">
        <f t="shared" si="0"/>
        <v>0</v>
      </c>
      <c r="L232" s="519"/>
      <c r="M232" s="519"/>
      <c r="N232" s="519"/>
      <c r="O232" s="519"/>
      <c r="P232" s="519"/>
      <c r="Q232" s="519"/>
      <c r="R232" s="519"/>
    </row>
    <row r="233" spans="1:27" s="364" customFormat="1" hidden="1" x14ac:dyDescent="0.15">
      <c r="A233" s="517"/>
      <c r="C233" s="528"/>
      <c r="D233" s="529"/>
      <c r="E233" s="519" t="s">
        <v>123</v>
      </c>
      <c r="G233" s="521"/>
      <c r="J233" s="540">
        <v>0</v>
      </c>
      <c r="K233" s="541">
        <f t="shared" si="0"/>
        <v>0</v>
      </c>
      <c r="L233" s="519"/>
      <c r="M233" s="519"/>
      <c r="N233" s="519"/>
      <c r="O233" s="519"/>
      <c r="P233" s="519"/>
      <c r="Q233" s="519"/>
      <c r="R233" s="519"/>
    </row>
    <row r="234" spans="1:27" s="364" customFormat="1" hidden="1" x14ac:dyDescent="0.15">
      <c r="A234" s="517"/>
      <c r="C234" s="528"/>
      <c r="D234" s="529"/>
      <c r="E234" s="519" t="s">
        <v>320</v>
      </c>
      <c r="F234" s="519"/>
      <c r="G234" s="521"/>
      <c r="H234" s="519"/>
      <c r="I234" s="519"/>
      <c r="J234" s="540">
        <v>0.107</v>
      </c>
      <c r="K234" s="541">
        <f>J225*J234</f>
        <v>6.3129999999999992E-3</v>
      </c>
      <c r="L234" s="519"/>
      <c r="M234" s="519"/>
      <c r="N234" s="519"/>
      <c r="O234" s="519"/>
      <c r="P234" s="519"/>
      <c r="Q234" s="519"/>
      <c r="R234" s="519"/>
    </row>
    <row r="235" spans="1:27" s="364" customFormat="1" hidden="1" x14ac:dyDescent="0.15">
      <c r="A235" s="517"/>
      <c r="C235" s="528"/>
      <c r="D235" s="529"/>
      <c r="E235" s="519" t="s">
        <v>329</v>
      </c>
      <c r="F235" s="542"/>
      <c r="G235" s="543"/>
      <c r="H235" s="542"/>
      <c r="I235" s="542"/>
      <c r="J235" s="540">
        <v>7.0000000000000001E-3</v>
      </c>
      <c r="K235" s="541">
        <v>0</v>
      </c>
      <c r="L235" s="519"/>
      <c r="M235" s="519"/>
      <c r="N235" s="519"/>
      <c r="O235" s="519"/>
      <c r="P235" s="519"/>
      <c r="Q235" s="519"/>
      <c r="R235" s="519"/>
    </row>
    <row r="236" spans="1:27" s="545" customFormat="1" ht="15" hidden="1" thickBot="1" x14ac:dyDescent="0.25">
      <c r="A236" s="544"/>
      <c r="C236" s="546"/>
      <c r="D236" s="547"/>
      <c r="E236" s="548"/>
      <c r="F236" s="548"/>
      <c r="G236" s="549"/>
      <c r="H236" s="548"/>
      <c r="I236" s="548"/>
      <c r="J236" s="550" t="s">
        <v>86</v>
      </c>
      <c r="K236" s="551">
        <f>SUM(K228:K235)</f>
        <v>5.4560734426229503E-2</v>
      </c>
      <c r="L236" s="548" t="s">
        <v>58</v>
      </c>
      <c r="M236" s="548"/>
      <c r="N236" s="548"/>
      <c r="O236" s="548"/>
      <c r="P236" s="548"/>
      <c r="Q236" s="548"/>
      <c r="R236" s="548"/>
    </row>
    <row r="237" spans="1:27" customFormat="1" x14ac:dyDescent="0.15">
      <c r="G237" s="20"/>
    </row>
    <row r="238" spans="1:27" customFormat="1" hidden="1" x14ac:dyDescent="0.15">
      <c r="C238" s="172"/>
      <c r="D238" s="272" t="s">
        <v>330</v>
      </c>
      <c r="E238" s="172"/>
      <c r="F238" s="172"/>
      <c r="H238" s="172"/>
      <c r="I238" s="172"/>
      <c r="J238" s="172"/>
      <c r="K238" s="172"/>
      <c r="L238" s="172"/>
      <c r="M238" s="172"/>
      <c r="N238" s="172"/>
      <c r="P238" s="172"/>
      <c r="Q238" s="244" t="s">
        <v>331</v>
      </c>
    </row>
    <row r="239" spans="1:27" customFormat="1" ht="14.25" hidden="1" x14ac:dyDescent="0.15">
      <c r="C239" s="172"/>
      <c r="D239" s="245" t="s">
        <v>332</v>
      </c>
      <c r="E239" s="246"/>
      <c r="F239" s="247" t="s">
        <v>333</v>
      </c>
      <c r="G239" s="172"/>
      <c r="H239" s="247"/>
      <c r="I239" s="248" t="s">
        <v>334</v>
      </c>
      <c r="J239" s="245" t="s">
        <v>335</v>
      </c>
      <c r="K239" s="246"/>
      <c r="L239" s="246"/>
      <c r="M239" s="246"/>
      <c r="N239" s="246"/>
      <c r="O239" s="246"/>
      <c r="P239" s="249" t="s">
        <v>60</v>
      </c>
      <c r="Q239" s="250"/>
      <c r="T239" s="279" t="s">
        <v>336</v>
      </c>
      <c r="U239" s="276"/>
      <c r="V239" s="276"/>
      <c r="W239" s="276"/>
      <c r="X239" s="276"/>
      <c r="Y239" s="276"/>
      <c r="Z239" s="276"/>
      <c r="AA239" s="276"/>
    </row>
    <row r="240" spans="1:27" customFormat="1" hidden="1" x14ac:dyDescent="0.15">
      <c r="C240" s="172"/>
      <c r="D240" s="248" t="s">
        <v>337</v>
      </c>
      <c r="E240" s="248" t="s">
        <v>338</v>
      </c>
      <c r="F240" s="251" t="s">
        <v>339</v>
      </c>
      <c r="G240" s="172"/>
      <c r="H240" s="256">
        <v>1</v>
      </c>
      <c r="I240" s="247" t="e">
        <f>#REF!</f>
        <v>#REF!</v>
      </c>
      <c r="J240" s="248">
        <v>1</v>
      </c>
      <c r="K240" s="248">
        <v>2</v>
      </c>
      <c r="L240" s="248">
        <v>3</v>
      </c>
      <c r="M240" s="248">
        <v>4</v>
      </c>
      <c r="N240" s="248">
        <v>5</v>
      </c>
      <c r="O240" s="248">
        <v>6</v>
      </c>
      <c r="P240" s="248">
        <v>7</v>
      </c>
      <c r="Q240" s="248">
        <v>8</v>
      </c>
      <c r="T240" s="277">
        <v>1</v>
      </c>
      <c r="U240" s="277">
        <v>2</v>
      </c>
      <c r="V240" s="277">
        <v>3</v>
      </c>
      <c r="W240" s="277">
        <v>4</v>
      </c>
      <c r="X240" s="277">
        <v>5</v>
      </c>
      <c r="Y240" s="277">
        <v>6</v>
      </c>
      <c r="Z240" s="277">
        <v>7</v>
      </c>
      <c r="AA240" s="277">
        <v>8</v>
      </c>
    </row>
    <row r="241" spans="3:27" customFormat="1" hidden="1" x14ac:dyDescent="0.15">
      <c r="C241" s="172"/>
      <c r="D241" s="251"/>
      <c r="E241" s="172"/>
      <c r="F241" s="248" t="s">
        <v>9</v>
      </c>
      <c r="G241" s="248" t="s">
        <v>340</v>
      </c>
      <c r="H241" s="248">
        <v>2</v>
      </c>
      <c r="I241" s="252" t="e">
        <f t="shared" ref="I241:I258" si="1">HLOOKUP($I$240,$J$240:$Q$258,H241)</f>
        <v>#REF!</v>
      </c>
      <c r="J241" s="252">
        <v>1510</v>
      </c>
      <c r="K241" s="252">
        <v>1315</v>
      </c>
      <c r="L241" s="252">
        <v>1134</v>
      </c>
      <c r="M241" s="252">
        <v>1316</v>
      </c>
      <c r="N241" s="252">
        <v>1190</v>
      </c>
      <c r="O241" s="252">
        <v>1119</v>
      </c>
      <c r="P241" s="252">
        <v>985</v>
      </c>
      <c r="Q241" s="252">
        <v>937</v>
      </c>
      <c r="T241" s="278">
        <f t="shared" ref="T241:AA241" si="2">MAX(J241:J258)</f>
        <v>1777</v>
      </c>
      <c r="U241" s="278">
        <f t="shared" si="2"/>
        <v>1542</v>
      </c>
      <c r="V241" s="278">
        <f t="shared" si="2"/>
        <v>1325</v>
      </c>
      <c r="W241" s="278">
        <f t="shared" si="2"/>
        <v>1543</v>
      </c>
      <c r="X241" s="278">
        <f t="shared" si="2"/>
        <v>1393</v>
      </c>
      <c r="Y241" s="278">
        <f t="shared" si="2"/>
        <v>1308</v>
      </c>
      <c r="Z241" s="278">
        <f t="shared" si="2"/>
        <v>1147</v>
      </c>
      <c r="AA241" s="278">
        <f t="shared" si="2"/>
        <v>1089</v>
      </c>
    </row>
    <row r="242" spans="3:27" customFormat="1" hidden="1" x14ac:dyDescent="0.15">
      <c r="C242" s="172"/>
      <c r="D242" s="251" t="s">
        <v>341</v>
      </c>
      <c r="E242" s="172" t="s">
        <v>342</v>
      </c>
      <c r="F242" s="248" t="s">
        <v>343</v>
      </c>
      <c r="G242" s="248" t="s">
        <v>344</v>
      </c>
      <c r="H242" s="248">
        <v>3</v>
      </c>
      <c r="I242" s="252" t="e">
        <f t="shared" si="1"/>
        <v>#REF!</v>
      </c>
      <c r="J242" s="252">
        <v>1777</v>
      </c>
      <c r="K242" s="252">
        <v>1542</v>
      </c>
      <c r="L242" s="252">
        <v>1325</v>
      </c>
      <c r="M242" s="252">
        <v>1543</v>
      </c>
      <c r="N242" s="252">
        <v>1393</v>
      </c>
      <c r="O242" s="252">
        <v>1308</v>
      </c>
      <c r="P242" s="252">
        <v>1147</v>
      </c>
      <c r="Q242" s="252">
        <v>1089</v>
      </c>
      <c r="T242" s="274">
        <f>J241</f>
        <v>1510</v>
      </c>
      <c r="U242" s="274">
        <f>K241</f>
        <v>1315</v>
      </c>
      <c r="V242" s="274">
        <f>L247</f>
        <v>1069</v>
      </c>
      <c r="W242" s="274">
        <f>M247</f>
        <v>1218</v>
      </c>
      <c r="X242" s="274">
        <f>N247</f>
        <v>1080</v>
      </c>
      <c r="Y242" s="274">
        <f>O247</f>
        <v>1081</v>
      </c>
      <c r="Z242" s="274">
        <f>P247</f>
        <v>965</v>
      </c>
      <c r="AA242" s="274">
        <f>Q241</f>
        <v>937</v>
      </c>
    </row>
    <row r="243" spans="3:27" customFormat="1" hidden="1" x14ac:dyDescent="0.15">
      <c r="C243" s="172"/>
      <c r="D243" s="251"/>
      <c r="E243" s="172"/>
      <c r="F243" s="248" t="s">
        <v>137</v>
      </c>
      <c r="G243" s="248" t="s">
        <v>345</v>
      </c>
      <c r="H243" s="172">
        <v>4</v>
      </c>
      <c r="I243" s="252" t="e">
        <f t="shared" si="1"/>
        <v>#REF!</v>
      </c>
      <c r="J243" s="252">
        <v>1510</v>
      </c>
      <c r="K243" s="252">
        <v>1315</v>
      </c>
      <c r="L243" s="252">
        <v>1134</v>
      </c>
      <c r="M243" s="252">
        <v>1316</v>
      </c>
      <c r="N243" s="252">
        <v>1190</v>
      </c>
      <c r="O243" s="252">
        <v>1119</v>
      </c>
      <c r="P243" s="252">
        <v>985</v>
      </c>
      <c r="Q243" s="252">
        <v>937</v>
      </c>
    </row>
    <row r="244" spans="3:27" customFormat="1" hidden="1" x14ac:dyDescent="0.15">
      <c r="C244" s="172"/>
      <c r="D244" s="253"/>
      <c r="E244" s="247"/>
      <c r="F244" s="250" t="s">
        <v>9</v>
      </c>
      <c r="G244" s="248" t="s">
        <v>346</v>
      </c>
      <c r="H244" s="248">
        <v>5</v>
      </c>
      <c r="I244" s="252" t="e">
        <f t="shared" si="1"/>
        <v>#REF!</v>
      </c>
      <c r="J244" s="252">
        <v>1492</v>
      </c>
      <c r="K244" s="252">
        <v>1299</v>
      </c>
      <c r="L244" s="252">
        <v>1096</v>
      </c>
      <c r="M244" s="252">
        <v>1242</v>
      </c>
      <c r="N244" s="252">
        <v>1109</v>
      </c>
      <c r="O244" s="252">
        <v>926</v>
      </c>
      <c r="P244" s="252">
        <v>740</v>
      </c>
      <c r="Q244" s="252">
        <v>525</v>
      </c>
    </row>
    <row r="245" spans="3:27" customFormat="1" hidden="1" x14ac:dyDescent="0.15">
      <c r="C245" s="172"/>
      <c r="D245" s="254" t="s">
        <v>341</v>
      </c>
      <c r="E245" s="251" t="s">
        <v>347</v>
      </c>
      <c r="F245" s="250" t="s">
        <v>343</v>
      </c>
      <c r="G245" s="248" t="s">
        <v>348</v>
      </c>
      <c r="H245" s="248">
        <v>6</v>
      </c>
      <c r="I245" s="252" t="e">
        <f t="shared" si="1"/>
        <v>#REF!</v>
      </c>
      <c r="J245" s="252">
        <v>1755</v>
      </c>
      <c r="K245" s="252">
        <v>1523</v>
      </c>
      <c r="L245" s="252">
        <v>1279</v>
      </c>
      <c r="M245" s="252">
        <v>1455</v>
      </c>
      <c r="N245" s="252">
        <v>1295</v>
      </c>
      <c r="O245" s="252">
        <v>1076</v>
      </c>
      <c r="P245" s="252">
        <v>852</v>
      </c>
      <c r="Q245" s="252">
        <v>595</v>
      </c>
    </row>
    <row r="246" spans="3:27" customFormat="1" hidden="1" x14ac:dyDescent="0.15">
      <c r="C246" s="172"/>
      <c r="D246" s="255"/>
      <c r="E246" s="256"/>
      <c r="F246" s="248" t="s">
        <v>137</v>
      </c>
      <c r="G246" s="248" t="s">
        <v>349</v>
      </c>
      <c r="H246" s="172">
        <v>7</v>
      </c>
      <c r="I246" s="252" t="e">
        <f t="shared" si="1"/>
        <v>#REF!</v>
      </c>
      <c r="J246" s="252">
        <v>1492</v>
      </c>
      <c r="K246" s="252">
        <v>1299</v>
      </c>
      <c r="L246" s="252">
        <v>1096</v>
      </c>
      <c r="M246" s="252">
        <v>1242</v>
      </c>
      <c r="N246" s="252">
        <v>1109</v>
      </c>
      <c r="O246" s="252">
        <v>926</v>
      </c>
      <c r="P246" s="252">
        <v>740</v>
      </c>
      <c r="Q246" s="252">
        <v>525</v>
      </c>
    </row>
    <row r="247" spans="3:27" customFormat="1" hidden="1" x14ac:dyDescent="0.15">
      <c r="C247" s="172"/>
      <c r="D247" s="247"/>
      <c r="E247" s="247"/>
      <c r="F247" s="248" t="s">
        <v>9</v>
      </c>
      <c r="G247" s="248" t="s">
        <v>350</v>
      </c>
      <c r="H247" s="248">
        <v>8</v>
      </c>
      <c r="I247" s="252" t="e">
        <f t="shared" si="1"/>
        <v>#REF!</v>
      </c>
      <c r="J247" s="252">
        <v>1252</v>
      </c>
      <c r="K247" s="252">
        <v>1176</v>
      </c>
      <c r="L247" s="252">
        <v>1069</v>
      </c>
      <c r="M247" s="252">
        <v>1218</v>
      </c>
      <c r="N247" s="252">
        <v>1080</v>
      </c>
      <c r="O247" s="252">
        <v>1081</v>
      </c>
      <c r="P247" s="252">
        <v>965</v>
      </c>
      <c r="Q247" s="252">
        <v>937</v>
      </c>
    </row>
    <row r="248" spans="3:27" customFormat="1" hidden="1" x14ac:dyDescent="0.15">
      <c r="C248" s="172"/>
      <c r="D248" s="251" t="s">
        <v>351</v>
      </c>
      <c r="E248" s="251" t="s">
        <v>342</v>
      </c>
      <c r="F248" s="248" t="s">
        <v>343</v>
      </c>
      <c r="G248" s="248" t="s">
        <v>352</v>
      </c>
      <c r="H248" s="248">
        <v>9</v>
      </c>
      <c r="I248" s="252" t="e">
        <f t="shared" si="1"/>
        <v>#REF!</v>
      </c>
      <c r="J248" s="252">
        <v>1467</v>
      </c>
      <c r="K248" s="252">
        <v>1376</v>
      </c>
      <c r="L248" s="252">
        <v>1248</v>
      </c>
      <c r="M248" s="252">
        <v>1426</v>
      </c>
      <c r="N248" s="252">
        <v>1260</v>
      </c>
      <c r="O248" s="252">
        <v>1261</v>
      </c>
      <c r="P248" s="252">
        <v>1122</v>
      </c>
      <c r="Q248" s="252">
        <v>1089</v>
      </c>
    </row>
    <row r="249" spans="3:27" customFormat="1" hidden="1" x14ac:dyDescent="0.15">
      <c r="C249" s="172"/>
      <c r="D249" s="251"/>
      <c r="E249" s="251"/>
      <c r="F249" s="248" t="s">
        <v>137</v>
      </c>
      <c r="G249" s="248" t="s">
        <v>353</v>
      </c>
      <c r="H249" s="172">
        <v>10</v>
      </c>
      <c r="I249" s="252" t="e">
        <f t="shared" si="1"/>
        <v>#REF!</v>
      </c>
      <c r="J249" s="252">
        <v>1252</v>
      </c>
      <c r="K249" s="252">
        <v>1176</v>
      </c>
      <c r="L249" s="252">
        <v>1069</v>
      </c>
      <c r="M249" s="252">
        <v>1218</v>
      </c>
      <c r="N249" s="252">
        <v>1080</v>
      </c>
      <c r="O249" s="252">
        <v>1081</v>
      </c>
      <c r="P249" s="252">
        <v>965</v>
      </c>
      <c r="Q249" s="252">
        <v>937</v>
      </c>
    </row>
    <row r="250" spans="3:27" customFormat="1" hidden="1" x14ac:dyDescent="0.15">
      <c r="C250" s="172"/>
      <c r="D250" s="253"/>
      <c r="E250" s="247"/>
      <c r="F250" s="250" t="s">
        <v>9</v>
      </c>
      <c r="G250" s="248" t="s">
        <v>354</v>
      </c>
      <c r="H250" s="248">
        <v>11</v>
      </c>
      <c r="I250" s="252" t="e">
        <f t="shared" si="1"/>
        <v>#REF!</v>
      </c>
      <c r="J250" s="252">
        <v>1233</v>
      </c>
      <c r="K250" s="252">
        <v>1160</v>
      </c>
      <c r="L250" s="252">
        <v>1031</v>
      </c>
      <c r="M250" s="252">
        <v>1144</v>
      </c>
      <c r="N250" s="252">
        <v>998</v>
      </c>
      <c r="O250" s="252">
        <v>887</v>
      </c>
      <c r="P250" s="252">
        <v>720</v>
      </c>
      <c r="Q250" s="252">
        <v>525</v>
      </c>
    </row>
    <row r="251" spans="3:27" customFormat="1" hidden="1" x14ac:dyDescent="0.15">
      <c r="C251" s="172"/>
      <c r="D251" s="254" t="s">
        <v>351</v>
      </c>
      <c r="E251" s="251" t="s">
        <v>347</v>
      </c>
      <c r="F251" s="250" t="s">
        <v>343</v>
      </c>
      <c r="G251" s="248" t="s">
        <v>355</v>
      </c>
      <c r="H251" s="248">
        <v>12</v>
      </c>
      <c r="I251" s="252" t="e">
        <f t="shared" si="1"/>
        <v>#REF!</v>
      </c>
      <c r="J251" s="252">
        <v>1444</v>
      </c>
      <c r="K251" s="252">
        <v>1357</v>
      </c>
      <c r="L251" s="252">
        <v>1202</v>
      </c>
      <c r="M251" s="252">
        <v>1338</v>
      </c>
      <c r="N251" s="252">
        <v>1163</v>
      </c>
      <c r="O251" s="252">
        <v>1029</v>
      </c>
      <c r="P251" s="252">
        <v>828</v>
      </c>
      <c r="Q251" s="252">
        <v>595</v>
      </c>
    </row>
    <row r="252" spans="3:27" customFormat="1" hidden="1" x14ac:dyDescent="0.15">
      <c r="C252" s="172"/>
      <c r="D252" s="255"/>
      <c r="E252" s="256"/>
      <c r="F252" s="248" t="s">
        <v>137</v>
      </c>
      <c r="G252" s="248" t="s">
        <v>356</v>
      </c>
      <c r="H252" s="172">
        <v>13</v>
      </c>
      <c r="I252" s="252" t="e">
        <f t="shared" si="1"/>
        <v>#REF!</v>
      </c>
      <c r="J252" s="252">
        <v>1233</v>
      </c>
      <c r="K252" s="252">
        <v>1160</v>
      </c>
      <c r="L252" s="252">
        <v>1031</v>
      </c>
      <c r="M252" s="252">
        <v>1144</v>
      </c>
      <c r="N252" s="252">
        <v>998</v>
      </c>
      <c r="O252" s="252">
        <v>887</v>
      </c>
      <c r="P252" s="252">
        <v>720</v>
      </c>
      <c r="Q252" s="252">
        <v>525</v>
      </c>
    </row>
    <row r="253" spans="3:27" customFormat="1" hidden="1" x14ac:dyDescent="0.15">
      <c r="C253" s="172"/>
      <c r="D253" s="247"/>
      <c r="E253" s="257"/>
      <c r="F253" s="248" t="s">
        <v>9</v>
      </c>
      <c r="G253" s="248" t="s">
        <v>357</v>
      </c>
      <c r="H253" s="248">
        <v>14</v>
      </c>
      <c r="I253" s="252" t="e">
        <f t="shared" si="1"/>
        <v>#REF!</v>
      </c>
      <c r="J253" s="252">
        <v>957</v>
      </c>
      <c r="K253" s="252">
        <v>905</v>
      </c>
      <c r="L253" s="252">
        <v>839</v>
      </c>
      <c r="M253" s="252">
        <v>924</v>
      </c>
      <c r="N253" s="252">
        <v>813</v>
      </c>
      <c r="O253" s="252">
        <v>870</v>
      </c>
      <c r="P253" s="252">
        <v>848</v>
      </c>
      <c r="Q253" s="252">
        <v>937</v>
      </c>
    </row>
    <row r="254" spans="3:27" customFormat="1" hidden="1" x14ac:dyDescent="0.15">
      <c r="C254" s="172"/>
      <c r="D254" s="251" t="s">
        <v>358</v>
      </c>
      <c r="E254" s="258" t="s">
        <v>342</v>
      </c>
      <c r="F254" s="248" t="s">
        <v>343</v>
      </c>
      <c r="G254" s="248" t="s">
        <v>359</v>
      </c>
      <c r="H254" s="248">
        <v>15</v>
      </c>
      <c r="I254" s="252" t="e">
        <f t="shared" si="1"/>
        <v>#REF!</v>
      </c>
      <c r="J254" s="252">
        <v>1113</v>
      </c>
      <c r="K254" s="252">
        <v>1051</v>
      </c>
      <c r="L254" s="252">
        <v>972</v>
      </c>
      <c r="M254" s="252">
        <v>1073</v>
      </c>
      <c r="N254" s="252">
        <v>940</v>
      </c>
      <c r="O254" s="252">
        <v>1009</v>
      </c>
      <c r="P254" s="252">
        <v>983</v>
      </c>
      <c r="Q254" s="252">
        <v>1089</v>
      </c>
    </row>
    <row r="255" spans="3:27" customFormat="1" hidden="1" x14ac:dyDescent="0.15">
      <c r="C255" s="172"/>
      <c r="D255" s="251"/>
      <c r="E255" s="258"/>
      <c r="F255" s="248" t="s">
        <v>137</v>
      </c>
      <c r="G255" s="248" t="s">
        <v>360</v>
      </c>
      <c r="H255" s="172">
        <v>16</v>
      </c>
      <c r="I255" s="252" t="e">
        <f t="shared" si="1"/>
        <v>#REF!</v>
      </c>
      <c r="J255" s="252">
        <v>957</v>
      </c>
      <c r="K255" s="252">
        <v>905</v>
      </c>
      <c r="L255" s="252">
        <v>839</v>
      </c>
      <c r="M255" s="252">
        <v>924</v>
      </c>
      <c r="N255" s="252">
        <v>813</v>
      </c>
      <c r="O255" s="252">
        <v>870</v>
      </c>
      <c r="P255" s="252">
        <v>848</v>
      </c>
      <c r="Q255" s="252">
        <v>937</v>
      </c>
    </row>
    <row r="256" spans="3:27" customFormat="1" hidden="1" x14ac:dyDescent="0.15">
      <c r="C256" s="172"/>
      <c r="D256" s="253"/>
      <c r="E256" s="247"/>
      <c r="F256" s="250" t="s">
        <v>9</v>
      </c>
      <c r="G256" s="248" t="s">
        <v>361</v>
      </c>
      <c r="H256" s="248">
        <v>17</v>
      </c>
      <c r="I256" s="252" t="e">
        <f t="shared" si="1"/>
        <v>#REF!</v>
      </c>
      <c r="J256" s="252">
        <v>939</v>
      </c>
      <c r="K256" s="252">
        <v>889</v>
      </c>
      <c r="L256" s="252">
        <v>801</v>
      </c>
      <c r="M256" s="252">
        <v>850</v>
      </c>
      <c r="N256" s="252">
        <v>732</v>
      </c>
      <c r="O256" s="252">
        <v>677</v>
      </c>
      <c r="P256" s="252">
        <v>603</v>
      </c>
      <c r="Q256" s="252">
        <v>525</v>
      </c>
    </row>
    <row r="257" spans="3:18" customFormat="1" hidden="1" x14ac:dyDescent="0.15">
      <c r="C257" s="172"/>
      <c r="D257" s="254" t="s">
        <v>358</v>
      </c>
      <c r="E257" s="251" t="s">
        <v>347</v>
      </c>
      <c r="F257" s="250" t="s">
        <v>343</v>
      </c>
      <c r="G257" s="248" t="s">
        <v>362</v>
      </c>
      <c r="H257" s="248">
        <v>18</v>
      </c>
      <c r="I257" s="252" t="e">
        <f t="shared" si="1"/>
        <v>#REF!</v>
      </c>
      <c r="J257" s="252">
        <v>1091</v>
      </c>
      <c r="K257" s="252">
        <v>1031</v>
      </c>
      <c r="L257" s="252">
        <v>926</v>
      </c>
      <c r="M257" s="252">
        <v>985</v>
      </c>
      <c r="N257" s="252">
        <v>843</v>
      </c>
      <c r="O257" s="252">
        <v>777</v>
      </c>
      <c r="P257" s="252">
        <v>689</v>
      </c>
      <c r="Q257" s="252">
        <v>595</v>
      </c>
    </row>
    <row r="258" spans="3:18" customFormat="1" hidden="1" x14ac:dyDescent="0.15">
      <c r="C258" s="172"/>
      <c r="D258" s="255"/>
      <c r="E258" s="256"/>
      <c r="F258" s="248" t="s">
        <v>137</v>
      </c>
      <c r="G258" s="248" t="s">
        <v>363</v>
      </c>
      <c r="H258" s="248">
        <v>19</v>
      </c>
      <c r="I258" s="252" t="e">
        <f t="shared" si="1"/>
        <v>#REF!</v>
      </c>
      <c r="J258" s="252">
        <v>939</v>
      </c>
      <c r="K258" s="252">
        <v>889</v>
      </c>
      <c r="L258" s="252">
        <v>801</v>
      </c>
      <c r="M258" s="252">
        <v>850</v>
      </c>
      <c r="N258" s="252">
        <v>732</v>
      </c>
      <c r="O258" s="252">
        <v>677</v>
      </c>
      <c r="P258" s="252">
        <v>603</v>
      </c>
      <c r="Q258" s="252">
        <v>525</v>
      </c>
    </row>
    <row r="259" spans="3:18" customFormat="1" hidden="1" x14ac:dyDescent="0.15">
      <c r="C259" s="172"/>
      <c r="D259" s="259" t="e">
        <f>#REF!</f>
        <v>#REF!</v>
      </c>
      <c r="E259" s="259" t="e">
        <f>#REF!</f>
        <v>#REF!</v>
      </c>
      <c r="F259" s="280" t="e">
        <f>#REF!</f>
        <v>#REF!</v>
      </c>
      <c r="G259" s="275" t="str">
        <f>IFERROR(D259&amp;E259&amp;#REF!,"-")</f>
        <v>-</v>
      </c>
      <c r="H259" s="275" t="str">
        <f>IFERROR(VLOOKUP(G259,G241:H258,2,0),"-")</f>
        <v>-</v>
      </c>
      <c r="I259" s="274" t="e">
        <f>IF(H259="-",HLOOKUP($I$240,$T$240:$AA$242,2,FALSE),VLOOKUP(H259,$H$241:$I$258,2))</f>
        <v>#REF!</v>
      </c>
      <c r="J259" s="172"/>
      <c r="K259" s="172"/>
      <c r="L259" s="172"/>
      <c r="M259" s="172"/>
      <c r="N259" s="172"/>
      <c r="O259" s="172"/>
      <c r="P259" s="172"/>
      <c r="Q259" s="172"/>
    </row>
    <row r="260" spans="3:18" customFormat="1" hidden="1" x14ac:dyDescent="0.15">
      <c r="C260" s="172"/>
      <c r="D260" s="172"/>
      <c r="E260" s="172"/>
      <c r="F260" s="172"/>
      <c r="G260" s="172" t="e">
        <f>D259&amp;E259&amp;0</f>
        <v>#REF!</v>
      </c>
      <c r="H260" s="275" t="str">
        <f>IFERROR(VLOOKUP(G260,G241:H258,2,0),"-")</f>
        <v>-</v>
      </c>
      <c r="I260" s="274" t="e">
        <f>IF(H260="-",HLOOKUP($I$240,$T$240:$AA$242,3,FALSE),VLOOKUP(H260,$H$241:$I$258,2))</f>
        <v>#REF!</v>
      </c>
      <c r="J260" s="166"/>
      <c r="K260" s="166"/>
      <c r="L260" s="166"/>
      <c r="M260" s="166"/>
      <c r="N260" s="166"/>
      <c r="O260" s="166"/>
      <c r="P260" s="166"/>
      <c r="Q260" s="172"/>
    </row>
    <row r="261" spans="3:18" customFormat="1" hidden="1" x14ac:dyDescent="0.15">
      <c r="C261" s="29"/>
      <c r="D261" s="167"/>
      <c r="E261" s="35"/>
      <c r="F261" s="35"/>
      <c r="H261" s="35"/>
      <c r="I261" s="35"/>
      <c r="J261" s="239"/>
      <c r="K261" s="166"/>
      <c r="L261" s="35"/>
      <c r="M261" s="35"/>
      <c r="N261" s="35"/>
      <c r="O261" s="35"/>
      <c r="P261" s="35"/>
      <c r="Q261" s="35"/>
      <c r="R261" s="35"/>
    </row>
    <row r="262" spans="3:18" ht="15.6" customHeight="1" x14ac:dyDescent="0.25">
      <c r="C262" s="28" t="s">
        <v>364</v>
      </c>
    </row>
    <row r="263" spans="3:18" ht="4.9000000000000004" customHeight="1" x14ac:dyDescent="0.15">
      <c r="C263" s="18"/>
      <c r="F263" s="35"/>
    </row>
    <row r="264" spans="3:18" ht="15.6" customHeight="1" x14ac:dyDescent="0.15">
      <c r="C264" s="18"/>
    </row>
    <row r="265" spans="3:18" ht="15.6" customHeight="1" x14ac:dyDescent="0.15">
      <c r="I265" s="50" t="s">
        <v>18</v>
      </c>
      <c r="J265" s="48"/>
      <c r="K265" s="51"/>
      <c r="L265" s="50" t="s">
        <v>19</v>
      </c>
      <c r="M265" s="48"/>
      <c r="N265" s="51"/>
      <c r="O265" s="50" t="s">
        <v>20</v>
      </c>
      <c r="P265" s="48"/>
      <c r="Q265" s="51"/>
    </row>
    <row r="266" spans="3:18" ht="15.6" customHeight="1" x14ac:dyDescent="0.25">
      <c r="F266" s="46" t="s">
        <v>28</v>
      </c>
      <c r="H266" s="59"/>
      <c r="I266" s="52" t="s">
        <v>289</v>
      </c>
      <c r="J266" s="52" t="s">
        <v>290</v>
      </c>
      <c r="K266" s="52" t="s">
        <v>291</v>
      </c>
      <c r="L266" s="52" t="s">
        <v>289</v>
      </c>
      <c r="M266" s="52" t="s">
        <v>290</v>
      </c>
      <c r="N266" s="52" t="s">
        <v>291</v>
      </c>
      <c r="O266" s="52" t="s">
        <v>289</v>
      </c>
      <c r="P266" s="52" t="s">
        <v>290</v>
      </c>
      <c r="Q266" s="52" t="s">
        <v>291</v>
      </c>
    </row>
    <row r="267" spans="3:18" ht="15.6" customHeight="1" x14ac:dyDescent="0.15">
      <c r="C267" s="32" t="s">
        <v>27</v>
      </c>
      <c r="D267" s="32"/>
      <c r="F267" s="34"/>
      <c r="H267" s="17"/>
      <c r="I267" s="660">
        <v>30</v>
      </c>
      <c r="J267" s="660">
        <v>60</v>
      </c>
      <c r="K267" s="660">
        <v>90</v>
      </c>
      <c r="L267" s="660">
        <v>30</v>
      </c>
      <c r="M267" s="660">
        <v>60</v>
      </c>
      <c r="N267" s="660">
        <v>90</v>
      </c>
      <c r="O267" s="660">
        <v>30</v>
      </c>
      <c r="P267" s="660">
        <v>60</v>
      </c>
      <c r="Q267" s="660">
        <v>90</v>
      </c>
    </row>
    <row r="268" spans="3:18" ht="9" customHeight="1" x14ac:dyDescent="0.15">
      <c r="C268" s="33"/>
      <c r="D268" s="33"/>
      <c r="F268" s="21"/>
      <c r="H268" s="17"/>
      <c r="I268" s="661"/>
      <c r="J268" s="661"/>
      <c r="K268" s="661"/>
      <c r="L268" s="661"/>
      <c r="M268" s="661"/>
      <c r="N268" s="661"/>
      <c r="O268" s="661"/>
      <c r="P268" s="661"/>
      <c r="Q268" s="661"/>
    </row>
    <row r="269" spans="3:18" ht="16.5" x14ac:dyDescent="0.25">
      <c r="D269" s="32"/>
      <c r="H269" s="17"/>
      <c r="I269" s="162" t="s">
        <v>288</v>
      </c>
      <c r="J269" s="662"/>
      <c r="K269" s="662"/>
      <c r="L269" s="662"/>
      <c r="M269" s="662"/>
      <c r="N269" s="662"/>
      <c r="O269" s="662"/>
      <c r="P269" s="662"/>
      <c r="Q269" s="663"/>
    </row>
    <row r="270" spans="3:18" ht="35.25" customHeight="1" x14ac:dyDescent="0.25">
      <c r="C270" s="61" t="s">
        <v>365</v>
      </c>
      <c r="D270" s="32"/>
      <c r="F270" s="60" t="s">
        <v>366</v>
      </c>
      <c r="I270" s="62" t="s">
        <v>289</v>
      </c>
      <c r="J270" s="62" t="s">
        <v>290</v>
      </c>
      <c r="K270" s="62" t="s">
        <v>291</v>
      </c>
      <c r="L270" s="62" t="s">
        <v>289</v>
      </c>
      <c r="M270" s="62" t="s">
        <v>290</v>
      </c>
      <c r="N270" s="62" t="s">
        <v>291</v>
      </c>
      <c r="O270" s="62" t="s">
        <v>289</v>
      </c>
      <c r="P270" s="62" t="s">
        <v>290</v>
      </c>
      <c r="Q270" s="62" t="s">
        <v>291</v>
      </c>
    </row>
    <row r="271" spans="3:18" x14ac:dyDescent="0.15">
      <c r="F271" s="63">
        <v>1</v>
      </c>
      <c r="H271" s="17"/>
      <c r="I271" s="664">
        <v>11</v>
      </c>
      <c r="J271" s="664">
        <v>11</v>
      </c>
      <c r="K271" s="664">
        <v>11</v>
      </c>
      <c r="L271" s="664">
        <v>11</v>
      </c>
      <c r="M271" s="664">
        <v>11</v>
      </c>
      <c r="N271" s="664">
        <v>11</v>
      </c>
      <c r="O271" s="664">
        <v>11</v>
      </c>
      <c r="P271" s="664">
        <v>11</v>
      </c>
      <c r="Q271" s="664">
        <v>11</v>
      </c>
    </row>
    <row r="272" spans="3:18" x14ac:dyDescent="0.15">
      <c r="D272" s="32"/>
      <c r="F272" s="63">
        <v>2</v>
      </c>
      <c r="H272" s="17"/>
      <c r="I272" s="664">
        <v>12</v>
      </c>
      <c r="J272" s="664">
        <v>18</v>
      </c>
      <c r="K272" s="664">
        <v>24</v>
      </c>
      <c r="L272" s="664">
        <v>12</v>
      </c>
      <c r="M272" s="664">
        <v>18</v>
      </c>
      <c r="N272" s="664">
        <v>24</v>
      </c>
      <c r="O272" s="664">
        <v>12</v>
      </c>
      <c r="P272" s="664">
        <v>18</v>
      </c>
      <c r="Q272" s="664">
        <v>24</v>
      </c>
    </row>
    <row r="273" spans="4:17" x14ac:dyDescent="0.15">
      <c r="D273" s="32"/>
      <c r="F273" s="63">
        <v>3</v>
      </c>
      <c r="H273" s="17"/>
      <c r="I273" s="664">
        <v>25</v>
      </c>
      <c r="J273" s="664">
        <v>37</v>
      </c>
      <c r="K273" s="664">
        <v>49</v>
      </c>
      <c r="L273" s="664">
        <v>25</v>
      </c>
      <c r="M273" s="664">
        <v>37</v>
      </c>
      <c r="N273" s="664">
        <v>49</v>
      </c>
      <c r="O273" s="664">
        <v>25</v>
      </c>
      <c r="P273" s="664">
        <v>37</v>
      </c>
      <c r="Q273" s="664">
        <v>49</v>
      </c>
    </row>
    <row r="274" spans="4:17" x14ac:dyDescent="0.15">
      <c r="D274" s="32"/>
      <c r="F274" s="63">
        <v>4</v>
      </c>
      <c r="H274" s="17"/>
      <c r="I274" s="664">
        <v>50</v>
      </c>
      <c r="J274" s="664">
        <v>75</v>
      </c>
      <c r="K274" s="664">
        <v>100</v>
      </c>
      <c r="L274" s="664">
        <v>50</v>
      </c>
      <c r="M274" s="664">
        <v>75</v>
      </c>
      <c r="N274" s="664">
        <v>100</v>
      </c>
      <c r="O274" s="664">
        <v>50</v>
      </c>
      <c r="P274" s="664">
        <v>75</v>
      </c>
      <c r="Q274" s="664">
        <v>100</v>
      </c>
    </row>
    <row r="275" spans="4:17" x14ac:dyDescent="0.15">
      <c r="D275" s="32"/>
      <c r="F275" s="63">
        <v>5</v>
      </c>
      <c r="H275" s="17"/>
      <c r="I275" s="664">
        <v>50</v>
      </c>
      <c r="J275" s="664">
        <v>75</v>
      </c>
      <c r="K275" s="664">
        <v>100</v>
      </c>
      <c r="L275" s="664">
        <v>50</v>
      </c>
      <c r="M275" s="664">
        <v>75</v>
      </c>
      <c r="N275" s="664">
        <v>100</v>
      </c>
      <c r="O275" s="664">
        <v>50</v>
      </c>
      <c r="P275" s="664">
        <v>75</v>
      </c>
      <c r="Q275" s="664">
        <v>100</v>
      </c>
    </row>
    <row r="276" spans="4:17" ht="4.9000000000000004" customHeight="1" x14ac:dyDescent="0.15">
      <c r="D276" s="32"/>
      <c r="E276" s="32"/>
      <c r="F276" s="32"/>
      <c r="G276" s="32"/>
      <c r="H276" s="32"/>
      <c r="I276" s="32"/>
      <c r="J276" s="32"/>
      <c r="K276" s="32"/>
      <c r="L276" s="32"/>
      <c r="M276" s="32"/>
      <c r="N276" s="32"/>
      <c r="O276" s="32"/>
      <c r="P276" s="32"/>
      <c r="Q276" s="32"/>
    </row>
    <row r="277" spans="4:17" ht="9" hidden="1" customHeight="1" x14ac:dyDescent="0.15"/>
    <row r="278" spans="4:17" hidden="1" x14ac:dyDescent="0.15"/>
    <row r="279" spans="4:17" hidden="1" x14ac:dyDescent="0.15"/>
    <row r="280" spans="4:17" hidden="1" x14ac:dyDescent="0.15"/>
    <row r="281" spans="4:17" hidden="1" x14ac:dyDescent="0.15"/>
    <row r="282" spans="4:17" hidden="1" x14ac:dyDescent="0.15"/>
    <row r="283" spans="4:17" hidden="1" x14ac:dyDescent="0.15"/>
    <row r="284" spans="4:17" hidden="1" x14ac:dyDescent="0.15"/>
    <row r="285" spans="4:17" hidden="1" x14ac:dyDescent="0.15"/>
    <row r="286" spans="4:17" hidden="1" x14ac:dyDescent="0.15"/>
    <row r="287" spans="4:17" hidden="1" x14ac:dyDescent="0.15"/>
    <row r="288" spans="4:17"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sheetData>
  <sheetProtection algorithmName="SHA-512" hashValue="QpI/9WdAyRZeAn39R8pYLrwy0z1XOJdtwEgJKesEpWjoAKMxy4uKhDZwCMywqOqRA6S8ZP5VTRvpvcvIMmE1nw==" saltValue="+3x9jYRggIwU91u17jpCEg==" spinCount="100000" sheet="1" objects="1" scenarios="1"/>
  <phoneticPr fontId="4"/>
  <conditionalFormatting sqref="F4 F5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F108">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F160">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78740157480314965" top="0.78740157480314965" bottom="0.78740157480314965" header="0.51181102362204722" footer="0.51181102362204722"/>
  <pageSetup paperSize="9" scale="69" fitToHeight="0" orientation="portrait" horizontalDpi="300" verticalDpi="300" r:id="rId1"/>
  <headerFooter alignWithMargins="0">
    <oddHeader>&amp;L&amp;F&amp;R&amp;A</oddHeader>
    <oddFooter>&amp;C&amp;P/&amp;N</oddFooter>
  </headerFooter>
  <rowBreaks count="2" manualBreakCount="2">
    <brk id="54" max="16" man="1"/>
    <brk id="216"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8"/>
  <sheetViews>
    <sheetView showGridLines="0" workbookViewId="0">
      <selection activeCell="R37" sqref="R37"/>
    </sheetView>
  </sheetViews>
  <sheetFormatPr defaultColWidth="0" defaultRowHeight="13.5" customHeight="1" zeroHeight="1" x14ac:dyDescent="0.15"/>
  <cols>
    <col min="1" max="1" width="1.125" style="2" customWidth="1"/>
    <col min="2" max="18" width="8.75" style="2" customWidth="1"/>
    <col min="19" max="19" width="1.5" style="2" customWidth="1"/>
    <col min="20" max="16384" width="8.75" style="2" hidden="1"/>
  </cols>
  <sheetData>
    <row r="1" spans="2:18" ht="13.5" customHeight="1" x14ac:dyDescent="0.15">
      <c r="B1" s="5"/>
      <c r="C1" s="5"/>
      <c r="D1" s="5"/>
      <c r="E1" s="5"/>
      <c r="F1" s="5"/>
      <c r="G1" s="5"/>
      <c r="H1" s="5"/>
      <c r="I1" s="5"/>
      <c r="J1" s="5"/>
      <c r="K1" s="5"/>
      <c r="L1" s="5"/>
      <c r="M1" s="5"/>
      <c r="N1" s="5"/>
      <c r="O1" s="5"/>
      <c r="P1" s="5"/>
      <c r="Q1" s="5"/>
      <c r="R1" s="5"/>
    </row>
    <row r="2" spans="2:18" ht="13.5" customHeight="1" x14ac:dyDescent="0.15">
      <c r="B2" s="5"/>
      <c r="C2" s="5"/>
      <c r="D2" s="5"/>
      <c r="E2" s="5"/>
      <c r="F2" s="5"/>
      <c r="G2" s="5"/>
      <c r="H2" s="5"/>
      <c r="I2" s="5"/>
      <c r="J2" s="5"/>
      <c r="K2" s="5"/>
      <c r="L2" s="5"/>
      <c r="M2" s="5"/>
      <c r="N2" s="5"/>
      <c r="O2" s="5"/>
      <c r="P2" s="5"/>
      <c r="Q2" s="5"/>
      <c r="R2" s="5"/>
    </row>
    <row r="3" spans="2:18" ht="13.5" customHeight="1" x14ac:dyDescent="0.15">
      <c r="B3" s="5"/>
      <c r="C3" s="5"/>
      <c r="D3" s="5"/>
      <c r="E3" s="5"/>
      <c r="F3" s="5"/>
      <c r="G3" s="5"/>
      <c r="H3" s="5"/>
      <c r="I3" s="5"/>
      <c r="J3" s="5"/>
      <c r="K3" s="5"/>
      <c r="L3" s="5"/>
      <c r="M3" s="5"/>
      <c r="N3" s="5"/>
      <c r="O3" s="5"/>
      <c r="P3" s="5"/>
      <c r="Q3" s="5"/>
      <c r="R3" s="5"/>
    </row>
    <row r="4" spans="2:18" ht="13.5" customHeight="1" x14ac:dyDescent="0.15">
      <c r="B4" s="5"/>
      <c r="C4" s="5"/>
      <c r="D4" s="5"/>
      <c r="E4" s="5"/>
      <c r="F4" s="5"/>
      <c r="G4" s="5"/>
      <c r="H4" s="5"/>
      <c r="I4" s="5"/>
      <c r="J4" s="5"/>
      <c r="K4" s="5"/>
      <c r="L4" s="5"/>
      <c r="M4" s="5"/>
      <c r="N4" s="5"/>
      <c r="O4" s="5"/>
      <c r="P4" s="5"/>
      <c r="Q4" s="5"/>
      <c r="R4" s="5"/>
    </row>
    <row r="5" spans="2:18" ht="13.5" customHeight="1" x14ac:dyDescent="0.15">
      <c r="B5" s="5"/>
      <c r="C5" s="5"/>
      <c r="D5" s="5"/>
      <c r="E5" s="5"/>
      <c r="F5" s="5"/>
      <c r="G5" s="5"/>
      <c r="H5" s="5"/>
      <c r="I5" s="5"/>
      <c r="J5" s="5"/>
      <c r="K5" s="5"/>
      <c r="L5" s="5"/>
      <c r="M5" s="5"/>
      <c r="N5" s="5"/>
      <c r="O5" s="5"/>
      <c r="P5" s="5"/>
      <c r="Q5" s="5"/>
      <c r="R5" s="5"/>
    </row>
    <row r="6" spans="2:18" ht="13.5" customHeight="1" x14ac:dyDescent="0.15">
      <c r="B6" s="5"/>
      <c r="C6" s="5"/>
      <c r="D6" s="5"/>
      <c r="E6" s="5"/>
      <c r="F6" s="5"/>
      <c r="G6" s="5"/>
      <c r="H6" s="5"/>
      <c r="I6" s="5"/>
      <c r="J6" s="5"/>
      <c r="K6" s="5"/>
      <c r="L6" s="5"/>
      <c r="M6" s="5"/>
      <c r="N6" s="5"/>
      <c r="O6" s="5"/>
      <c r="P6" s="5"/>
      <c r="Q6" s="5"/>
      <c r="R6" s="5"/>
    </row>
    <row r="7" spans="2:18" ht="13.5" customHeight="1" x14ac:dyDescent="0.15">
      <c r="B7" s="5"/>
      <c r="C7" s="5"/>
      <c r="D7" s="5"/>
      <c r="E7" s="5"/>
      <c r="F7" s="5"/>
      <c r="G7" s="5"/>
      <c r="H7" s="5"/>
      <c r="I7" s="5"/>
      <c r="J7" s="5"/>
      <c r="K7" s="5"/>
      <c r="L7" s="5"/>
      <c r="M7" s="5"/>
      <c r="N7" s="5"/>
      <c r="O7" s="5"/>
      <c r="P7" s="5"/>
      <c r="Q7" s="5"/>
      <c r="R7" s="5"/>
    </row>
    <row r="8" spans="2:18" ht="13.5" customHeight="1" x14ac:dyDescent="0.15">
      <c r="B8" s="5"/>
      <c r="C8" s="5"/>
      <c r="D8" s="5"/>
      <c r="E8" s="5"/>
      <c r="F8" s="5"/>
      <c r="G8" s="5"/>
      <c r="H8" s="5"/>
      <c r="I8" s="5"/>
      <c r="J8" s="5"/>
      <c r="K8" s="5"/>
      <c r="L8" s="5"/>
      <c r="M8" s="5"/>
      <c r="N8" s="5"/>
      <c r="O8" s="5"/>
      <c r="P8" s="5"/>
      <c r="Q8" s="5"/>
      <c r="R8" s="5"/>
    </row>
    <row r="9" spans="2:18" ht="13.5" customHeight="1" x14ac:dyDescent="0.15">
      <c r="B9" s="5"/>
      <c r="C9" s="5"/>
      <c r="D9" s="5"/>
      <c r="E9" s="5"/>
      <c r="F9" s="5"/>
      <c r="G9" s="5"/>
      <c r="H9" s="5"/>
      <c r="I9" s="5"/>
      <c r="J9" s="5"/>
      <c r="K9" s="5"/>
      <c r="L9" s="5"/>
      <c r="M9" s="5"/>
      <c r="N9" s="5"/>
      <c r="O9" s="5"/>
      <c r="P9" s="5"/>
      <c r="Q9" s="5"/>
      <c r="R9" s="5"/>
    </row>
    <row r="10" spans="2:18" ht="13.5" customHeight="1" x14ac:dyDescent="0.15">
      <c r="B10" s="5"/>
      <c r="C10" s="5"/>
      <c r="D10" s="5"/>
      <c r="E10" s="5"/>
      <c r="F10" s="5"/>
      <c r="G10" s="5"/>
      <c r="H10" s="5"/>
      <c r="I10" s="5"/>
      <c r="J10" s="5"/>
      <c r="K10" s="5"/>
      <c r="L10" s="5"/>
      <c r="M10" s="5"/>
      <c r="N10" s="5"/>
      <c r="O10" s="5"/>
      <c r="P10" s="5"/>
      <c r="Q10" s="5"/>
      <c r="R10" s="5"/>
    </row>
    <row r="11" spans="2:18" ht="13.5" customHeight="1" x14ac:dyDescent="0.15">
      <c r="B11" s="5"/>
      <c r="C11" s="5"/>
      <c r="D11" s="5"/>
      <c r="E11" s="5"/>
      <c r="F11" s="5"/>
      <c r="G11" s="5"/>
      <c r="H11" s="5"/>
      <c r="I11" s="5"/>
      <c r="J11" s="5"/>
      <c r="K11" s="5"/>
      <c r="L11" s="5"/>
      <c r="M11" s="5"/>
      <c r="N11" s="5"/>
      <c r="O11" s="5"/>
      <c r="P11" s="5"/>
      <c r="Q11" s="5"/>
      <c r="R11" s="5"/>
    </row>
    <row r="12" spans="2:18" ht="13.5" customHeight="1" x14ac:dyDescent="0.15">
      <c r="B12" s="5"/>
      <c r="C12" s="5"/>
      <c r="D12" s="5"/>
      <c r="E12" s="5"/>
      <c r="F12" s="5"/>
      <c r="G12" s="5"/>
      <c r="H12" s="5"/>
      <c r="I12" s="5"/>
      <c r="J12" s="5"/>
      <c r="K12" s="5"/>
      <c r="L12" s="5"/>
      <c r="M12" s="5"/>
      <c r="N12" s="5"/>
      <c r="O12" s="5"/>
      <c r="P12" s="5"/>
      <c r="Q12" s="5"/>
      <c r="R12" s="5"/>
    </row>
    <row r="13" spans="2:18" ht="18.75" x14ac:dyDescent="0.2">
      <c r="B13" s="5"/>
      <c r="C13" s="5"/>
      <c r="D13" s="5"/>
      <c r="E13" s="6"/>
      <c r="F13" s="5"/>
      <c r="G13" s="5"/>
      <c r="H13" s="5"/>
      <c r="I13" s="5"/>
      <c r="J13" s="5"/>
      <c r="K13" s="5"/>
      <c r="L13" s="5"/>
      <c r="M13" s="5"/>
      <c r="N13" s="5"/>
      <c r="O13" s="5"/>
      <c r="P13" s="5"/>
      <c r="Q13" s="5"/>
      <c r="R13" s="5"/>
    </row>
    <row r="14" spans="2:18" ht="13.5" customHeight="1" x14ac:dyDescent="0.15">
      <c r="B14" s="5"/>
      <c r="C14" s="5"/>
      <c r="D14" s="5"/>
      <c r="E14" s="5"/>
      <c r="F14" s="5"/>
      <c r="G14" s="5"/>
      <c r="H14" s="5"/>
      <c r="I14" s="5"/>
      <c r="J14" s="5"/>
      <c r="K14" s="5"/>
      <c r="L14" s="5"/>
      <c r="M14" s="5"/>
      <c r="N14" s="5"/>
      <c r="O14" s="5"/>
      <c r="P14" s="5"/>
      <c r="Q14" s="5"/>
      <c r="R14" s="5"/>
    </row>
    <row r="15" spans="2:18" ht="13.5" customHeight="1" x14ac:dyDescent="0.15">
      <c r="B15" s="5"/>
      <c r="C15" s="5"/>
      <c r="D15" s="5"/>
      <c r="E15" s="5"/>
      <c r="F15" s="5"/>
      <c r="G15" s="5"/>
      <c r="H15" s="5"/>
      <c r="I15" s="5"/>
      <c r="J15" s="5"/>
      <c r="K15" s="5"/>
      <c r="L15" s="5"/>
      <c r="M15" s="5"/>
      <c r="N15" s="5"/>
      <c r="O15" s="5"/>
      <c r="P15" s="5"/>
      <c r="Q15" s="5"/>
      <c r="R15" s="5"/>
    </row>
    <row r="16" spans="2:18" ht="13.5" customHeight="1" x14ac:dyDescent="0.15">
      <c r="B16" s="5"/>
      <c r="C16" s="5"/>
      <c r="D16" s="5"/>
      <c r="E16" s="5"/>
      <c r="F16" s="5"/>
      <c r="G16" s="5"/>
      <c r="H16" s="5"/>
      <c r="I16" s="5"/>
      <c r="J16" s="5"/>
      <c r="K16" s="5"/>
      <c r="L16" s="5"/>
      <c r="M16" s="5"/>
      <c r="N16" s="5"/>
      <c r="O16" s="5"/>
      <c r="P16" s="5"/>
      <c r="Q16" s="5"/>
      <c r="R16" s="5"/>
    </row>
    <row r="17" spans="2:18" ht="13.5" customHeight="1" x14ac:dyDescent="0.15">
      <c r="B17" s="5"/>
      <c r="C17" s="5"/>
      <c r="D17" s="5"/>
      <c r="E17" s="5"/>
      <c r="F17" s="5"/>
      <c r="G17" s="5"/>
      <c r="H17" s="5"/>
      <c r="I17" s="5"/>
      <c r="J17" s="5"/>
      <c r="K17" s="5"/>
      <c r="L17" s="5"/>
      <c r="M17" s="5"/>
      <c r="N17" s="5"/>
      <c r="O17" s="5"/>
      <c r="P17" s="5"/>
      <c r="Q17" s="5"/>
      <c r="R17" s="5"/>
    </row>
    <row r="18" spans="2:18" ht="13.5" customHeight="1" x14ac:dyDescent="0.15">
      <c r="B18" s="5"/>
      <c r="C18" s="5"/>
      <c r="D18" s="5"/>
      <c r="E18" s="5"/>
      <c r="F18" s="5"/>
      <c r="G18" s="5"/>
      <c r="H18" s="5"/>
      <c r="I18" s="5"/>
      <c r="J18" s="5"/>
      <c r="K18" s="5"/>
      <c r="L18" s="5"/>
      <c r="M18" s="5"/>
      <c r="N18" s="5"/>
      <c r="O18" s="5"/>
      <c r="P18" s="5"/>
      <c r="Q18" s="5"/>
      <c r="R18" s="5"/>
    </row>
    <row r="19" spans="2:18" ht="13.5" customHeight="1" x14ac:dyDescent="0.15">
      <c r="B19" s="5"/>
      <c r="C19" s="5"/>
      <c r="D19" s="5"/>
      <c r="E19" s="5"/>
      <c r="F19" s="5"/>
      <c r="G19" s="5"/>
      <c r="H19" s="5"/>
      <c r="I19" s="5"/>
      <c r="J19" s="5"/>
      <c r="K19" s="5"/>
      <c r="L19" s="5"/>
      <c r="M19" s="5"/>
      <c r="N19" s="5"/>
      <c r="O19" s="5"/>
      <c r="P19" s="5"/>
      <c r="Q19" s="5"/>
      <c r="R19" s="5"/>
    </row>
    <row r="20" spans="2:18" ht="13.5" customHeight="1" x14ac:dyDescent="0.15">
      <c r="B20" s="5"/>
      <c r="C20" s="5"/>
      <c r="D20" s="5"/>
      <c r="E20" s="5"/>
      <c r="F20" s="5"/>
      <c r="G20" s="5"/>
      <c r="H20" s="5"/>
      <c r="I20" s="5"/>
      <c r="J20" s="5"/>
      <c r="K20" s="5"/>
      <c r="L20" s="5"/>
      <c r="M20" s="5"/>
      <c r="N20" s="5"/>
      <c r="O20" s="5"/>
      <c r="P20" s="5"/>
      <c r="Q20" s="5"/>
      <c r="R20" s="5"/>
    </row>
    <row r="21" spans="2:18" ht="13.5" customHeight="1" x14ac:dyDescent="0.15">
      <c r="B21" s="5"/>
      <c r="C21" s="5"/>
      <c r="D21" s="5"/>
      <c r="E21" s="5"/>
      <c r="F21" s="5"/>
      <c r="G21" s="5"/>
      <c r="H21" s="5"/>
      <c r="I21" s="5"/>
      <c r="J21" s="5"/>
      <c r="K21" s="5"/>
      <c r="L21" s="5"/>
      <c r="M21" s="5"/>
      <c r="N21" s="5"/>
      <c r="O21" s="5"/>
      <c r="P21" s="5"/>
      <c r="Q21" s="5"/>
      <c r="R21" s="5"/>
    </row>
    <row r="22" spans="2:18" ht="13.5" customHeight="1" x14ac:dyDescent="0.15">
      <c r="B22" s="5"/>
      <c r="C22" s="5"/>
      <c r="D22" s="5"/>
      <c r="E22" s="5"/>
      <c r="F22" s="5"/>
      <c r="G22" s="5"/>
      <c r="H22" s="5"/>
      <c r="I22" s="5"/>
      <c r="J22" s="5"/>
      <c r="K22" s="5"/>
      <c r="L22" s="5"/>
      <c r="M22" s="5"/>
      <c r="N22" s="5"/>
      <c r="O22" s="5"/>
      <c r="P22" s="5"/>
      <c r="Q22" s="5"/>
      <c r="R22" s="5"/>
    </row>
    <row r="23" spans="2:18" ht="13.5" customHeight="1" x14ac:dyDescent="0.15">
      <c r="B23" s="5"/>
      <c r="C23" s="5"/>
      <c r="D23" s="5"/>
      <c r="E23" s="5"/>
      <c r="F23" s="5"/>
      <c r="G23" s="5"/>
      <c r="H23" s="5"/>
      <c r="I23" s="5"/>
      <c r="J23" s="5"/>
      <c r="K23" s="5"/>
      <c r="L23" s="5"/>
      <c r="M23" s="5"/>
      <c r="N23" s="5"/>
      <c r="O23" s="5"/>
      <c r="P23" s="5"/>
      <c r="Q23" s="5"/>
      <c r="R23" s="5"/>
    </row>
    <row r="24" spans="2:18" ht="13.5" customHeight="1" x14ac:dyDescent="0.15">
      <c r="B24" s="5"/>
      <c r="C24" s="5"/>
      <c r="D24" s="5"/>
      <c r="E24" s="5"/>
      <c r="F24" s="5"/>
      <c r="G24" s="5"/>
      <c r="H24" s="5"/>
      <c r="I24" s="5"/>
      <c r="J24" s="5"/>
      <c r="K24" s="5"/>
      <c r="L24" s="5"/>
      <c r="M24" s="5"/>
      <c r="N24" s="5"/>
      <c r="O24" s="5"/>
      <c r="P24" s="5"/>
      <c r="Q24" s="5"/>
      <c r="R24" s="5"/>
    </row>
    <row r="25" spans="2:18" ht="13.5" customHeight="1" x14ac:dyDescent="0.15">
      <c r="B25" s="5"/>
      <c r="C25" s="5"/>
      <c r="D25" s="5"/>
      <c r="E25" s="5"/>
      <c r="F25" s="5"/>
      <c r="G25" s="5"/>
      <c r="H25" s="5"/>
      <c r="I25" s="5"/>
      <c r="J25" s="5"/>
      <c r="K25" s="5"/>
      <c r="L25" s="5"/>
      <c r="M25" s="5"/>
      <c r="N25" s="5"/>
      <c r="O25" s="5"/>
      <c r="P25" s="5"/>
      <c r="Q25" s="5"/>
      <c r="R25" s="5"/>
    </row>
    <row r="26" spans="2:18" ht="13.5" customHeight="1" x14ac:dyDescent="0.15">
      <c r="B26" s="5"/>
      <c r="C26" s="5"/>
      <c r="D26" s="5"/>
      <c r="E26" s="5"/>
      <c r="F26" s="5"/>
      <c r="G26" s="5"/>
      <c r="H26" s="5"/>
      <c r="I26" s="5"/>
      <c r="J26" s="5"/>
      <c r="K26" s="5"/>
      <c r="L26" s="5"/>
      <c r="M26" s="5"/>
      <c r="N26" s="5"/>
      <c r="O26" s="5"/>
      <c r="P26" s="5"/>
      <c r="Q26" s="5"/>
      <c r="R26" s="5"/>
    </row>
    <row r="27" spans="2:18" ht="13.5" customHeight="1" x14ac:dyDescent="0.15">
      <c r="B27" s="5"/>
      <c r="C27" s="5"/>
      <c r="D27" s="5"/>
      <c r="E27" s="5"/>
      <c r="F27" s="5"/>
      <c r="G27" s="5"/>
      <c r="H27" s="5"/>
      <c r="I27" s="5"/>
      <c r="J27" s="5"/>
      <c r="K27" s="5"/>
      <c r="L27" s="5"/>
      <c r="M27" s="5"/>
      <c r="N27" s="5"/>
      <c r="O27" s="5"/>
      <c r="P27" s="5"/>
      <c r="Q27" s="5"/>
      <c r="R27" s="5"/>
    </row>
    <row r="28" spans="2:18" ht="13.5" customHeight="1" x14ac:dyDescent="0.15">
      <c r="B28" s="5"/>
      <c r="C28" s="5"/>
      <c r="D28" s="5"/>
      <c r="E28" s="5"/>
      <c r="F28" s="5"/>
      <c r="G28" s="5"/>
      <c r="H28" s="5"/>
      <c r="I28" s="5"/>
      <c r="J28" s="5"/>
      <c r="K28" s="5"/>
      <c r="L28" s="5"/>
      <c r="M28" s="5"/>
      <c r="N28" s="5"/>
      <c r="O28" s="5"/>
      <c r="P28" s="5"/>
      <c r="Q28" s="5"/>
      <c r="R28" s="5"/>
    </row>
    <row r="29" spans="2:18" ht="13.5" customHeight="1" x14ac:dyDescent="0.15">
      <c r="B29" s="5"/>
      <c r="C29" s="5"/>
      <c r="D29" s="5"/>
      <c r="E29" s="5"/>
      <c r="F29" s="5"/>
      <c r="G29" s="5"/>
      <c r="H29" s="5"/>
      <c r="I29" s="5"/>
      <c r="J29" s="5"/>
      <c r="K29" s="5"/>
      <c r="L29" s="5"/>
      <c r="M29" s="5"/>
      <c r="N29" s="5"/>
      <c r="O29" s="5"/>
      <c r="P29" s="5"/>
      <c r="Q29" s="5"/>
      <c r="R29" s="5"/>
    </row>
    <row r="30" spans="2:18" ht="13.5" customHeight="1" x14ac:dyDescent="0.15">
      <c r="B30" s="5"/>
      <c r="C30" s="5"/>
      <c r="D30" s="5"/>
      <c r="E30" s="5"/>
      <c r="F30" s="5"/>
      <c r="G30" s="5"/>
      <c r="H30" s="5"/>
      <c r="I30" s="5"/>
      <c r="J30" s="5"/>
      <c r="K30" s="5"/>
      <c r="L30" s="5"/>
      <c r="M30" s="5"/>
      <c r="N30" s="5"/>
      <c r="O30" s="5"/>
      <c r="P30" s="5"/>
      <c r="Q30" s="5"/>
      <c r="R30" s="5"/>
    </row>
    <row r="31" spans="2:18" ht="13.5" customHeight="1" x14ac:dyDescent="0.15">
      <c r="B31" s="5"/>
      <c r="C31" s="5"/>
      <c r="D31" s="5"/>
      <c r="E31" s="5"/>
      <c r="F31" s="5"/>
      <c r="G31" s="5"/>
      <c r="H31" s="5"/>
      <c r="I31" s="5"/>
      <c r="J31" s="5"/>
      <c r="K31" s="5"/>
      <c r="L31" s="5"/>
      <c r="M31" s="5"/>
      <c r="N31" s="5"/>
      <c r="O31" s="5"/>
      <c r="P31" s="5"/>
      <c r="Q31" s="5"/>
      <c r="R31" s="5"/>
    </row>
    <row r="32" spans="2:18" ht="13.5" customHeight="1" x14ac:dyDescent="0.15">
      <c r="B32" s="5"/>
      <c r="C32" s="5"/>
      <c r="D32" s="5"/>
      <c r="E32" s="5"/>
      <c r="F32" s="5"/>
      <c r="G32" s="5"/>
      <c r="H32" s="5"/>
      <c r="I32" s="5"/>
      <c r="J32" s="5"/>
      <c r="K32" s="5"/>
      <c r="L32" s="5"/>
      <c r="M32" s="5"/>
      <c r="N32" s="5"/>
      <c r="O32" s="5"/>
      <c r="P32" s="5"/>
      <c r="Q32" s="5"/>
      <c r="R32" s="5"/>
    </row>
    <row r="33" spans="2:18" ht="13.5" customHeight="1" x14ac:dyDescent="0.15">
      <c r="B33" s="5"/>
      <c r="C33" s="5"/>
      <c r="D33" s="5"/>
      <c r="E33" s="5"/>
      <c r="F33" s="5"/>
      <c r="G33" s="5"/>
      <c r="H33" s="5"/>
      <c r="I33" s="5"/>
      <c r="J33" s="5"/>
      <c r="K33" s="5"/>
      <c r="L33" s="5"/>
      <c r="M33" s="5"/>
      <c r="N33" s="5"/>
      <c r="O33" s="5"/>
      <c r="P33" s="5"/>
      <c r="Q33" s="5"/>
      <c r="R33" s="5"/>
    </row>
    <row r="34" spans="2:18" ht="13.5" customHeight="1" x14ac:dyDescent="0.15">
      <c r="B34" s="5"/>
      <c r="C34" s="5"/>
      <c r="D34" s="5"/>
      <c r="E34" s="5"/>
      <c r="F34" s="5"/>
      <c r="G34" s="5"/>
      <c r="H34" s="5"/>
      <c r="I34" s="5"/>
      <c r="J34" s="5"/>
      <c r="K34" s="5"/>
      <c r="L34" s="5"/>
      <c r="M34" s="5"/>
      <c r="N34" s="5"/>
      <c r="O34" s="5"/>
      <c r="P34" s="5"/>
      <c r="Q34" s="5"/>
      <c r="R34" s="5"/>
    </row>
    <row r="35" spans="2:18" ht="13.5" customHeight="1" x14ac:dyDescent="0.15">
      <c r="B35" s="5"/>
      <c r="C35" s="5"/>
      <c r="D35" s="5"/>
      <c r="E35" s="5"/>
      <c r="F35" s="5"/>
      <c r="G35" s="5"/>
      <c r="H35" s="5"/>
      <c r="I35" s="5"/>
      <c r="J35" s="5"/>
      <c r="K35" s="5"/>
      <c r="L35" s="5"/>
      <c r="M35" s="5"/>
      <c r="N35" s="5"/>
      <c r="O35" s="5"/>
      <c r="P35" s="5"/>
      <c r="Q35" s="5"/>
      <c r="R35" s="5"/>
    </row>
    <row r="36" spans="2:18" ht="13.5" customHeight="1" x14ac:dyDescent="0.15">
      <c r="B36" s="5"/>
      <c r="C36" s="5"/>
      <c r="D36" s="5"/>
      <c r="E36" s="5"/>
      <c r="F36" s="5"/>
      <c r="G36" s="5"/>
      <c r="H36" s="5"/>
      <c r="I36" s="5"/>
      <c r="J36" s="5"/>
      <c r="K36" s="5"/>
      <c r="L36" s="5"/>
      <c r="M36" s="5"/>
      <c r="N36" s="5"/>
      <c r="O36" s="5"/>
      <c r="P36" s="5"/>
      <c r="Q36" s="5"/>
      <c r="R36" s="5"/>
    </row>
    <row r="37" spans="2:18" ht="13.5" customHeight="1" x14ac:dyDescent="0.15">
      <c r="G37" s="5"/>
      <c r="H37" s="5"/>
      <c r="I37" s="5"/>
      <c r="J37" s="5"/>
      <c r="K37" s="5"/>
      <c r="L37" s="5"/>
      <c r="M37" s="5"/>
      <c r="N37" s="5"/>
      <c r="O37" s="5"/>
      <c r="P37" s="5"/>
      <c r="Q37" s="5"/>
      <c r="R37" s="5"/>
    </row>
    <row r="38" spans="2:18" ht="13.5" hidden="1" customHeight="1" x14ac:dyDescent="0.15">
      <c r="J38" s="5"/>
      <c r="K38" s="5"/>
      <c r="L38" s="5"/>
      <c r="M38" s="5"/>
      <c r="N38" s="5"/>
      <c r="O38" s="5"/>
      <c r="P38" s="5"/>
      <c r="Q38" s="5"/>
      <c r="R38" s="5"/>
    </row>
  </sheetData>
  <sheetProtection algorithmName="SHA-512" hashValue="2D9T5BQY9cbA4pZtWRcDlQbJNkTblG6tb1nCCKY5kew3riVeh+n4zP09UnYEKOzsvT3QIP0Xbdz7ZiELc95EYQ==" saltValue="5K5t77ZO2g51Z/bIuveRvg==" spinCount="100000" sheet="1" objects="1" scenarios="1"/>
  <phoneticPr fontId="4"/>
  <printOptions horizontalCentered="1"/>
  <pageMargins left="0.59055118110236227" right="0.78740157480314965" top="0.78740157480314965" bottom="0.78740157480314965" header="0.51181102362204722" footer="0.51181102362204722"/>
  <pageSetup paperSize="9" scale="59" orientation="portrait" horizontalDpi="4294967293" verticalDpi="4294967293" r:id="rId1"/>
  <headerFooter alignWithMargins="0">
    <oddHeader>&amp;L&amp;F&amp;R&amp;A</oddHeader>
    <oddFooter>&amp;C&amp;P/&amp;N</oddFooter>
  </headerFooter>
  <rowBreaks count="1" manualBreakCount="1">
    <brk id="37"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L26"/>
  <sheetViews>
    <sheetView zoomScaleNormal="100" workbookViewId="0">
      <selection activeCell="B22" sqref="B22:C22"/>
    </sheetView>
  </sheetViews>
  <sheetFormatPr defaultColWidth="0" defaultRowHeight="13.5" zeroHeight="1" x14ac:dyDescent="0.15"/>
  <cols>
    <col min="1" max="1" width="4.5" customWidth="1"/>
    <col min="2" max="2" width="8.875" customWidth="1"/>
    <col min="3" max="3" width="17.75" customWidth="1"/>
    <col min="4" max="4" width="18.375" customWidth="1"/>
    <col min="5" max="5" width="16" customWidth="1"/>
    <col min="6" max="6" width="5.75" customWidth="1"/>
    <col min="7" max="7" width="8.875" customWidth="1"/>
    <col min="8" max="8" width="8.625" customWidth="1"/>
    <col min="9" max="9" width="0.75" hidden="1" customWidth="1"/>
    <col min="10" max="10" width="17.875" customWidth="1"/>
    <col min="11" max="11" width="2.75" customWidth="1"/>
  </cols>
  <sheetData>
    <row r="1" spans="1:12" ht="16.5" x14ac:dyDescent="0.25">
      <c r="A1" s="174" t="s">
        <v>369</v>
      </c>
      <c r="B1" s="175"/>
      <c r="C1" s="175"/>
      <c r="D1" s="3"/>
      <c r="E1" s="175"/>
      <c r="F1" s="176" t="s">
        <v>370</v>
      </c>
      <c r="G1" s="3"/>
      <c r="H1" s="3"/>
      <c r="I1" s="3"/>
      <c r="J1" s="3"/>
      <c r="K1" s="3"/>
    </row>
    <row r="2" spans="1:12" x14ac:dyDescent="0.15">
      <c r="A2" s="174"/>
      <c r="B2" s="175"/>
      <c r="C2" s="175"/>
      <c r="D2" s="3"/>
      <c r="E2" s="175"/>
      <c r="F2" s="175"/>
      <c r="G2" s="3"/>
      <c r="H2" s="3"/>
      <c r="I2" s="3"/>
      <c r="J2" s="177"/>
      <c r="K2" s="3"/>
    </row>
    <row r="3" spans="1:12" x14ac:dyDescent="0.15">
      <c r="A3" s="174"/>
      <c r="B3" s="175" t="s">
        <v>371</v>
      </c>
      <c r="C3" s="175"/>
      <c r="D3" s="3"/>
      <c r="E3" s="175"/>
      <c r="F3" s="178"/>
      <c r="G3" s="3"/>
      <c r="H3" s="3"/>
      <c r="I3" s="3"/>
      <c r="J3" s="3"/>
      <c r="K3" s="3"/>
    </row>
    <row r="4" spans="1:12" ht="14.25" thickBot="1" x14ac:dyDescent="0.2">
      <c r="A4" s="174"/>
      <c r="B4" s="175" t="s">
        <v>372</v>
      </c>
      <c r="C4" s="175"/>
      <c r="D4" s="4" t="s">
        <v>373</v>
      </c>
      <c r="E4" s="175" t="s">
        <v>374</v>
      </c>
      <c r="F4" s="178"/>
      <c r="G4" s="3"/>
      <c r="H4" s="3"/>
      <c r="I4" s="3"/>
      <c r="J4" s="3"/>
      <c r="K4" s="3"/>
    </row>
    <row r="5" spans="1:12" ht="14.25" thickBot="1" x14ac:dyDescent="0.2">
      <c r="A5" s="174"/>
      <c r="B5" s="179" t="str">
        <f>判定!N14</f>
        <v>その他</v>
      </c>
      <c r="C5" s="180"/>
      <c r="D5" s="181">
        <f>IF(B5=0,L5,VLOOKUP($B$5,$B$9:$E$19,3,FALSE))</f>
        <v>5.1199999999999998E-4</v>
      </c>
      <c r="E5" s="182">
        <f>VLOOKUP($B$5,$B$9:$E$19,4,FALSE)</f>
        <v>0</v>
      </c>
      <c r="F5" s="183"/>
      <c r="G5" s="3"/>
      <c r="H5" s="3"/>
      <c r="I5" s="3"/>
      <c r="J5" s="3"/>
      <c r="K5" s="3"/>
      <c r="L5" t="s">
        <v>76</v>
      </c>
    </row>
    <row r="6" spans="1:12" x14ac:dyDescent="0.15">
      <c r="A6" s="174"/>
      <c r="B6" s="184"/>
      <c r="C6" s="184"/>
      <c r="D6" s="185"/>
      <c r="E6" s="184"/>
      <c r="F6" s="186"/>
      <c r="G6" s="187"/>
      <c r="H6" s="187"/>
      <c r="I6" s="187"/>
      <c r="J6" s="187"/>
      <c r="K6" s="3"/>
    </row>
    <row r="7" spans="1:12" ht="42" customHeight="1" x14ac:dyDescent="0.15">
      <c r="A7" s="188"/>
      <c r="B7" s="716" t="s">
        <v>375</v>
      </c>
      <c r="C7" s="716"/>
      <c r="D7" s="716"/>
      <c r="E7" s="716"/>
      <c r="F7" s="178"/>
      <c r="G7" s="723" t="s">
        <v>376</v>
      </c>
      <c r="H7" s="724"/>
      <c r="I7" s="724"/>
      <c r="J7" s="724"/>
      <c r="K7" s="3"/>
    </row>
    <row r="8" spans="1:12" ht="14.25" thickBot="1" x14ac:dyDescent="0.2">
      <c r="A8" s="168"/>
      <c r="B8" s="189" t="s">
        <v>377</v>
      </c>
      <c r="C8" s="190"/>
      <c r="D8" s="191" t="s">
        <v>373</v>
      </c>
      <c r="E8" s="192" t="s">
        <v>378</v>
      </c>
      <c r="F8" s="175"/>
      <c r="G8" s="717" t="s">
        <v>373</v>
      </c>
      <c r="H8" s="718"/>
      <c r="I8" s="719" t="s">
        <v>378</v>
      </c>
      <c r="J8" s="720"/>
      <c r="K8" s="3"/>
    </row>
    <row r="9" spans="1:12" ht="14.25" thickBot="1" x14ac:dyDescent="0.2">
      <c r="A9" s="168"/>
      <c r="B9" s="189" t="s">
        <v>379</v>
      </c>
      <c r="C9" s="190"/>
      <c r="D9" s="193">
        <f>H9</f>
        <v>6.3199999999999997E-4</v>
      </c>
      <c r="E9" s="194">
        <f>J9</f>
        <v>6.4000000000000005E-4</v>
      </c>
      <c r="F9" s="175"/>
      <c r="G9" s="418"/>
      <c r="H9" s="419">
        <v>6.3199999999999997E-4</v>
      </c>
      <c r="I9" s="418"/>
      <c r="J9" s="420">
        <v>6.4000000000000005E-4</v>
      </c>
      <c r="K9" s="3"/>
    </row>
    <row r="10" spans="1:12" ht="14.25" thickBot="1" x14ac:dyDescent="0.2">
      <c r="A10" s="168"/>
      <c r="B10" s="189" t="s">
        <v>380</v>
      </c>
      <c r="C10" s="190"/>
      <c r="D10" s="193">
        <f t="shared" ref="D10:D18" si="0">H10</f>
        <v>5.4500000000000002E-4</v>
      </c>
      <c r="E10" s="194">
        <f t="shared" ref="E10:E18" si="1">J10</f>
        <v>5.4799999999999998E-4</v>
      </c>
      <c r="F10" s="175"/>
      <c r="G10" s="418"/>
      <c r="H10" s="419">
        <v>5.4500000000000002E-4</v>
      </c>
      <c r="I10" s="418"/>
      <c r="J10" s="420">
        <v>5.4799999999999998E-4</v>
      </c>
      <c r="K10" s="3"/>
    </row>
    <row r="11" spans="1:12" ht="14.25" thickBot="1" x14ac:dyDescent="0.2">
      <c r="A11" s="168"/>
      <c r="B11" s="189" t="s">
        <v>381</v>
      </c>
      <c r="C11" s="190"/>
      <c r="D11" s="193">
        <f t="shared" si="0"/>
        <v>4.86E-4</v>
      </c>
      <c r="E11" s="194">
        <f t="shared" si="1"/>
        <v>4.7399999999999997E-4</v>
      </c>
      <c r="F11" s="175"/>
      <c r="G11" s="418"/>
      <c r="H11" s="419">
        <v>4.86E-4</v>
      </c>
      <c r="I11" s="418"/>
      <c r="J11" s="420">
        <v>4.7399999999999997E-4</v>
      </c>
      <c r="K11" s="3"/>
    </row>
    <row r="12" spans="1:12" ht="14.25" thickBot="1" x14ac:dyDescent="0.2">
      <c r="A12" s="168"/>
      <c r="B12" s="189" t="s">
        <v>382</v>
      </c>
      <c r="C12" s="190"/>
      <c r="D12" s="193">
        <f t="shared" si="0"/>
        <v>4.8500000000000003E-4</v>
      </c>
      <c r="E12" s="194">
        <f t="shared" si="1"/>
        <v>4.8000000000000001E-4</v>
      </c>
      <c r="F12" s="175"/>
      <c r="G12" s="418"/>
      <c r="H12" s="419">
        <v>4.8500000000000003E-4</v>
      </c>
      <c r="I12" s="418"/>
      <c r="J12" s="420">
        <v>4.8000000000000001E-4</v>
      </c>
      <c r="K12" s="3"/>
    </row>
    <row r="13" spans="1:12" ht="14.25" thickBot="1" x14ac:dyDescent="0.2">
      <c r="A13" s="168"/>
      <c r="B13" s="189" t="s">
        <v>383</v>
      </c>
      <c r="C13" s="190"/>
      <c r="D13" s="193">
        <f t="shared" si="0"/>
        <v>6.4000000000000005E-4</v>
      </c>
      <c r="E13" s="194">
        <f t="shared" si="1"/>
        <v>6.2399999999999999E-4</v>
      </c>
      <c r="F13" s="175"/>
      <c r="G13" s="418"/>
      <c r="H13" s="421">
        <v>6.4000000000000005E-4</v>
      </c>
      <c r="I13" s="418"/>
      <c r="J13" s="420">
        <v>6.2399999999999999E-4</v>
      </c>
      <c r="K13" s="3"/>
    </row>
    <row r="14" spans="1:12" ht="14.25" thickBot="1" x14ac:dyDescent="0.2">
      <c r="A14" s="168"/>
      <c r="B14" s="189" t="s">
        <v>384</v>
      </c>
      <c r="C14" s="190"/>
      <c r="D14" s="193">
        <f t="shared" si="0"/>
        <v>5.0900000000000001E-4</v>
      </c>
      <c r="E14" s="194">
        <f t="shared" si="1"/>
        <v>4.9299999999999995E-4</v>
      </c>
      <c r="F14" s="175"/>
      <c r="G14" s="418"/>
      <c r="H14" s="419">
        <v>5.0900000000000001E-4</v>
      </c>
      <c r="I14" s="418"/>
      <c r="J14" s="420">
        <v>4.9299999999999995E-4</v>
      </c>
      <c r="K14" s="3"/>
    </row>
    <row r="15" spans="1:12" ht="14.25" thickBot="1" x14ac:dyDescent="0.2">
      <c r="A15" s="168"/>
      <c r="B15" s="189" t="s">
        <v>385</v>
      </c>
      <c r="C15" s="190"/>
      <c r="D15" s="193">
        <f t="shared" si="0"/>
        <v>6.9099999999999999E-4</v>
      </c>
      <c r="E15" s="194">
        <f t="shared" si="1"/>
        <v>6.9399999999999996E-4</v>
      </c>
      <c r="F15" s="175"/>
      <c r="G15" s="418"/>
      <c r="H15" s="419">
        <v>6.9099999999999999E-4</v>
      </c>
      <c r="I15" s="418"/>
      <c r="J15" s="420">
        <v>6.9399999999999996E-4</v>
      </c>
      <c r="K15" s="3"/>
    </row>
    <row r="16" spans="1:12" ht="14.25" thickBot="1" x14ac:dyDescent="0.2">
      <c r="A16" s="168"/>
      <c r="B16" s="189" t="s">
        <v>386</v>
      </c>
      <c r="C16" s="190"/>
      <c r="D16" s="193">
        <f t="shared" si="0"/>
        <v>5.1000000000000004E-4</v>
      </c>
      <c r="E16" s="194">
        <f t="shared" si="1"/>
        <v>5.2899999999999996E-4</v>
      </c>
      <c r="F16" s="175"/>
      <c r="G16" s="418"/>
      <c r="H16" s="421">
        <v>5.1000000000000004E-4</v>
      </c>
      <c r="I16" s="418"/>
      <c r="J16" s="420">
        <v>5.2899999999999996E-4</v>
      </c>
      <c r="K16" s="3"/>
    </row>
    <row r="17" spans="1:11" ht="14.25" thickBot="1" x14ac:dyDescent="0.2">
      <c r="A17" s="168"/>
      <c r="B17" s="195" t="s">
        <v>387</v>
      </c>
      <c r="C17" s="196"/>
      <c r="D17" s="193">
        <f t="shared" si="0"/>
        <v>4.6200000000000001E-4</v>
      </c>
      <c r="E17" s="194">
        <f t="shared" si="1"/>
        <v>4.8299999999999998E-4</v>
      </c>
      <c r="F17" s="175"/>
      <c r="G17" s="418"/>
      <c r="H17" s="419">
        <v>4.6200000000000001E-4</v>
      </c>
      <c r="I17" s="418"/>
      <c r="J17" s="420">
        <v>4.8299999999999998E-4</v>
      </c>
      <c r="K17" s="3"/>
    </row>
    <row r="18" spans="1:11" ht="14.25" thickBot="1" x14ac:dyDescent="0.2">
      <c r="A18" s="168"/>
      <c r="B18" s="197" t="s">
        <v>388</v>
      </c>
      <c r="C18" s="189"/>
      <c r="D18" s="193">
        <f t="shared" si="0"/>
        <v>7.9900000000000001E-4</v>
      </c>
      <c r="E18" s="194">
        <f t="shared" si="1"/>
        <v>7.8899999999999999E-4</v>
      </c>
      <c r="F18" s="175"/>
      <c r="G18" s="418"/>
      <c r="H18" s="419">
        <v>7.9900000000000001E-4</v>
      </c>
      <c r="I18" s="418"/>
      <c r="J18" s="420">
        <v>7.8899999999999999E-4</v>
      </c>
      <c r="K18" s="3"/>
    </row>
    <row r="19" spans="1:11" ht="14.25" hidden="1" thickBot="1" x14ac:dyDescent="0.2">
      <c r="A19" s="168"/>
      <c r="B19" s="198" t="s">
        <v>389</v>
      </c>
      <c r="C19" s="199"/>
      <c r="D19" s="200">
        <f>D22</f>
        <v>5.1199999999999998E-4</v>
      </c>
      <c r="E19" s="201">
        <f>E22</f>
        <v>0</v>
      </c>
      <c r="F19" s="175"/>
      <c r="G19" s="176"/>
      <c r="H19" s="176"/>
      <c r="I19" s="176"/>
      <c r="J19" s="176"/>
      <c r="K19" s="3"/>
    </row>
    <row r="20" spans="1:11" x14ac:dyDescent="0.15">
      <c r="A20" s="4"/>
      <c r="B20" s="202" t="s">
        <v>390</v>
      </c>
      <c r="C20" s="4"/>
      <c r="D20" s="4"/>
      <c r="E20" s="4"/>
      <c r="F20" s="4"/>
      <c r="G20" s="4"/>
      <c r="H20" s="4"/>
      <c r="I20" s="4"/>
      <c r="J20" s="4"/>
      <c r="K20" s="3"/>
    </row>
    <row r="21" spans="1:11" ht="14.25" thickBot="1" x14ac:dyDescent="0.2">
      <c r="A21" s="168"/>
      <c r="B21" s="189" t="s">
        <v>391</v>
      </c>
      <c r="C21" s="203"/>
      <c r="D21" s="4"/>
      <c r="E21" s="4"/>
      <c r="F21" s="175"/>
      <c r="G21" s="4"/>
      <c r="H21" s="4"/>
      <c r="I21" s="4"/>
      <c r="J21" s="4"/>
      <c r="K21" s="3"/>
    </row>
    <row r="22" spans="1:11" ht="14.25" thickBot="1" x14ac:dyDescent="0.2">
      <c r="A22" s="168"/>
      <c r="B22" s="721" t="str">
        <f>G22</f>
        <v>代替値</v>
      </c>
      <c r="C22" s="722"/>
      <c r="D22" s="193">
        <f>H22</f>
        <v>5.1199999999999998E-4</v>
      </c>
      <c r="E22" s="194"/>
      <c r="F22" s="175"/>
      <c r="G22" s="422" t="s">
        <v>392</v>
      </c>
      <c r="H22" s="423">
        <v>5.1199999999999998E-4</v>
      </c>
      <c r="I22" s="4"/>
      <c r="J22" s="4"/>
      <c r="K22" s="3"/>
    </row>
    <row r="23" spans="1:11" x14ac:dyDescent="0.15">
      <c r="A23" s="3"/>
      <c r="B23" s="3"/>
      <c r="C23" s="3"/>
      <c r="D23" s="204" t="s">
        <v>393</v>
      </c>
      <c r="E23" s="3"/>
      <c r="F23" s="3"/>
      <c r="G23" s="3"/>
      <c r="H23" s="3"/>
      <c r="I23" s="3"/>
      <c r="J23" s="3"/>
      <c r="K23" s="3"/>
    </row>
    <row r="24" spans="1:11" ht="14.25" thickBot="1" x14ac:dyDescent="0.2">
      <c r="A24" s="3"/>
      <c r="B24" s="3"/>
      <c r="C24" s="3"/>
      <c r="D24" s="205" t="s">
        <v>394</v>
      </c>
      <c r="E24" s="3"/>
      <c r="F24" s="3"/>
      <c r="G24" s="3"/>
      <c r="H24" s="3"/>
      <c r="I24" s="3"/>
      <c r="J24" s="3"/>
      <c r="K24" s="3"/>
    </row>
    <row r="25" spans="1:11" ht="14.25" thickBot="1" x14ac:dyDescent="0.2">
      <c r="A25" s="3"/>
      <c r="B25" s="3"/>
      <c r="C25" s="3"/>
      <c r="D25" s="3"/>
      <c r="E25" s="3"/>
      <c r="F25" s="177" t="s">
        <v>395</v>
      </c>
      <c r="G25" s="206"/>
      <c r="H25" s="4" t="s">
        <v>396</v>
      </c>
      <c r="I25" s="3"/>
      <c r="J25" s="3"/>
      <c r="K25" s="3"/>
    </row>
    <row r="26" spans="1:11" ht="7.5" customHeight="1" x14ac:dyDescent="0.15">
      <c r="A26" s="3"/>
      <c r="B26" s="3"/>
      <c r="C26" s="3"/>
      <c r="D26" s="3"/>
      <c r="E26" s="3"/>
      <c r="F26" s="3"/>
      <c r="G26" s="3"/>
      <c r="H26" s="3"/>
      <c r="I26" s="3"/>
      <c r="J26" s="3"/>
      <c r="K26" s="3"/>
    </row>
  </sheetData>
  <sheetProtection sheet="1" objects="1" scenarios="1"/>
  <mergeCells count="5">
    <mergeCell ref="B7:E7"/>
    <mergeCell ref="G8:H8"/>
    <mergeCell ref="I8:J8"/>
    <mergeCell ref="B22:C22"/>
    <mergeCell ref="G7:J7"/>
  </mergeCells>
  <phoneticPr fontId="4"/>
  <pageMargins left="0.74803149606299213" right="0.74803149606299213" top="0.98425196850393704" bottom="0.98425196850393704" header="0.51181102362204722" footer="0.51181102362204722"/>
  <pageSetup paperSize="9" scale="79" orientation="portrait" verticalDpi="4294967293" r:id="rId1"/>
  <headerFooter alignWithMargins="0">
    <oddHeader>&amp;L&amp;F&amp;R&amp;A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CO2計算 (旧)</vt:lpstr>
      <vt:lpstr>判定</vt:lpstr>
      <vt:lpstr>CO2計算</vt:lpstr>
      <vt:lpstr>CO2データ_㎡</vt:lpstr>
      <vt:lpstr>CO2データ_戸</vt:lpstr>
      <vt:lpstr>クレジット</vt:lpstr>
      <vt:lpstr>電気排出係数</vt:lpstr>
      <vt:lpstr>CO2データ_㎡!Print_Area</vt:lpstr>
      <vt:lpstr>CO2データ_戸!Print_Area</vt:lpstr>
      <vt:lpstr>CO2計算!Print_Area</vt:lpstr>
      <vt:lpstr>'CO2計算 (旧)'!Print_Area</vt:lpstr>
      <vt:lpstr>クレジット!Print_Area</vt:lpstr>
      <vt:lpstr>判定!Print_Area</vt:lpstr>
      <vt:lpstr>CO2計算!Print_Titles</vt:lpstr>
      <vt:lpstr>'CO2計算 (旧)'!Print_Titles</vt:lpstr>
    </vt:vector>
  </TitlesOfParts>
  <Manager>JSBC</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CASBEE-H(DH)</dc:title>
  <dc:subject>excel2000</dc:subject>
  <dc:creator>JSBC</dc:creator>
  <cp:keywords/>
  <dc:description/>
  <cp:lastModifiedBy>石田 真理</cp:lastModifiedBy>
  <cp:revision/>
  <dcterms:created xsi:type="dcterms:W3CDTF">2003-08-12T12:24:47Z</dcterms:created>
  <dcterms:modified xsi:type="dcterms:W3CDTF">2024-04-16T10:15:04Z</dcterms:modified>
  <cp:category/>
  <cp:contentStatus/>
</cp:coreProperties>
</file>